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5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2 (2)" sheetId="186" r:id="rId35"/>
    <sheet name="SF&amp;QC Sec-3" sheetId="176" r:id="rId36"/>
    <sheet name="SF&amp;QC Sec-3 (2)" sheetId="188" r:id="rId37"/>
    <sheet name="SSPAF" sheetId="177" r:id="rId38"/>
  </sheets>
  <definedNames>
    <definedName name="_xlnm.Print_Area" localSheetId="28">' SEFA'!$B$1:$M$47</definedName>
    <definedName name="_xlnm.Print_Area" localSheetId="29">' SEFA (2)'!$B$1:$M$48</definedName>
    <definedName name="_xlnm.Print_Area" localSheetId="30">' SEFA (3)'!$B$1:$M$48</definedName>
    <definedName name="_xlnm.Print_Area" localSheetId="31">' SEFA (4)'!$B$1:$M$45</definedName>
    <definedName name="_xlnm.Print_Area" localSheetId="8">'Expenditures 15-22'!$A$154:$L$211</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5">'SF&amp;QC Sec-3'!$A$1:$K$52</definedName>
    <definedName name="_xlnm.Print_Area" localSheetId="36">'SF&amp;QC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B4" i="188" l="1"/>
  <c r="B4" i="186"/>
  <c r="F29" i="184" l="1"/>
  <c r="F28" i="184"/>
  <c r="I28" i="183"/>
  <c r="L23" i="183"/>
  <c r="M24" i="183"/>
  <c r="K24" i="183"/>
  <c r="J24" i="183"/>
  <c r="I24" i="183"/>
  <c r="H24" i="183"/>
  <c r="G24" i="183"/>
  <c r="F24" i="183"/>
  <c r="E24" i="183"/>
  <c r="I23" i="179"/>
  <c r="L24" i="183" l="1"/>
  <c r="I17" i="184"/>
  <c r="I19" i="183" l="1"/>
  <c r="K14" i="185" l="1"/>
  <c r="J14" i="185"/>
  <c r="I14" i="185"/>
  <c r="G40" i="174" s="1"/>
  <c r="H14" i="185"/>
  <c r="G14" i="185"/>
  <c r="F14" i="185"/>
  <c r="E14" i="185"/>
  <c r="M30" i="184"/>
  <c r="M16" i="185" s="1"/>
  <c r="K30" i="184"/>
  <c r="J30" i="184"/>
  <c r="I30" i="184"/>
  <c r="H30" i="184"/>
  <c r="G30" i="184"/>
  <c r="F30" i="184"/>
  <c r="F16" i="185" s="1"/>
  <c r="E30" i="184"/>
  <c r="L28" i="183"/>
  <c r="M22" i="184"/>
  <c r="K22" i="184"/>
  <c r="J22" i="184"/>
  <c r="I22" i="184"/>
  <c r="H22" i="184"/>
  <c r="G22" i="184"/>
  <c r="F22" i="184"/>
  <c r="E22" i="184"/>
  <c r="M18" i="184"/>
  <c r="K18" i="184"/>
  <c r="J18" i="184"/>
  <c r="I18" i="184"/>
  <c r="H18" i="184"/>
  <c r="G18" i="184"/>
  <c r="F18" i="184"/>
  <c r="E18" i="184"/>
  <c r="M13" i="184"/>
  <c r="K13" i="184"/>
  <c r="J13" i="184"/>
  <c r="I13" i="184"/>
  <c r="H13" i="184"/>
  <c r="G13" i="184"/>
  <c r="F13" i="184"/>
  <c r="E13" i="184"/>
  <c r="M30" i="183"/>
  <c r="K30" i="183"/>
  <c r="J30" i="183"/>
  <c r="I30" i="183"/>
  <c r="H30" i="183"/>
  <c r="G30" i="183"/>
  <c r="F30" i="183"/>
  <c r="E30" i="183"/>
  <c r="M21" i="183"/>
  <c r="K21" i="183"/>
  <c r="J21" i="183"/>
  <c r="I21" i="183"/>
  <c r="H21" i="183"/>
  <c r="G21" i="183"/>
  <c r="F21" i="183"/>
  <c r="E21" i="183"/>
  <c r="M18" i="183"/>
  <c r="K18" i="183"/>
  <c r="J18" i="183"/>
  <c r="I18" i="183"/>
  <c r="H18" i="183"/>
  <c r="G18" i="183"/>
  <c r="F18" i="183"/>
  <c r="E18" i="183"/>
  <c r="K25" i="179"/>
  <c r="J25" i="179"/>
  <c r="I25" i="179"/>
  <c r="H25" i="179"/>
  <c r="G25" i="179"/>
  <c r="F25" i="179"/>
  <c r="E25" i="179"/>
  <c r="K22" i="179"/>
  <c r="J22" i="179"/>
  <c r="I22" i="179"/>
  <c r="H22" i="179"/>
  <c r="G22" i="179"/>
  <c r="F22" i="179"/>
  <c r="E22" i="179"/>
  <c r="K19" i="179"/>
  <c r="J19" i="179"/>
  <c r="I19" i="179"/>
  <c r="H19" i="179"/>
  <c r="G19" i="179"/>
  <c r="F19" i="179"/>
  <c r="E19" i="179"/>
  <c r="E16" i="185" l="1"/>
  <c r="I26" i="179"/>
  <c r="E26" i="179"/>
  <c r="K16" i="185"/>
  <c r="H16" i="185"/>
  <c r="I16" i="185"/>
  <c r="J26" i="179"/>
  <c r="G26" i="179"/>
  <c r="K26" i="179"/>
  <c r="F26" i="179"/>
  <c r="H26" i="179"/>
  <c r="G14" i="184"/>
  <c r="K14" i="184"/>
  <c r="F14" i="184"/>
  <c r="H14" i="184"/>
  <c r="M14" i="184"/>
  <c r="J14" i="184"/>
  <c r="E14" i="184"/>
  <c r="I14" i="184"/>
  <c r="G39" i="174" s="1"/>
  <c r="J16" i="185"/>
  <c r="L30" i="183"/>
  <c r="F24" i="184"/>
  <c r="J24" i="184"/>
  <c r="G16" i="185"/>
  <c r="E24" i="184"/>
  <c r="I24" i="184"/>
  <c r="G24" i="184"/>
  <c r="K24" i="184"/>
  <c r="H24" i="184"/>
  <c r="M24" i="184"/>
  <c r="M18" i="185" s="1"/>
  <c r="H28" i="179"/>
  <c r="E28" i="179"/>
  <c r="I28" i="179"/>
  <c r="G38" i="174" s="1"/>
  <c r="F28" i="179"/>
  <c r="J28" i="179"/>
  <c r="G28" i="179"/>
  <c r="K28" i="179"/>
  <c r="L26" i="185"/>
  <c r="L25" i="185"/>
  <c r="L24" i="185"/>
  <c r="L23" i="185"/>
  <c r="L22" i="185"/>
  <c r="L21" i="185"/>
  <c r="L20" i="185"/>
  <c r="L19" i="185"/>
  <c r="L17" i="185"/>
  <c r="L15" i="185"/>
  <c r="L14" i="185"/>
  <c r="L13" i="185"/>
  <c r="L12" i="185"/>
  <c r="L11" i="185"/>
  <c r="B4" i="185"/>
  <c r="L29" i="184"/>
  <c r="L28" i="184"/>
  <c r="L25" i="184"/>
  <c r="L23" i="184"/>
  <c r="L22" i="184"/>
  <c r="L21" i="184"/>
  <c r="L20" i="184"/>
  <c r="L19" i="184"/>
  <c r="L18" i="184"/>
  <c r="L17" i="184"/>
  <c r="L16" i="184"/>
  <c r="L15" i="184"/>
  <c r="L13" i="184"/>
  <c r="L12" i="184"/>
  <c r="L11" i="184"/>
  <c r="B4" i="184"/>
  <c r="L29" i="183"/>
  <c r="L26" i="183"/>
  <c r="L25" i="183"/>
  <c r="L22" i="183"/>
  <c r="L21" i="183"/>
  <c r="L20" i="183"/>
  <c r="L19" i="183"/>
  <c r="L18" i="183"/>
  <c r="L17" i="183"/>
  <c r="L16" i="183"/>
  <c r="L15" i="183"/>
  <c r="L14" i="183"/>
  <c r="L13" i="183"/>
  <c r="L12" i="183"/>
  <c r="L11" i="183"/>
  <c r="B4" i="183"/>
  <c r="L30" i="184" l="1"/>
  <c r="L16" i="185" s="1"/>
  <c r="L14" i="184"/>
  <c r="J18" i="185"/>
  <c r="F18" i="185"/>
  <c r="H18" i="185"/>
  <c r="K18" i="185"/>
  <c r="I18" i="185"/>
  <c r="D45" i="174" s="1"/>
  <c r="G18" i="185"/>
  <c r="E18" i="185"/>
  <c r="L24"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G17" i="181" l="1"/>
  <c r="G141" i="181" s="1"/>
  <c r="G40" i="108" l="1"/>
  <c r="B7799" i="106"/>
  <c r="F141" i="181"/>
  <c r="B7798" i="106" s="1"/>
  <c r="E40" i="108"/>
  <c r="B4" i="179" l="1"/>
  <c r="D17" i="171" l="1"/>
  <c r="L28" i="179" l="1"/>
  <c r="L18" i="185" s="1"/>
  <c r="L27" i="179"/>
  <c r="L25" i="179"/>
  <c r="L24" i="179"/>
  <c r="L23" i="179"/>
  <c r="L22" i="179"/>
  <c r="L21" i="179"/>
  <c r="L20" i="179"/>
  <c r="L19" i="179"/>
  <c r="L18" i="179"/>
  <c r="L17" i="179"/>
  <c r="L16" i="179"/>
  <c r="L15" i="179"/>
  <c r="L14" i="179"/>
  <c r="L13" i="179"/>
  <c r="L12" i="179"/>
  <c r="L11" i="179"/>
  <c r="L26" i="179" l="1"/>
  <c r="D14" i="171"/>
  <c r="D12" i="171"/>
  <c r="A10" i="169"/>
  <c r="A16" i="169"/>
  <c r="A15" i="169"/>
  <c r="A14" i="169"/>
  <c r="K18" i="169"/>
  <c r="G18" i="169"/>
  <c r="G15" i="169"/>
  <c r="I13" i="169"/>
  <c r="G11" i="169"/>
  <c r="G10" i="169"/>
  <c r="G9"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8"/>
  <c r="B2" i="188"/>
  <c r="B2" i="186"/>
  <c r="B2" i="179"/>
  <c r="B2" i="184"/>
  <c r="B2" i="183"/>
  <c r="B2" i="185"/>
  <c r="B1" i="185"/>
  <c r="B1" i="183"/>
  <c r="B1" i="184"/>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J85" i="28"/>
  <c r="B7758" i="106" s="1"/>
  <c r="D7758" i="106" s="1"/>
  <c r="J88" i="28"/>
  <c r="K6" i="29"/>
  <c r="B7763" i="106" s="1"/>
  <c r="B7762" i="106"/>
  <c r="K12" i="12"/>
  <c r="B7719" i="106" s="1"/>
  <c r="D7719" i="106" s="1"/>
  <c r="K23" i="12"/>
  <c r="J12" i="12"/>
  <c r="B7718" i="106" s="1"/>
  <c r="D7718" i="106" s="1"/>
  <c r="J21" i="12"/>
  <c r="B7727" i="106" s="1"/>
  <c r="D7727" i="106" s="1"/>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4" i="127"/>
  <c r="B55" i="127"/>
  <c r="E27" i="108"/>
  <c r="G27" i="108"/>
  <c r="F31" i="108"/>
  <c r="F36" i="108"/>
  <c r="G28" i="108"/>
  <c r="E30" i="108"/>
  <c r="G30" i="108"/>
  <c r="D31"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D7" i="118"/>
  <c r="D8" i="118"/>
  <c r="D9" i="118"/>
  <c r="H14" i="118"/>
  <c r="H19" i="118"/>
  <c r="H24" i="118"/>
  <c r="F70" i="34" l="1"/>
  <c r="E35" i="108"/>
  <c r="F38" i="34"/>
  <c r="F72" i="34"/>
  <c r="E29" i="108"/>
  <c r="B1274" i="106"/>
  <c r="D1274" i="106" s="1"/>
  <c r="F71" i="34"/>
  <c r="G35" i="108"/>
  <c r="F42" i="34"/>
  <c r="F50" i="34"/>
  <c r="F46" i="34"/>
  <c r="I210" i="29"/>
  <c r="B7071" i="106" s="1"/>
  <c r="D7071" i="106" s="1"/>
  <c r="G34" i="108"/>
  <c r="G26" i="108"/>
  <c r="B1124" i="106"/>
  <c r="D1124" i="106" s="1"/>
  <c r="G29" i="108"/>
  <c r="E26" i="108"/>
  <c r="D24" i="37"/>
  <c r="B4270" i="106" s="1"/>
  <c r="D4270" i="106" s="1"/>
  <c r="J22" i="37"/>
  <c r="D68" i="36"/>
  <c r="H28" i="118"/>
  <c r="K24" i="12"/>
  <c r="B7733" i="106" s="1"/>
  <c r="D7733" i="106" s="1"/>
  <c r="G15" i="145"/>
  <c r="D6103" i="106"/>
  <c r="D7245" i="106"/>
  <c r="L15" i="11"/>
  <c r="B3459" i="106" s="1"/>
  <c r="D3459" i="106" s="1"/>
  <c r="I24" i="12"/>
  <c r="B1996" i="106" s="1"/>
  <c r="D1996" i="106" s="1"/>
  <c r="F21" i="8"/>
  <c r="B1879" i="106" s="1"/>
  <c r="D1879" i="106" s="1"/>
  <c r="L5" i="11"/>
  <c r="B2056" i="106" s="1"/>
  <c r="D2056" i="106" s="1"/>
  <c r="L13" i="11"/>
  <c r="B2060" i="106" s="1"/>
  <c r="D2060" i="106" s="1"/>
  <c r="B3689" i="106"/>
  <c r="D3689" i="106" s="1"/>
  <c r="D69" i="36"/>
  <c r="L22" i="37"/>
  <c r="D22" i="37"/>
  <c r="N22" i="3"/>
  <c r="B283" i="106" s="1"/>
  <c r="D283" i="106" s="1"/>
  <c r="D12" i="7"/>
  <c r="B1769" i="106" s="1"/>
  <c r="D1769" i="106" s="1"/>
  <c r="D4" i="7"/>
  <c r="B1760" i="106" s="1"/>
  <c r="D1760" i="106" s="1"/>
  <c r="D7" i="7"/>
  <c r="B1763" i="106" s="1"/>
  <c r="D1763" i="106" s="1"/>
  <c r="F45" i="34"/>
  <c r="G5" i="4"/>
  <c r="B3409" i="106" s="1"/>
  <c r="D3409" i="106" s="1"/>
  <c r="J210" i="29"/>
  <c r="B7072" i="106" s="1"/>
  <c r="D7072" i="106" s="1"/>
  <c r="G39" i="108"/>
  <c r="B7047" i="106"/>
  <c r="D7047" i="106" s="1"/>
  <c r="F69" i="34"/>
  <c r="F62" i="34"/>
  <c r="F49" i="34"/>
  <c r="F14" i="4"/>
  <c r="B2597" i="106" s="1"/>
  <c r="D2597" i="106" s="1"/>
  <c r="F27" i="108"/>
  <c r="B4211" i="106"/>
  <c r="D4211" i="106" s="1"/>
  <c r="F67" i="34"/>
  <c r="G38" i="108"/>
  <c r="F36" i="34"/>
  <c r="E38" i="108"/>
  <c r="B6995" i="106"/>
  <c r="D6995" i="106" s="1"/>
  <c r="D15" i="7"/>
  <c r="B1772" i="106" s="1"/>
  <c r="D1772" i="106" s="1"/>
  <c r="B6289" i="106"/>
  <c r="D6289" i="106" s="1"/>
  <c r="H76" i="4"/>
  <c r="B3298" i="106" s="1"/>
  <c r="D3298" i="106" s="1"/>
  <c r="B1746" i="106"/>
  <c r="D1746" i="106" s="1"/>
  <c r="D5" i="4"/>
  <c r="B3406" i="106" s="1"/>
  <c r="D3406" i="106" s="1"/>
  <c r="F127" i="34"/>
  <c r="D9" i="7"/>
  <c r="B1767" i="106" s="1"/>
  <c r="D1767" i="106" s="1"/>
  <c r="D17" i="7"/>
  <c r="B4104" i="106" s="1"/>
  <c r="D4104" i="106" s="1"/>
  <c r="D13" i="7"/>
  <c r="B3726" i="106" s="1"/>
  <c r="D3726" i="106" s="1"/>
  <c r="J274" i="5"/>
  <c r="B7054" i="106" s="1"/>
  <c r="D7054" i="106" s="1"/>
  <c r="F77" i="4"/>
  <c r="B3255" i="106" s="1"/>
  <c r="D3255" i="106" s="1"/>
  <c r="J129" i="29"/>
  <c r="B7038" i="106" s="1"/>
  <c r="D7038" i="106" s="1"/>
  <c r="B1223" i="106"/>
  <c r="D1223" i="106" s="1"/>
  <c r="D37" i="108"/>
  <c r="F37" i="108"/>
  <c r="F28" i="108"/>
  <c r="E28" i="108"/>
  <c r="F26" i="108"/>
  <c r="B1126" i="106"/>
  <c r="D1126" i="106" s="1"/>
  <c r="D26" i="108"/>
  <c r="B2724" i="106"/>
  <c r="D2724" i="106" s="1"/>
  <c r="F41" i="34"/>
  <c r="F35" i="34"/>
  <c r="F34" i="34"/>
  <c r="H112" i="29"/>
  <c r="B7018" i="106" s="1"/>
  <c r="D7018" i="106" s="1"/>
  <c r="H342" i="29"/>
  <c r="B7221" i="106" s="1"/>
  <c r="D7221" i="106" s="1"/>
  <c r="B5096" i="106"/>
  <c r="D5096" i="106" s="1"/>
  <c r="H173" i="5"/>
  <c r="B5906" i="106" s="1"/>
  <c r="D5906" i="106" s="1"/>
  <c r="J41" i="3"/>
  <c r="B6216" i="106" s="1"/>
  <c r="D6216" i="106" s="1"/>
  <c r="D11" i="37"/>
  <c r="H33" i="118"/>
  <c r="D31" i="36"/>
  <c r="H29" i="118"/>
  <c r="D54" i="36"/>
  <c r="B1329" i="106"/>
  <c r="D1329" i="106" s="1"/>
  <c r="F61" i="34"/>
  <c r="B7235" i="106"/>
  <c r="D7235" i="106" s="1"/>
  <c r="K285" i="29"/>
  <c r="B3724" i="106" s="1"/>
  <c r="D3724" i="106" s="1"/>
  <c r="B7231" i="106"/>
  <c r="D7231" i="106" s="1"/>
  <c r="I342" i="29"/>
  <c r="B7222" i="106" s="1"/>
  <c r="D7222" i="106" s="1"/>
  <c r="F128" i="34"/>
  <c r="F106" i="34"/>
  <c r="K274" i="5"/>
  <c r="K7" i="4" s="1"/>
  <c r="B3718" i="106" s="1"/>
  <c r="D3718" i="106" s="1"/>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3649" i="106" l="1"/>
  <c r="D3649" i="106" s="1"/>
  <c r="F66" i="34"/>
  <c r="B1381" i="106"/>
  <c r="D1381" i="106" s="1"/>
  <c r="D7256" i="106"/>
  <c r="D7254" i="106"/>
  <c r="D7253" i="106"/>
  <c r="D7255" i="106"/>
  <c r="D7251" i="106"/>
  <c r="D7250" i="106"/>
  <c r="K365" i="29"/>
  <c r="B7243" i="106" s="1"/>
  <c r="D7243" i="106" s="1"/>
  <c r="B1328" i="106"/>
  <c r="D1328" i="106" s="1"/>
  <c r="B1317" i="106"/>
  <c r="D1317" i="106" s="1"/>
  <c r="K28" i="118"/>
  <c r="O27" i="118" s="1"/>
  <c r="O29" i="118" s="1"/>
  <c r="H22" i="37"/>
  <c r="D51" i="36"/>
  <c r="K26" i="12"/>
  <c r="B7743" i="106" s="1"/>
  <c r="D7743" i="106" s="1"/>
  <c r="D41" i="108"/>
  <c r="E43" i="108" s="1"/>
  <c r="D7252" i="106"/>
  <c r="I26" i="12"/>
  <c r="B7741" i="106" s="1"/>
  <c r="D7741" i="106" s="1"/>
  <c r="N23" i="3"/>
  <c r="B284" i="106" s="1"/>
  <c r="D284" i="106" s="1"/>
  <c r="L16" i="11"/>
  <c r="B2061" i="106" s="1"/>
  <c r="D2061" i="106" s="1"/>
  <c r="I151" i="29"/>
  <c r="F59" i="34" s="1"/>
  <c r="J16" i="4"/>
  <c r="B6226" i="106" s="1"/>
  <c r="D6226" i="106" s="1"/>
  <c r="J151" i="29"/>
  <c r="B7052" i="106" s="1"/>
  <c r="D7052" i="106" s="1"/>
  <c r="F41" i="108"/>
  <c r="G43" i="108" s="1"/>
  <c r="H6" i="4"/>
  <c r="B2656" i="106" s="1"/>
  <c r="D2656" i="106" s="1"/>
  <c r="F173" i="5"/>
  <c r="J7" i="4"/>
  <c r="B6222" i="106" s="1"/>
  <c r="D6222" i="106" s="1"/>
  <c r="I6" i="4"/>
  <c r="B5011" i="106" s="1"/>
  <c r="D5011" i="106" s="1"/>
  <c r="K77" i="4"/>
  <c r="B3587" i="106" s="1"/>
  <c r="D3587" i="106" s="1"/>
  <c r="H77" i="4"/>
  <c r="B3299" i="106" s="1"/>
  <c r="D3299" i="106" s="1"/>
  <c r="B5527" i="106"/>
  <c r="D5527" i="106" s="1"/>
  <c r="B6014" i="106"/>
  <c r="D6014" i="106" s="1"/>
  <c r="B1266" i="106"/>
  <c r="D1266" i="106" s="1"/>
  <c r="D274" i="5"/>
  <c r="B5507" i="106" s="1"/>
  <c r="D5507" i="106" s="1"/>
  <c r="D52" i="36"/>
  <c r="B3628" i="106"/>
  <c r="D3628" i="106" s="1"/>
  <c r="C4" i="4"/>
  <c r="B2551" i="106" s="1"/>
  <c r="D2551" i="106" s="1"/>
  <c r="H275" i="5"/>
  <c r="B5915" i="106" s="1"/>
  <c r="D5915" i="106" s="1"/>
  <c r="B6022" i="106"/>
  <c r="D6022" i="106" s="1"/>
  <c r="F73" i="34"/>
  <c r="G15" i="4"/>
  <c r="B6032" i="106" s="1"/>
  <c r="D6032" i="106" s="1"/>
  <c r="B1365" i="106"/>
  <c r="D1365" i="106" s="1"/>
  <c r="F65" i="34"/>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F275" i="5" s="1"/>
  <c r="B5720" i="106" s="1"/>
  <c r="D5720" i="106" s="1"/>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7224" i="106"/>
  <c r="D7224" i="106" s="1"/>
  <c r="B5653" i="106"/>
  <c r="D5653" i="106" s="1"/>
  <c r="F6" i="4"/>
  <c r="B2593" i="106" s="1"/>
  <c r="D2593" i="106" s="1"/>
  <c r="D275" i="5"/>
  <c r="B5508" i="106" s="1"/>
  <c r="D5508" i="106" s="1"/>
  <c r="D7" i="4"/>
  <c r="B2567" i="106" s="1"/>
  <c r="D2567" i="106" s="1"/>
  <c r="F7" i="4"/>
  <c r="B2594" i="106" s="1"/>
  <c r="D2594" i="106" s="1"/>
  <c r="B5719" i="106"/>
  <c r="D5719" i="106" s="1"/>
  <c r="J8" i="4"/>
  <c r="B6223" i="106" s="1"/>
  <c r="D6223" i="106" s="1"/>
  <c r="B1145" i="106"/>
  <c r="D1145" i="106" s="1"/>
  <c r="G41" i="108"/>
  <c r="G44" i="108" s="1"/>
  <c r="G45" i="108" s="1"/>
  <c r="J17" i="4"/>
  <c r="J19" i="4" s="1"/>
  <c r="B6229" i="106" s="1"/>
  <c r="D6229" i="106" s="1"/>
  <c r="E41" i="108"/>
  <c r="E44" i="108" s="1"/>
  <c r="E45" i="108"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l="1"/>
  <c r="B6225" i="106" s="1"/>
  <c r="D6225" i="106" s="1"/>
  <c r="K17" i="4"/>
  <c r="B3575" i="106" s="1"/>
  <c r="D3575" i="106" s="1"/>
  <c r="F8" i="4"/>
  <c r="B2595" i="106" s="1"/>
  <c r="D2595" i="106" s="1"/>
  <c r="J20" i="4"/>
  <c r="J78" i="4" s="1"/>
  <c r="B6227" i="106"/>
  <c r="D6227" i="106" s="1"/>
  <c r="F76" i="34"/>
  <c r="D8" i="4"/>
  <c r="D10" i="4" s="1"/>
  <c r="B4123" i="106" s="1"/>
  <c r="D4123"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10" i="4" l="1"/>
  <c r="B4125" i="106" s="1"/>
  <c r="D4125" i="106" s="1"/>
  <c r="K20" i="4"/>
  <c r="B3576" i="106" s="1"/>
  <c r="D3576" i="106" s="1"/>
  <c r="B6230" i="106"/>
  <c r="D6230" i="106" s="1"/>
  <c r="H13" i="118"/>
  <c r="B2568" i="106"/>
  <c r="D2568" i="106" s="1"/>
  <c r="C8" i="146"/>
  <c r="D20" i="4"/>
  <c r="D78" i="4"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J81" i="4"/>
  <c r="B6263" i="106"/>
  <c r="D6263" i="106" s="1"/>
  <c r="F179" i="34" l="1"/>
  <c r="F79" i="34"/>
  <c r="B2574" i="106"/>
  <c r="D2574" i="106" s="1"/>
  <c r="F8" i="146"/>
  <c r="C10" i="146"/>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<sst xmlns="http://schemas.openxmlformats.org/spreadsheetml/2006/main" count="5560" uniqueCount="2282">
  <si>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</si>
  <si>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</si>
  <si>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</si>
  <si>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</si>
  <si>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</si>
  <si>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</si>
  <si>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</si>
  <si>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</si>
  <si>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</si>
  <si>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</si>
  <si>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</si>
  <si>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</si>
  <si>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</si>
  <si>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</si>
  <si>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</si>
  <si>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</si>
  <si>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</si>
  <si>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</si>
  <si>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</si>
  <si>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</si>
  <si>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</si>
  <si>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</si>
  <si>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</si>
  <si>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</si>
  <si>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</si>
  <si>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</si>
  <si>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</si>
  <si>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</si>
  <si>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</si>
  <si>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</si>
  <si>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</si>
  <si>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</si>
  <si>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</si>
  <si>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</si>
  <si>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</si>
  <si>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</si>
  <si>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</si>
  <si>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</si>
  <si>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</si>
  <si>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</si>
  <si>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</si>
  <si>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</si>
  <si>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</si>
  <si>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</si>
  <si>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</si>
  <si>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</si>
  <si>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</si>
  <si>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</si>
  <si>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</si>
  <si>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</si>
  <si>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</si>
  <si>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</si>
  <si>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</si>
  <si>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</si>
  <si>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</si>
  <si>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</si>
  <si>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</si>
  <si>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</si>
  <si>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</si>
  <si>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</si>
  <si>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</si>
  <si>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</si>
  <si>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</si>
  <si>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</si>
  <si>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</si>
  <si>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</si>
  <si>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</si>
  <si>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</si>
  <si>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</si>
  <si>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</si>
  <si>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</si>
  <si>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</si>
  <si>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</si>
  <si>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</si>
  <si>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</si>
  <si>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</si>
  <si>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</si>
  <si>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</si>
  <si>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</si>
  <si>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</si>
  <si>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</si>
  <si>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</si>
  <si>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</si>
  <si>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</si>
  <si>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</si>
  <si>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</si>
  <si>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</si>
  <si>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</si>
  <si>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</si>
  <si>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</si>
  <si>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</si>
  <si>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</si>
  <si>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</si>
  <si>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</si>
  <si>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</si>
  <si>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</si>
  <si>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</si>
  <si>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</si>
  <si>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</si>
  <si>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</si>
  <si>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</si>
  <si>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</si>
  <si>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</si>
  <si>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</si>
  <si>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</si>
  <si>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</si>
  <si>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</si>
  <si>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</si>
  <si>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</si>
  <si>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</si>
  <si>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</si>
  <si>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</si>
  <si>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</si>
  <si>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</si>
  <si>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</si>
  <si>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</si>
  <si>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</si>
  <si>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</si>
  <si>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</si>
  <si>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</si>
  <si>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</si>
  <si>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</si>
  <si>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</si>
  <si>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</si>
  <si>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</si>
  <si>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</si>
  <si>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</si>
  <si>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</si>
  <si>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</si>
  <si>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</si>
  <si>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</si>
  <si>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</si>
  <si>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</si>
  <si>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</si>
  <si>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</si>
  <si>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</si>
  <si>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</si>
  <si>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</si>
  <si>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</si>
  <si>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</si>
  <si>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</si>
  <si>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</si>
  <si>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</si>
  <si>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</si>
  <si>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</si>
  <si>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</si>
  <si>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</si>
  <si>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</si>
  <si>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</si>
  <si>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</si>
  <si>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</si>
  <si>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</si>
  <si>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</si>
  <si>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</si>
  <si>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</si>
  <si>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</si>
  <si>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</si>
  <si>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</si>
  <si>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</si>
  <si>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</si>
  <si>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</si>
  <si>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</si>
  <si>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</si>
  <si>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</si>
  <si>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</si>
  <si>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</si>
  <si>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</si>
  <si>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</si>
  <si>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</si>
  <si>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</si>
  <si>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</si>
  <si>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</si>
  <si>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</si>
  <si>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</si>
  <si>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</si>
  <si>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</si>
  <si>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</si>
  <si>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</si>
  <si>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</si>
  <si>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</si>
  <si>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</si>
  <si>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</si>
  <si>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</si>
  <si>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</si>
  <si>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</si>
  <si>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</si>
  <si>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</si>
  <si>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</si>
  <si>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</si>
  <si>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</si>
  <si>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</si>
  <si>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</si>
  <si>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</si>
  <si>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</si>
  <si>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</si>
  <si>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</si>
  <si>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</si>
  <si>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</si>
  <si>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</si>
  <si>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</si>
  <si>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</si>
  <si>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</si>
  <si>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</si>
  <si>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</si>
  <si>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</si>
  <si>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</si>
  <si>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</si>
  <si>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</si>
  <si>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</si>
  <si>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</si>
  <si>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</si>
  <si>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</si>
  <si>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</si>
  <si>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</si>
  <si>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</si>
  <si>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</si>
  <si>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</si>
  <si>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</si>
  <si>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</si>
  <si>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</si>
  <si>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</si>
  <si>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</si>
  <si>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</si>
  <si>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</si>
  <si>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</si>
  <si>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</si>
  <si>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</si>
  <si>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</si>
  <si>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</si>
  <si>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</si>
  <si>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</si>
  <si>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</si>
  <si>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</si>
  <si>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</si>
  <si>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</si>
  <si>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</si>
  <si>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</si>
  <si>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</si>
  <si>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</si>
  <si>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</si>
  <si>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</si>
  <si>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</si>
  <si>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</si>
  <si>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</si>
  <si>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</si>
  <si>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</si>
  <si>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</si>
  <si>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</si>
  <si>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</si>
  <si>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</si>
  <si>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</si>
  <si>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</si>
  <si>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</si>
  <si>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</si>
  <si>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</si>
  <si>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</si>
  <si>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</si>
  <si>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</si>
  <si>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</si>
  <si>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</si>
  <si>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</si>
  <si>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</si>
  <si>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</si>
  <si>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</si>
  <si>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</si>
  <si>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</si>
  <si>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</si>
  <si>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</si>
  <si>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</si>
  <si>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</si>
  <si>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</si>
  <si>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</si>
  <si>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</si>
  <si>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</si>
  <si>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</si>
  <si>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</si>
  <si>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</si>
  <si>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</si>
  <si>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</si>
  <si>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</si>
  <si>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</si>
  <si>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</si>
  <si>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</si>
  <si>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</si>
  <si>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</si>
  <si>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</si>
  <si>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</si>
  <si>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</si>
  <si>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</si>
  <si>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</si>
  <si>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</si>
  <si>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</si>
  <si>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</si>
  <si>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</si>
  <si>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</si>
  <si>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</si>
  <si>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</si>
  <si>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</si>
  <si>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</si>
  <si>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</si>
  <si>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</si>
  <si>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</si>
  <si>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</si>
  <si>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</si>
  <si>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</si>
  <si>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</si>
  <si>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</si>
  <si>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</si>
  <si>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</si>
  <si>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</si>
  <si>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</si>
  <si>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</si>
  <si>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</si>
  <si>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</si>
  <si>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</si>
  <si>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</si>
  <si>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</si>
  <si>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</si>
  <si>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</si>
  <si>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</si>
  <si>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</si>
  <si>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</si>
  <si>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</si>
  <si>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</si>
  <si>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</si>
  <si>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</si>
  <si>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</si>
  <si>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</si>
  <si>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</si>
  <si>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</si>
  <si>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</si>
  <si>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</si>
  <si>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</si>
  <si>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</si>
  <si>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</si>
  <si>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</si>
  <si>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</si>
  <si>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</si>
  <si>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</si>
  <si>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</si>
  <si>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</si>
  <si>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</si>
  <si>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</si>
  <si>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</si>
  <si>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</si>
  <si>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</si>
  <si>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</si>
  <si>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</si>
  <si>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</si>
  <si>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</si>
  <si>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</si>
  <si>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</si>
  <si>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</si>
  <si>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</si>
  <si>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</si>
  <si>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</si>
  <si>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</si>
  <si>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</si>
  <si>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</si>
  <si>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</si>
  <si>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</si>
  <si>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</si>
  <si>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</si>
  <si>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</si>
  <si>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</si>
  <si>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</si>
  <si>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</si>
  <si>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</si>
  <si>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</si>
  <si>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</si>
  <si>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</si>
  <si>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</si>
  <si>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</si>
  <si>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</si>
  <si>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</si>
  <si>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</si>
  <si>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</si>
  <si>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</si>
  <si>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</si>
  <si>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</si>
  <si>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</si>
  <si>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</si>
  <si>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</si>
  <si>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</si>
  <si>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</si>
  <si>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</si>
  <si>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</si>
  <si>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</si>
  <si>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</si>
  <si>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</si>
  <si>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</si>
  <si>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</si>
  <si>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</si>
  <si>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</si>
  <si>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</si>
  <si>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</si>
  <si>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</si>
  <si>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</si>
  <si>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</si>
  <si>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</si>
  <si>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</si>
  <si>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</si>
  <si>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</si>
  <si>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</si>
  <si>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</si>
  <si>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</si>
  <si>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</si>
  <si>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</si>
  <si>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</si>
  <si>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</si>
  <si>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</si>
  <si>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</si>
  <si>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</si>
  <si>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</si>
  <si>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</si>
  <si>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</si>
  <si>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</si>
  <si>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</si>
  <si>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</si>
  <si>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</si>
  <si>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</si>
  <si>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</si>
  <si>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</si>
  <si>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</si>
  <si>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</si>
  <si>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</si>
  <si>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</si>
  <si>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</si>
  <si>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</si>
  <si>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</si>
  <si>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</si>
  <si>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</si>
  <si>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</si>
  <si>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</si>
  <si>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</si>
  <si>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</si>
  <si>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</si>
  <si>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</si>
  <si>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</si>
  <si>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</si>
  <si>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</si>
  <si>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</si>
  <si>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</si>
  <si>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</si>
  <si>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</si>
  <si>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</si>
  <si>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</si>
  <si>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</si>
  <si>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</si>
  <si>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</si>
  <si>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</si>
  <si>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</si>
  <si>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</si>
  <si>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</si>
  <si>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</si>
  <si>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</si>
  <si>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</si>
  <si>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</si>
  <si>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</si>
  <si>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</si>
  <si>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</si>
  <si>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</si>
  <si>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</si>
  <si>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</si>
  <si>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</si>
  <si>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</si>
  <si>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</si>
  <si>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</si>
  <si>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</si>
  <si>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</si>
  <si>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</si>
  <si>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</si>
  <si>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</si>
  <si>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</si>
  <si>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</si>
  <si>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</si>
  <si>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</si>
  <si>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</si>
  <si>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</si>
  <si>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</si>
  <si>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</si>
  <si>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</si>
  <si>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</si>
  <si>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</si>
  <si>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</si>
  <si>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</si>
  <si>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</si>
  <si>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</si>
  <si>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</si>
  <si>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</si>
  <si>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</si>
  <si>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</si>
  <si>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</si>
  <si>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</si>
  <si>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</si>
  <si>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</si>
  <si>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</si>
  <si>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</si>
  <si>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</si>
  <si>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</si>
  <si>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</si>
  <si>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</si>
  <si>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</si>
  <si>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</si>
  <si>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</si>
  <si>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</si>
  <si>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</si>
  <si>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</si>
  <si>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</si>
  <si>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</si>
  <si>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</si>
  <si>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</si>
  <si>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</si>
  <si>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</si>
  <si>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</si>
  <si>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</si>
  <si>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</si>
  <si>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</si>
  <si>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</si>
  <si>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</si>
  <si>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</si>
  <si>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</si>
  <si>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</si>
  <si>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</si>
  <si>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</si>
  <si>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</si>
  <si>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</si>
  <si>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</si>
  <si>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</si>
  <si>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</si>
  <si>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</si>
  <si>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</si>
  <si>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</si>
  <si>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</si>
  <si>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</si>
  <si>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</si>
  <si>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</si>
  <si>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</si>
  <si>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</si>
  <si>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</si>
  <si>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</si>
  <si>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</si>
  <si>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</si>
  <si>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</si>
  <si>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</si>
  <si>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</si>
  <si>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</si>
  <si>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</si>
  <si>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</si>
  <si>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</si>
  <si>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</si>
  <si>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</si>
  <si>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</si>
  <si>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</si>
  <si>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</si>
  <si>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</si>
  <si>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</si>
  <si>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</si>
  <si>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</si>
  <si>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</si>
  <si>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</si>
  <si>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</si>
  <si>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</si>
  <si>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</si>
  <si>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</si>
  <si>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</si>
  <si>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</si>
  <si>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</si>
  <si>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</si>
  <si>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</si>
  <si>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</si>
  <si>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</si>
  <si>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</si>
  <si>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</si>
  <si>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</si>
  <si>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</si>
  <si>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</si>
  <si>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</si>
  <si>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</si>
  <si>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</si>
  <si>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</si>
  <si>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</si>
  <si>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</si>
  <si>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</si>
  <si>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</si>
  <si>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</si>
  <si>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</si>
  <si>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</si>
  <si>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</si>
  <si>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</si>
  <si>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</si>
  <si>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</si>
  <si>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</si>
  <si>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</si>
  <si>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</si>
  <si>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</si>
  <si>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</si>
  <si>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</si>
  <si>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</si>
  <si>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</si>
  <si>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</si>
  <si>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</si>
  <si>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</si>
  <si>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</si>
  <si>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</si>
  <si>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</si>
  <si>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</si>
  <si>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</si>
  <si>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</si>
  <si>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</si>
  <si>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</si>
  <si>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</si>
  <si>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</si>
  <si>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</si>
  <si>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</si>
  <si>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</si>
  <si>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</si>
  <si>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</si>
  <si>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</si>
  <si>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</si>
  <si>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</si>
  <si>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</si>
  <si>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</si>
  <si>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</si>
  <si>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</si>
  <si>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</si>
  <si>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</si>
  <si>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</si>
  <si>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</si>
  <si>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</si>
  <si>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</si>
  <si>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</si>
  <si>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</si>
  <si>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</si>
  <si>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</si>
  <si>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</si>
  <si>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</si>
  <si>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</si>
  <si>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</si>
  <si>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</si>
  <si>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</si>
  <si>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</si>
  <si>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</si>
  <si>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</si>
  <si>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</si>
  <si>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</si>
  <si>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</si>
  <si>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</si>
  <si>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</si>
  <si>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</si>
  <si>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</si>
  <si>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</si>
  <si>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</si>
  <si>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</si>
  <si>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</si>
  <si>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</si>
  <si>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</si>
  <si>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</si>
  <si>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</si>
  <si>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</si>
  <si>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</si>
  <si>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</si>
  <si>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</si>
  <si>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</si>
  <si>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</si>
  <si>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</si>
  <si>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</si>
  <si>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</si>
  <si>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</si>
  <si>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</si>
  <si>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</si>
  <si>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</si>
  <si>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</si>
  <si>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</si>
  <si>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</si>
  <si>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</si>
  <si>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</si>
  <si>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</si>
  <si>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</si>
  <si>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</si>
  <si>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</si>
  <si>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</si>
  <si>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</si>
  <si>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</si>
  <si>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</si>
  <si>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</si>
  <si>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</si>
  <si>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</si>
  <si>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</si>
  <si>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</si>
  <si>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</si>
  <si>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</si>
  <si>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</si>
  <si>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</si>
  <si>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</si>
  <si>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</si>
  <si>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</si>
  <si>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</si>
  <si>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</si>
  <si>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</si>
  <si>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</si>
  <si>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</si>
  <si>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</si>
  <si>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</si>
  <si>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</si>
  <si>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</si>
  <si>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</si>
  <si>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</si>
  <si>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</si>
  <si>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</si>
  <si>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</si>
  <si>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</si>
  <si>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</si>
  <si>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</si>
  <si>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</si>
  <si>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</si>
  <si>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</si>
  <si>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</si>
  <si>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</si>
  <si>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</si>
  <si>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</si>
  <si>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</si>
  <si>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</si>
  <si>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</si>
  <si>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</si>
  <si>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</si>
  <si>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</si>
  <si>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</si>
  <si>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</si>
  <si>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</si>
  <si>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</si>
  <si>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</si>
  <si>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</si>
  <si>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</si>
  <si>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</si>
  <si>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</si>
  <si>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</si>
  <si>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</si>
  <si>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</si>
  <si>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</si>
  <si>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</si>
  <si>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</si>
  <si>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</si>
  <si>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</si>
  <si>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</si>
  <si>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</si>
  <si>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</si>
  <si>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</si>
  <si>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</si>
  <si>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</si>
  <si>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</si>
  <si>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</si>
  <si>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</si>
  <si>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</si>
  <si>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</si>
  <si>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</si>
  <si>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</si>
  <si>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</si>
  <si>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</si>
  <si>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</si>
  <si>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</si>
  <si>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</si>
  <si>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</si>
  <si>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</si>
  <si>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</si>
  <si>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</si>
  <si>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</si>
  <si>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</si>
  <si>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</si>
  <si>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</si>
  <si>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</si>
  <si>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</si>
  <si>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</si>
  <si>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</si>
  <si>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</si>
  <si>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</si>
  <si>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</si>
  <si>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</si>
  <si>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</si>
  <si>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</si>
  <si>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</si>
  <si>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</si>
  <si>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</si>
  <si>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</si>
  <si>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</si>
  <si>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</si>
  <si>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</si>
  <si>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</si>
  <si>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</si>
  <si>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</si>
  <si>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</si>
  <si>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</si>
  <si>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</si>
  <si>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</si>
  <si>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</si>
  <si>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</si>
  <si>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</si>
  <si>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</si>
  <si>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</si>
  <si>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</si>
  <si>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</si>
  <si>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</si>
  <si>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</si>
  <si>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</si>
  <si>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</si>
  <si>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</si>
  <si>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</si>
  <si>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</si>
  <si>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</si>
  <si>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</si>
  <si>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</si>
  <si>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</si>
  <si>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</si>
  <si>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</si>
  <si>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</si>
  <si>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</si>
  <si>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</si>
  <si>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</si>
  <si>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</si>
  <si>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</si>
  <si>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</si>
  <si>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</si>
  <si>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</si>
  <si>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</si>
  <si>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</si>
  <si>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</si>
  <si>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</si>
  <si>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</si>
  <si>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</si>
  <si>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</si>
  <si>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</si>
  <si>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</si>
  <si>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</si>
  <si>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</si>
  <si>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</si>
  <si>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</si>
  <si>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</si>
  <si>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</si>
  <si>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</si>
  <si>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</si>
  <si>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</si>
  <si>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</si>
  <si>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</si>
  <si>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</si>
  <si>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</si>
  <si>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</si>
  <si>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</si>
  <si>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</si>
  <si>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</si>
  <si>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</si>
  <si>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</si>
  <si>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</si>
  <si>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</si>
  <si>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</si>
  <si>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</si>
  <si>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</si>
  <si>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</si>
  <si>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</si>
  <si>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</si>
  <si>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</si>
  <si>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</si>
  <si>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</si>
  <si>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</si>
  <si>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</si>
  <si>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</si>
  <si>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</si>
  <si>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</si>
  <si>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</si>
  <si>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</si>
  <si>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</si>
  <si>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</si>
  <si>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</si>
  <si>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</si>
  <si>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</si>
  <si>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</si>
  <si>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</si>
  <si>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</si>
  <si>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</si>
  <si>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</si>
  <si>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</si>
  <si>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</si>
  <si>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</si>
  <si>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</si>
  <si>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</si>
  <si>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</si>
  <si>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</si>
  <si>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</si>
  <si>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</si>
  <si>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</si>
  <si>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</si>
  <si>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</si>
  <si>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</si>
  <si>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</si>
  <si>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</si>
  <si>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</si>
  <si>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</si>
  <si>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</si>
  <si>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</si>
  <si>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</si>
  <si>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</si>
  <si>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</si>
  <si>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</si>
  <si>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</si>
  <si>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</si>
  <si>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</si>
  <si>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</si>
  <si>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</si>
  <si>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</si>
  <si>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</si>
  <si>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</si>
  <si>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</si>
  <si>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</si>
  <si>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</si>
  <si>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</si>
  <si>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</si>
  <si>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</si>
  <si>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</si>
  <si>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</si>
  <si>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</si>
  <si>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</si>
  <si>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</si>
  <si>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</si>
  <si>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</si>
  <si>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</si>
  <si>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</si>
  <si>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</si>
  <si>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</si>
  <si>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</si>
  <si>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</si>
  <si>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</si>
  <si>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</si>
  <si>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</si>
  <si>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</si>
  <si>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</si>
  <si>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</si>
  <si>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</si>
  <si>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</si>
  <si>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</si>
  <si>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</si>
  <si>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</si>
  <si>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</si>
  <si>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</si>
  <si>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</si>
  <si>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</si>
  <si>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</si>
  <si>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</si>
  <si>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</si>
  <si>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</si>
  <si>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</si>
  <si>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</si>
  <si>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</si>
  <si>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</si>
  <si>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</si>
  <si>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</si>
  <si>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</si>
  <si>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</si>
  <si>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</si>
  <si>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</si>
  <si>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</si>
  <si>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</si>
  <si>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</si>
  <si>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</si>
  <si>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</si>
  <si>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</si>
  <si>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</si>
  <si>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</si>
  <si>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</si>
  <si>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</si>
  <si>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</si>
  <si>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</si>
  <si>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</si>
  <si>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</si>
  <si>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</si>
  <si>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</si>
  <si>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</si>
  <si>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</si>
  <si>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</si>
  <si>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</si>
  <si>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</si>
  <si>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</si>
  <si>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</si>
  <si>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</si>
  <si>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</si>
  <si>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</si>
  <si>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</si>
  <si>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</si>
  <si>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</si>
  <si>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</si>
  <si>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</si>
  <si>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</si>
  <si>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</si>
  <si>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</si>
  <si>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</si>
  <si>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</si>
  <si>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</si>
  <si>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</si>
  <si>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</si>
  <si>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</si>
  <si>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</si>
  <si>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</si>
  <si>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</si>
  <si>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</si>
  <si>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</si>
  <si>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</si>
  <si>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</si>
  <si>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</si>
  <si>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</si>
  <si>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</si>
  <si>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</si>
  <si>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</si>
  <si>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</si>
  <si>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</si>
  <si>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</si>
  <si>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</si>
  <si>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</si>
  <si>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</si>
  <si>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</si>
  <si>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</si>
  <si>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</si>
  <si>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</si>
  <si>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</si>
  <si>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</si>
  <si>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</si>
  <si>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</si>
  <si>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</si>
  <si>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</si>
  <si>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</si>
  <si>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</si>
  <si>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</si>
  <si>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</si>
  <si>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</si>
  <si>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</si>
  <si>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</si>
  <si>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</si>
  <si>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</si>
  <si>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</si>
  <si>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</si>
  <si>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</si>
  <si>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</si>
  <si>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</si>
  <si>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</si>
  <si>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</si>
  <si>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</si>
  <si>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</si>
  <si>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</si>
  <si>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</si>
  <si>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</si>
  <si>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</si>
  <si>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</si>
  <si>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</si>
  <si>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</si>
  <si>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</si>
  <si>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</si>
  <si>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</si>
  <si>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</si>
  <si>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</si>
  <si>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</si>
  <si>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</si>
  <si>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</si>
  <si>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</si>
  <si>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</si>
  <si>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</si>
  <si>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</si>
  <si>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</si>
  <si>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</si>
  <si>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</si>
  <si>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</si>
  <si>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</si>
  <si>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</si>
  <si>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</si>
  <si>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</si>
  <si>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</si>
  <si>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</si>
  <si>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</si>
  <si>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</si>
  <si>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</si>
  <si>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</si>
  <si>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</si>
  <si>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</si>
  <si>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</si>
  <si>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</si>
  <si>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</si>
  <si>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</si>
  <si>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</si>
  <si>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</si>
  <si>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</si>
  <si>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</si>
  <si>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</si>
  <si>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</si>
  <si>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</si>
  <si>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</si>
  <si>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</si>
  <si>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</si>
  <si>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</si>
  <si>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</si>
  <si>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</si>
  <si>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</si>
  <si>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</si>
  <si>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</si>
  <si>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</si>
  <si>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</si>
  <si>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</si>
  <si>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</si>
  <si>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</si>
  <si>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</si>
  <si>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</si>
  <si>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</si>
  <si>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</si>
  <si>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</si>
  <si>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</si>
  <si>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</si>
  <si>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</si>
  <si>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</si>
  <si>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</si>
  <si>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</si>
  <si>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</si>
  <si>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</si>
  <si>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</si>
  <si>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</si>
  <si>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</si>
  <si>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</si>
  <si>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</si>
  <si>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</si>
  <si>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</si>
  <si>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</si>
  <si>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</si>
  <si>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</si>
  <si>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</si>
  <si>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</si>
  <si>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</si>
  <si>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</si>
  <si>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</si>
  <si>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</si>
  <si>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</si>
  <si>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</si>
  <si>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</si>
  <si>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</si>
  <si>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</si>
  <si>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</si>
  <si>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</si>
  <si>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</si>
  <si>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</si>
  <si>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</si>
  <si>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</si>
  <si>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</si>
  <si>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</si>
  <si>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</si>
  <si>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</si>
  <si>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</si>
  <si>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</si>
  <si>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</si>
  <si>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</si>
  <si>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</si>
  <si>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</si>
  <si>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</si>
  <si>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</si>
  <si>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</si>
  <si>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</si>
  <si>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</si>
  <si>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</si>
  <si>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</si>
  <si>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</si>
  <si>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</si>
  <si>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</si>
  <si>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</si>
  <si>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</si>
  <si>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</si>
  <si>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</si>
  <si>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</si>
  <si>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</si>
  <si>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</si>
  <si>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</si>
  <si>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</si>
  <si>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</si>
  <si>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</si>
  <si>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</si>
  <si>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</si>
  <si>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</si>
  <si>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</si>
  <si>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</si>
  <si>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</si>
  <si>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</si>
  <si>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</si>
  <si>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</si>
  <si>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</si>
  <si>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</si>
  <si>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</si>
  <si>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</si>
  <si>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</si>
  <si>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</si>
  <si>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</si>
  <si>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</si>
  <si>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</si>
  <si>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</si>
  <si>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</si>
  <si>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</si>
  <si>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</si>
  <si>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</si>
  <si>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</si>
  <si>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</si>
  <si>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</si>
  <si>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</si>
  <si>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</si>
  <si>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</si>
  <si>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</si>
  <si>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</si>
  <si>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</si>
  <si>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</si>
  <si>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</si>
  <si>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</si>
  <si>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</si>
  <si>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</si>
  <si>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</si>
  <si>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</si>
  <si>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</si>
  <si>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</si>
  <si>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</si>
  <si>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</si>
  <si>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</si>
  <si>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</si>
  <si>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</si>
  <si>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</si>
  <si>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</si>
  <si>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</si>
  <si>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</si>
  <si>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</si>
  <si>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</si>
  <si>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</si>
  <si>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</si>
  <si>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</si>
  <si>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</si>
  <si>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</si>
  <si>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</si>
  <si>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</si>
  <si>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</si>
  <si>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</si>
  <si>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</si>
  <si>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</si>
  <si>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</si>
  <si>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</si>
  <si>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</si>
  <si>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</si>
  <si>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</si>
  <si>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</si>
  <si>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</si>
  <si>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</si>
  <si>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</si>
  <si>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</si>
  <si>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</si>
  <si>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</si>
  <si>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</si>
  <si>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</si>
  <si>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</si>
  <si>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</si>
  <si>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</si>
  <si>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</si>
  <si>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</si>
  <si>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</si>
  <si>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</si>
  <si>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</si>
  <si>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</si>
  <si>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</si>
  <si>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</si>
  <si>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</si>
  <si>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</si>
  <si>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</si>
  <si>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</si>
  <si>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</si>
  <si>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</si>
  <si>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</si>
  <si>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</si>
  <si>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</si>
  <si>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</si>
  <si>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</si>
  <si>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</si>
  <si>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</si>
  <si>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</si>
  <si>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</si>
  <si>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</si>
  <si>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</si>
  <si>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</si>
  <si>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</si>
  <si>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</si>
  <si>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</si>
  <si>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</si>
  <si>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</si>
  <si>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</si>
  <si>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</si>
  <si>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</si>
  <si>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</si>
  <si>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</si>
  <si>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</si>
  <si>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</si>
  <si>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</si>
  <si>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</si>
  <si>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</si>
  <si>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</si>
  <si>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</si>
  <si>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</si>
  <si>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</si>
  <si>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</si>
  <si>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</si>
  <si>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</si>
  <si>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</si>
  <si>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</si>
  <si>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</si>
  <si>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</si>
  <si>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</si>
  <si>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</si>
  <si>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</si>
  <si>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</si>
  <si>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</si>
  <si>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</si>
  <si>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</si>
  <si>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</si>
  <si>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</si>
  <si>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</si>
  <si>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</si>
  <si>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</si>
  <si>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</si>
  <si>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</si>
  <si>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</si>
  <si>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</si>
  <si>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</si>
  <si>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</si>
  <si>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</si>
  <si>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</si>
  <si>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</si>
  <si>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</si>
  <si>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</si>
  <si>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</si>
  <si>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</si>
  <si>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</si>
  <si>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</si>
  <si>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</si>
  <si>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</si>
  <si>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</si>
  <si>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</si>
  <si>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</si>
  <si>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</si>
  <si>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</si>
  <si>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</si>
  <si>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</si>
  <si>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</si>
  <si>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</si>
  <si>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</si>
  <si>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</si>
  <si>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</si>
  <si>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</si>
  <si>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</si>
  <si>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</si>
  <si>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</si>
  <si>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</si>
  <si>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</si>
  <si>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</si>
  <si>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</si>
  <si>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</si>
  <si>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</si>
  <si>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</si>
  <si>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</si>
  <si>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</si>
  <si>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</si>
  <si>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</si>
  <si>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</si>
  <si>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</si>
  <si>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</si>
  <si>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</si>
  <si>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</si>
  <si>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</si>
  <si>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</si>
  <si>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</si>
  <si>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</si>
  <si>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</si>
  <si>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</si>
  <si>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</si>
  <si>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</si>
  <si>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</si>
  <si>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</si>
  <si>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</si>
  <si>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</si>
  <si>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</si>
  <si>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</si>
  <si>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</si>
  <si>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</si>
  <si>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</si>
  <si>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</si>
  <si>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</si>
  <si>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</si>
  <si>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</si>
  <si>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</si>
  <si>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</si>
  <si>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</si>
  <si>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</si>
  <si>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</si>
  <si>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</si>
  <si>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</si>
  <si>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</si>
  <si>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</si>
  <si>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</si>
  <si>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</si>
  <si>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</si>
  <si>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</si>
  <si>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</si>
  <si>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</si>
  <si>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</si>
  <si>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</si>
  <si>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</si>
  <si>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</si>
  <si>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</si>
  <si>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</si>
  <si>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</si>
  <si>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</si>
  <si>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</si>
  <si>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</si>
  <si>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</si>
  <si>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</si>
  <si>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</si>
  <si>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</si>
  <si>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</si>
  <si>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</si>
  <si>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</si>
  <si>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</si>
  <si>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</si>
  <si>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</si>
  <si>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</si>
  <si>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</si>
  <si>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</si>
  <si>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</si>
  <si>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</si>
  <si>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</si>
  <si>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</si>
  <si>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</si>
  <si>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</si>
  <si>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</si>
  <si>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</si>
  <si>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</si>
  <si>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</si>
  <si>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</si>
  <si>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</si>
  <si>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</si>
  <si>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</si>
  <si>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</si>
  <si>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</si>
  <si>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</si>
  <si>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</si>
  <si>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</si>
  <si>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</si>
  <si>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</si>
  <si>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</si>
  <si>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</si>
  <si>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</si>
  <si>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</si>
  <si>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</si>
  <si>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</si>
  <si>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</si>
  <si>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</si>
  <si>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</si>
  <si>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</si>
  <si>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</si>
  <si>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</si>
  <si>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</si>
  <si>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</si>
  <si>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</si>
  <si>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</si>
  <si>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</si>
  <si>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</si>
  <si>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</si>
  <si>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</si>
  <si>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</si>
  <si>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</si>
  <si>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</si>
  <si>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</si>
  <si>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</si>
  <si>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</si>
  <si>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</si>
  <si>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</si>
  <si>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</si>
  <si>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</si>
  <si>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</si>
  <si>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</si>
  <si>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</si>
  <si>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</si>
  <si>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</si>
  <si>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</si>
  <si>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</si>
  <si>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</si>
  <si>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</si>
  <si>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</si>
  <si>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</si>
  <si>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</si>
  <si>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</si>
  <si>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</si>
  <si>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</si>
  <si>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</si>
  <si>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</si>
  <si>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</si>
  <si>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</si>
  <si>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</si>
  <si>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</si>
  <si>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</si>
  <si>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</si>
  <si>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</si>
  <si>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</si>
  <si>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</si>
  <si>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</si>
  <si>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</si>
  <si>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</si>
  <si>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</si>
  <si>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</si>
  <si>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</si>
  <si>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</si>
  <si>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</si>
  <si>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</si>
  <si>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</si>
  <si>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</si>
  <si>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</si>
  <si>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</si>
  <si>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</si>
  <si>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</si>
  <si>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</si>
  <si>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</si>
  <si>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</si>
  <si>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</si>
  <si>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</si>
  <si>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</si>
  <si>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</si>
  <si>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</si>
  <si>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</si>
  <si>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</si>
  <si>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</si>
  <si>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</si>
  <si>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</si>
  <si>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</si>
  <si>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</si>
  <si>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</si>
  <si>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</si>
  <si>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</si>
  <si>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</si>
  <si>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</si>
  <si>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</si>
  <si>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</si>
  <si>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</si>
  <si>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</si>
  <si>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</si>
  <si>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</si>
  <si>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</si>
  <si>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</si>
  <si>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</si>
  <si>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</si>
  <si>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</si>
  <si>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</si>
  <si>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</si>
  <si>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</si>
  <si>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</si>
  <si>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</si>
  <si>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</si>
  <si>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</si>
  <si>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</si>
  <si>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</si>
  <si>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</si>
  <si>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</si>
  <si>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</si>
  <si>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</si>
  <si>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</si>
  <si>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</si>
  <si>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</si>
  <si>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</si>
  <si>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</si>
  <si>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</si>
  <si>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</si>
  <si>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</si>
  <si>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</si>
  <si>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</si>
  <si>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</si>
  <si>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</si>
  <si>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</si>
  <si>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</si>
  <si>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</si>
  <si>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</si>
  <si>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</si>
  <si>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</si>
  <si>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</si>
  <si>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</si>
  <si>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</si>
  <si>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</si>
  <si>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</si>
  <si>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</si>
  <si>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</si>
  <si>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</si>
  <si>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</si>
  <si>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</si>
  <si>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</si>
  <si>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</si>
  <si>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</si>
  <si>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</si>
  <si>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</si>
  <si>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</si>
  <si>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</si>
  <si>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</si>
  <si>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</si>
  <si>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</si>
  <si>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</si>
  <si>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</si>
  <si>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</si>
  <si>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</si>
  <si>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</si>
  <si>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</si>
  <si>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</si>
  <si>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</si>
  <si>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</si>
  <si>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</si>
  <si>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</si>
  <si>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</si>
  <si>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</si>
  <si>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</si>
  <si>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</si>
  <si>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</si>
  <si>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</si>
  <si>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</si>
  <si>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</si>
  <si>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</si>
  <si>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</si>
  <si>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</si>
  <si>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</si>
  <si>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</si>
  <si>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</si>
  <si>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</si>
  <si>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</si>
  <si>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</si>
  <si>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</si>
  <si>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</si>
  <si>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</si>
  <si>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</si>
  <si>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</si>
  <si>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</si>
  <si>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</si>
  <si>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</si>
  <si>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</si>
  <si>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</si>
  <si>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</si>
  <si>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</si>
  <si>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</si>
  <si>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</si>
  <si>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</si>
  <si>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</si>
  <si>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</si>
  <si>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</si>
  <si>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</si>
  <si>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</si>
  <si>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</si>
  <si>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</si>
  <si>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</si>
  <si>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</si>
  <si>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</si>
  <si>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</si>
  <si>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</si>
  <si>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</si>
  <si>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</si>
  <si>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</si>
  <si>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</si>
  <si>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</si>
  <si>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</si>
  <si>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</si>
  <si>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</si>
  <si>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</si>
  <si>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</si>
  <si>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</si>
  <si>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</si>
  <si>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</si>
  <si>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</si>
  <si>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</si>
  <si>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</si>
  <si>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</si>
  <si>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</si>
  <si>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</si>
  <si>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</si>
  <si>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</si>
  <si>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</si>
  <si>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</si>
  <si>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</si>
  <si>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</si>
  <si>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</si>
  <si>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</si>
  <si>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</si>
  <si>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</si>
  <si>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</si>
  <si>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</si>
  <si>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</si>
  <si>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</si>
  <si>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</si>
  <si>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</si>
  <si>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</si>
  <si>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</si>
  <si>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</si>
  <si>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</si>
  <si>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</si>
  <si>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</si>
  <si>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</si>
  <si>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</si>
  <si>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</si>
  <si>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</si>
  <si>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</si>
  <si>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</si>
  <si>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</si>
  <si>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</si>
  <si>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</si>
  <si>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</si>
  <si>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</si>
  <si>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</si>
  <si>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</si>
  <si>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</si>
  <si>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</si>
  <si>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</si>
  <si>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</si>
  <si>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</si>
  <si>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</si>
  <si>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</si>
  <si>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</si>
  <si>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</si>
  <si>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</si>
  <si>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</si>
  <si>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</si>
  <si>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</si>
  <si>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</si>
  <si>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</si>
  <si>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</si>
  <si>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</si>
  <si>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</si>
  <si>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</si>
  <si>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</si>
  <si>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</si>
  <si>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</si>
  <si>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</si>
  <si>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</si>
  <si>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</si>
  <si>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</si>
  <si>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</si>
  <si>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</si>
  <si>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</si>
  <si>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</si>
  <si>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</si>
  <si>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</si>
  <si>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</si>
  <si>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</si>
  <si>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</si>
  <si>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</si>
  <si>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</si>
  <si>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</si>
  <si>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</si>
  <si>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</si>
  <si>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</si>
  <si>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</si>
  <si>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</si>
  <si>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</si>
  <si>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</si>
  <si>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</si>
  <si>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</si>
  <si>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</si>
  <si>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</si>
  <si>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</si>
  <si>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</si>
  <si>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</si>
  <si>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</si>
  <si>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</si>
  <si>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</si>
  <si>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</si>
  <si>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</si>
  <si>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</si>
  <si>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</si>
  <si>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</si>
  <si>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</si>
  <si>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</si>
  <si>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</si>
  <si>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</si>
  <si>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</si>
  <si>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</si>
  <si>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</si>
  <si>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</si>
  <si>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</si>
  <si>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</si>
  <si>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</si>
  <si>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</si>
  <si>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</si>
  <si>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</si>
  <si>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</si>
  <si>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</si>
  <si>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</si>
  <si>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</si>
  <si>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</si>
  <si>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</si>
  <si>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</si>
  <si>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</si>
  <si>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</si>
  <si>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</si>
  <si>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</si>
  <si>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</si>
  <si>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</si>
  <si>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</si>
  <si>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</si>
  <si>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</si>
  <si>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</si>
  <si>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</si>
  <si>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</si>
  <si>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</si>
  <si>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</si>
  <si>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</si>
  <si>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</si>
  <si>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</si>
  <si>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</si>
  <si>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</si>
  <si>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</si>
  <si>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</si>
  <si>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</si>
  <si>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</si>
  <si>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</si>
  <si>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</si>
  <si>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</si>
  <si>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</si>
  <si>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</si>
  <si>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</si>
  <si>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</si>
  <si>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</si>
  <si>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</si>
  <si>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</si>
  <si>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</si>
  <si>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</si>
  <si>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</si>
  <si>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</si>
  <si>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</si>
  <si>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</si>
  <si>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</si>
  <si>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</si>
  <si>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</si>
  <si>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</si>
  <si>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</si>
  <si>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</si>
  <si>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</si>
  <si>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</si>
  <si>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</si>
  <si>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</si>
  <si>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</si>
  <si>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</si>
  <si>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</si>
  <si>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</si>
  <si>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</si>
  <si>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</si>
  <si>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</si>
  <si>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</si>
  <si>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</si>
  <si>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</si>
  <si>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</si>
  <si>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</si>
  <si>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</si>
  <si>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</si>
  <si>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</si>
  <si>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</si>
  <si>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</si>
  <si>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</si>
  <si>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</si>
  <si>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</si>
  <si>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</si>
  <si>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</si>
  <si>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</si>
  <si>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</si>
  <si>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</si>
  <si>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</si>
  <si>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</si>
  <si>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</si>
  <si>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</si>
  <si>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</si>
  <si>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</si>
  <si>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</si>
  <si>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</si>
  <si>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</si>
  <si>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</si>
  <si>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</si>
  <si>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</si>
  <si>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</si>
  <si>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</si>
  <si>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</si>
  <si>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</si>
  <si>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</si>
  <si>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</si>
  <si>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</si>
  <si>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</si>
  <si>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</si>
  <si>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</si>
  <si>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</si>
  <si>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</si>
  <si>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</si>
  <si>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</si>
  <si>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</si>
  <si>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</si>
  <si>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</si>
  <si>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</si>
  <si>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</si>
  <si>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</si>
  <si>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</si>
  <si>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</si>
  <si>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</si>
  <si>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</si>
  <si>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</si>
  <si>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</si>
  <si>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</si>
  <si>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</si>
  <si>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</si>
  <si>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</si>
  <si>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</si>
  <si>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</si>
  <si>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</si>
  <si>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</si>
  <si>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</si>
  <si>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</si>
  <si>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</si>
  <si>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</si>
  <si>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</si>
  <si>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</si>
  <si>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</si>
  <si>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</si>
  <si>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</si>
  <si>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</si>
  <si>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</si>
  <si>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</si>
  <si>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</si>
  <si>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</si>
  <si>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</si>
  <si>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</si>
  <si>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</si>
  <si>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</si>
  <si>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</si>
  <si>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</si>
  <si>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</si>
  <si>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</si>
  <si>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</si>
  <si>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</si>
  <si>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</si>
  <si>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</si>
  <si>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</si>
  <si>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</si>
  <si>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</si>
  <si>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</si>
  <si>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</si>
  <si>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</si>
  <si>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</si>
  <si>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</si>
  <si>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</si>
  <si>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</si>
  <si>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</si>
  <si>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</si>
  <si>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</si>
  <si>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</si>
  <si>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</si>
  <si>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</si>
  <si>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</si>
  <si>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</si>
  <si>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</si>
  <si>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</si>
  <si>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</si>
  <si>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</si>
  <si>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</si>
  <si>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</si>
  <si>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</si>
  <si>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</si>
  <si>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</si>
  <si>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</si>
  <si>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</si>
  <si>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</si>
  <si>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</si>
  <si>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</si>
  <si>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</si>
  <si>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</si>
  <si>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</si>
  <si>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</si>
  <si>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</si>
  <si>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</si>
  <si>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</si>
  <si>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</si>
  <si>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</si>
  <si>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</si>
  <si>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</si>
  <si>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</si>
  <si>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</si>
  <si>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</si>
  <si>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</si>
  <si>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</si>
  <si>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</si>
  <si>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</si>
  <si>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</si>
  <si>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</si>
  <si>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</si>
  <si>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</si>
  <si>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</si>
  <si>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</si>
  <si>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</si>
  <si>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</si>
  <si>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</si>
  <si>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</si>
  <si>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</si>
  <si>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</si>
  <si>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</si>
  <si>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</si>
  <si>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</si>
  <si>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</si>
  <si>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</si>
  <si>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</si>
  <si>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</si>
  <si>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</si>
  <si>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</si>
  <si>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</si>
  <si>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</si>
  <si>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</si>
  <si>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</si>
  <si>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</si>
  <si>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</si>
  <si>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</si>
  <si>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</si>
  <si>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</si>
  <si>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</si>
  <si>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</si>
  <si>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</si>
  <si>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</si>
  <si>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</si>
  <si>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</si>
  <si>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</si>
  <si>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</si>
  <si>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</si>
  <si>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</si>
  <si>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</si>
  <si>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</si>
  <si>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</si>
  <si>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</si>
  <si>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</si>
  <si>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</si>
  <si>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</si>
  <si>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</si>
  <si>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</si>
  <si>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</si>
  <si>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</si>
  <si>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</si>
  <si>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</si>
  <si>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</si>
  <si>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</si>
  <si>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</si>
  <si>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</si>
  <si>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</si>
  <si>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</si>
  <si>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</si>
  <si>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</si>
  <si>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</si>
  <si>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</si>
  <si>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</si>
  <si>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</si>
  <si>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</si>
  <si>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</si>
  <si>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</si>
  <si>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</si>
  <si>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</si>
  <si>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</si>
  <si>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</si>
  <si>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</si>
  <si>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</si>
  <si>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</si>
  <si>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</si>
  <si>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</si>
  <si>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</si>
  <si>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</si>
  <si>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</si>
  <si>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</si>
  <si>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</si>
  <si>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</si>
  <si>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</si>
  <si>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</si>
  <si>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</si>
  <si>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 xml:space="preserve">   Fresh Fruits and Vegetables</t>
  </si>
  <si>
    <t>N/A</t>
  </si>
  <si>
    <t>U.S. DEPT. OF AGRICULTURE PASSED THROUGH ILLINOIS STATE BOARD OF EDUCATION</t>
  </si>
  <si>
    <t xml:space="preserve">   Government Donated Commodities</t>
  </si>
  <si>
    <t xml:space="preserve">   Federal Lunch Program-FY17 Regular</t>
  </si>
  <si>
    <t>17-4210-00</t>
  </si>
  <si>
    <t>U.S. DEPT. OF AGRICULTURE PASSED THROUGH DEPARTMENT OF DEFENSE</t>
  </si>
  <si>
    <t xml:space="preserve">   Federal Lunch Program-FY18 Regular</t>
  </si>
  <si>
    <t>18-4210-00</t>
  </si>
  <si>
    <t xml:space="preserve">   Federal Lunch Program-FY17 Breakfast</t>
  </si>
  <si>
    <t xml:space="preserve">   Federal Lunch Program-FY18 Breakfast</t>
  </si>
  <si>
    <t>17-4220-00</t>
  </si>
  <si>
    <t>18-4220-00</t>
  </si>
  <si>
    <t xml:space="preserve">   Summer Food Service Program</t>
  </si>
  <si>
    <t>17-4225-00</t>
  </si>
  <si>
    <t>18-4225-00</t>
  </si>
  <si>
    <t>TOTAL U.S. DEPT. OF AGRICULTURE</t>
  </si>
  <si>
    <t>U.S. DEPT. OF EDUCATION PASSED THROUGH ILLINOIS STATE BOARD OF EDUCATION</t>
  </si>
  <si>
    <t xml:space="preserve">   Title I - Low Income</t>
  </si>
  <si>
    <t xml:space="preserve">   Title I - Neglected Private</t>
  </si>
  <si>
    <t xml:space="preserve">   Title I - Delinquent Private</t>
  </si>
  <si>
    <t>84.010A</t>
  </si>
  <si>
    <t>17-4300-00</t>
  </si>
  <si>
    <t>18-4300-00</t>
  </si>
  <si>
    <t>17-4305-00</t>
  </si>
  <si>
    <t>18-4305-00</t>
  </si>
  <si>
    <t>17-4306-00</t>
  </si>
  <si>
    <t>18-4306-00</t>
  </si>
  <si>
    <t xml:space="preserve">   Title IV-21st Century Community Learning Centers</t>
  </si>
  <si>
    <t>84.287C</t>
  </si>
  <si>
    <t>17-4421-15</t>
  </si>
  <si>
    <t>18-4421-15</t>
  </si>
  <si>
    <t xml:space="preserve">      Total CFDA 84.287C</t>
  </si>
  <si>
    <t xml:space="preserve">   Title II - Teacher Quality</t>
  </si>
  <si>
    <t>84.367A</t>
  </si>
  <si>
    <t>17-4932-00</t>
  </si>
  <si>
    <t xml:space="preserve">      Total CFDA 84.367A</t>
  </si>
  <si>
    <t xml:space="preserve">   Fed. Sp. Ed. IDEA Room and Board</t>
  </si>
  <si>
    <t>84.027A</t>
  </si>
  <si>
    <t>17-4625-00</t>
  </si>
  <si>
    <t>18-4625-00</t>
  </si>
  <si>
    <t>U.S. DEPT. OF EDUCATION PASSED THROUGH SPECIAL EDUCATION ASSOCIATION OF ADAMS COUNTY</t>
  </si>
  <si>
    <t xml:space="preserve">   Fed. Sp. Ed. IDEA Flow-Through</t>
  </si>
  <si>
    <t>17-4620-00</t>
  </si>
  <si>
    <t>18-4620-00</t>
  </si>
  <si>
    <t xml:space="preserve">   Fed. Sp. Ed. Preschool Flow-Through</t>
  </si>
  <si>
    <t>17-4600-00</t>
  </si>
  <si>
    <t>18-4600-00</t>
  </si>
  <si>
    <t>U.S. DEPT. OF EDUCATION PASSED THROUGH ILLINOIS DEPARTMENT OF HUMAN SERVICES</t>
  </si>
  <si>
    <t xml:space="preserve">   Rehabilitation Services-STEP</t>
  </si>
  <si>
    <t>46CVD00009</t>
  </si>
  <si>
    <t xml:space="preserve">      Total CFDA 84.126</t>
  </si>
  <si>
    <t>U.S. DEPT. OF EDUCATION PASSED THROUGH ILLINOIS STATE UNIVERSITY</t>
  </si>
  <si>
    <t xml:space="preserve">   Illinois Partnership Advancing Rigorous Training    Grant</t>
  </si>
  <si>
    <t>A14-0017-S002</t>
  </si>
  <si>
    <t xml:space="preserve">      Total CFDA 84.363</t>
  </si>
  <si>
    <t>TOTAL U.S. DEPT. OF EDUCATION</t>
  </si>
  <si>
    <t>U.S. DEPT. OF HEALTH AND HUMAN SERVICES-DIRECT PROGRAMS</t>
  </si>
  <si>
    <t xml:space="preserve">   Head Start ($1,322,954 Received FY16, $1,544,809 spent FY16)</t>
  </si>
  <si>
    <t xml:space="preserve">   Head Start</t>
  </si>
  <si>
    <t>05CH10019-01</t>
  </si>
  <si>
    <t>05CH10019-02-02</t>
  </si>
  <si>
    <t xml:space="preserve">      Total CFDA 93.600</t>
  </si>
  <si>
    <t>U.S. DEPT. OF HEALTH AND HUMAN SERVICES PASSED THROUGH ILLINOIS DEPARTMENT OF HEALTHCARE AND FAMILY SERVICES</t>
  </si>
  <si>
    <t xml:space="preserve">   Medicaid Admin Outreach</t>
  </si>
  <si>
    <t>17-4991-00</t>
  </si>
  <si>
    <t>18-4991-00</t>
  </si>
  <si>
    <t>TOTAL U.S. DEPT. OF HEALTH AND HUMAN SERVICES</t>
  </si>
  <si>
    <t>TOTAL FEDERAL AWARDS</t>
  </si>
  <si>
    <t>W46CWF00009</t>
  </si>
  <si>
    <t xml:space="preserve">   Title I - Low Income ($4,016 Prepayment)</t>
  </si>
  <si>
    <t>Medicaid Admin Fee Not Included in AFR Revenue</t>
  </si>
  <si>
    <t>18-4932-00</t>
  </si>
  <si>
    <t xml:space="preserve">   Title II - Teacher Quality ($897 Prepayment)</t>
  </si>
  <si>
    <t>05CH10019-03-02</t>
  </si>
  <si>
    <t xml:space="preserve">      Total CFDA 10.555 (M)</t>
  </si>
  <si>
    <t xml:space="preserve">      Total CFDA 10.553 (M)</t>
  </si>
  <si>
    <r>
      <t xml:space="preserve">      </t>
    </r>
    <r>
      <rPr>
        <b/>
        <sz val="8"/>
        <rFont val="Calibri"/>
        <family val="2"/>
        <scheme val="minor"/>
      </rPr>
      <t>Total CFDA 10.559 (M)</t>
    </r>
  </si>
  <si>
    <t xml:space="preserve">      Total CFDA 93.778 (M)</t>
  </si>
  <si>
    <t>TOTAL CHILD NUTRITION CLUSTER</t>
  </si>
  <si>
    <t>TOTAL SPECIAL EDUCATION CLUSTER (IDEA)</t>
  </si>
  <si>
    <t xml:space="preserve">      Total CFDA 84.173 (M)</t>
  </si>
  <si>
    <t xml:space="preserve">      Total CFDA 84.027A (M)</t>
  </si>
  <si>
    <r>
      <t xml:space="preserve">      </t>
    </r>
    <r>
      <rPr>
        <b/>
        <sz val="8"/>
        <rFont val="Calibri"/>
        <family val="2"/>
        <scheme val="minor"/>
      </rPr>
      <t xml:space="preserve">Total CFDA 84.010A </t>
    </r>
  </si>
  <si>
    <t>10.553, 10.555, 10.559</t>
  </si>
  <si>
    <t>Child Nutrition Cluster</t>
  </si>
  <si>
    <t>84.027A, 84.173</t>
  </si>
  <si>
    <t>Special Education Cluster (IDEA)</t>
  </si>
  <si>
    <t>Medicaid</t>
  </si>
  <si>
    <t>X</t>
  </si>
  <si>
    <t>Adams</t>
  </si>
  <si>
    <t>1416 Maine Street</t>
  </si>
  <si>
    <t>whickery@qps.org</t>
  </si>
  <si>
    <t>Roy Webb</t>
  </si>
  <si>
    <t>webbro@qps.org</t>
  </si>
  <si>
    <t>217-223-8700</t>
  </si>
  <si>
    <t>217-228-7162</t>
  </si>
  <si>
    <t>Zumbahlen, Eyth, Surratt, Foote &amp; Flynn, Ltd.</t>
  </si>
  <si>
    <t>Valerie L. Flynn</t>
  </si>
  <si>
    <t>1395 Lincoln Ave.</t>
  </si>
  <si>
    <t>Jacksonville</t>
  </si>
  <si>
    <t>IL</t>
  </si>
  <si>
    <t>217-245-5121</t>
  </si>
  <si>
    <t>217-243-3356</t>
  </si>
  <si>
    <t>vflynn@zescpa.com</t>
  </si>
  <si>
    <t>Qualified Zone Academy Bonds, Series 2008</t>
  </si>
  <si>
    <t>Taxable General Obligation Bonds, Series 2012A</t>
  </si>
  <si>
    <t>General Obligation School Bonds, Series 2014</t>
  </si>
  <si>
    <t>Dell Computer Leases</t>
  </si>
  <si>
    <t>General Obligation School Bonds, Series 2015</t>
  </si>
  <si>
    <t>De Lage Landen Public Finance Lease</t>
  </si>
  <si>
    <t>General Obligation School Bonds, Series 2016</t>
  </si>
  <si>
    <t>General Obligation School Bonds, Series 2017</t>
  </si>
  <si>
    <t>General Obligation School Bonds, Series 2018</t>
  </si>
  <si>
    <t>Computer Purchase Agreement</t>
  </si>
  <si>
    <t>Equipment Purchase Agreement</t>
  </si>
  <si>
    <t>Page 10, Line 78 Admissions Other $46,000 (Musicals/Plays)</t>
  </si>
  <si>
    <t>Page 10, Line 81 Other District/School Activity Revenue $57,319 (Parking Permits, Tournaments, Child Care Program)</t>
  </si>
  <si>
    <t>Page 11, Line 106 Other Local Fees $83 (Library Fees)</t>
  </si>
  <si>
    <t>Page 11, Line 107 Other Local Revenues - Education Fund $198,335 (FCC E-Rate) $6,825 (Reading Recovery) $79,066 (CEP Grant from ROE)</t>
  </si>
  <si>
    <t>$357,067 (Misc), Operations &amp; Maintenance Fund $194,128 (FCC E-Rate) $8,762 (Misc), Transportation Fund $35,162 (Repairs &amp; Maintenance)</t>
  </si>
  <si>
    <t>$1,000 (Misc), Capital Projects Fund $11,500 (EFI Rebate Ameren)</t>
  </si>
  <si>
    <t>Page 11, Line 120 Other Unrestricted Grants-In-Aid from State Sources $285,932 (Safe Schools)</t>
  </si>
  <si>
    <t xml:space="preserve">Page 12, Line 171 Other Restricted Revenue from State Sources $8,132 (State Library Grant) $38,132 (Orphanage Tuition) </t>
  </si>
  <si>
    <t>$6,707 (TPI Child Care) $102,576 (Misc)</t>
  </si>
  <si>
    <t>Page 11, Line 130 Special Education - Other $5,978 (Orphan's Tuition)</t>
  </si>
  <si>
    <t>Page 13, Line 210 Title I - Other $54,304 (Title I Del/Youth Home)</t>
  </si>
  <si>
    <t>Page 14, Line 272 Other Restricted Revenue from Federal Sources $81,005 (IL Part Grant) $37,733 (Rehab Services - Step)</t>
  </si>
  <si>
    <t>Page 15, Line 41 Other Support Services - Pupils $81,642 (Crossing Guards) $10,509 (Teen Reach)</t>
  </si>
  <si>
    <t>Page 16, Line 56 Other Support Services - School Admin $5,750 (Summer School Teacher) $693 (Summer School Employee Benefits)</t>
  </si>
  <si>
    <t>$3,281 (Donated Monies - Athletics)</t>
  </si>
  <si>
    <t>Page 16, Line 73 Other Support Services $64,812 (21st Century &amp; Title I)</t>
  </si>
  <si>
    <t>Page 18, Line 171 Debt Services - Other Bond Issuance Fees</t>
  </si>
  <si>
    <t>Page 18, Line 183 Other Support Services 21st Century</t>
  </si>
  <si>
    <t>Page 20, Line 237 Other Support Services - Pupils FICA/Medicare</t>
  </si>
  <si>
    <t>Page 21, Line 278 Other Support Services</t>
  </si>
  <si>
    <t>Long Term Debt Error on Checklist #8 is due to capital leases that were paid out of Educational Fund, not the Debt Service Fund</t>
  </si>
  <si>
    <t>066-004993</t>
  </si>
  <si>
    <t>The accompanying Schedule of Expenditures of Federal Awards includes the federal grant activity of Quincy Public School District No. 172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</si>
  <si>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Quincy Public School District No. 172 provided federal awards to subrecipients as follows:</t>
  </si>
  <si>
    <t>The following amounts were expended in the form of non-cash assistance by Quincy Public School District No. 172 and are included in the Schedule of Expenditures of Federal Awards:</t>
  </si>
  <si>
    <t>Unmodified</t>
  </si>
  <si>
    <t>2017-001</t>
  </si>
  <si>
    <t>Various revenues and expenditures were misclassified</t>
  </si>
  <si>
    <t>by fund, function and object</t>
  </si>
  <si>
    <t>2017-002</t>
  </si>
  <si>
    <t>Duties regarding grant expenditures/reporting of</t>
  </si>
  <si>
    <t>Quincy Public School District No. 172 and the Special</t>
  </si>
  <si>
    <t>Education Association of Adams County are being</t>
  </si>
  <si>
    <t>performed by the same personnel.</t>
  </si>
  <si>
    <t>2017-003</t>
  </si>
  <si>
    <t>Actual expenditures were allowed to exceed budgeted</t>
  </si>
  <si>
    <t>expenditures</t>
  </si>
  <si>
    <t>2017-004</t>
  </si>
  <si>
    <t>Cash and investment bank reconciliations should be</t>
  </si>
  <si>
    <t>reviewed timely for accuracy by someone independent</t>
  </si>
  <si>
    <t>of their completion.</t>
  </si>
  <si>
    <t>x</t>
  </si>
  <si>
    <t>Internal controls should be in place to monitor and limit expenditures within approved budget guidelines.</t>
  </si>
  <si>
    <t>Actual expenditures were allowed to exceed budgeted expenditures.</t>
  </si>
  <si>
    <t>The District had actual expenditures in excess of budget of $418,835 in the Debt Service Fund and $3,186 in the Municipal Retirement/Social Security Fund.</t>
  </si>
  <si>
    <t>The District did not comply with applicable budget constraints.</t>
  </si>
  <si>
    <t>The District did not perform a review of budgeted expenditures compared to actual expenditures on a regular basis.</t>
  </si>
  <si>
    <t>The District should review a comparison of actual expenditures to budgeted expenditures throughout the year.  If the District will exceed the adopted budget, the Board should amend the budget by the same procedures required of the original adoption.</t>
  </si>
  <si>
    <t>The District will monitor actual expenditures in relation to budget more closely in the future, and if the budget will be exceeded, the Board will amend the budget by the same procedures required of the original adoption.</t>
  </si>
  <si>
    <t>Internal controls should provide for a review of reimbursements received from the Special Education Association of Adams County for agreement with expenditure reports filed with the Association.</t>
  </si>
  <si>
    <t>Reimbursements received from the Special Education Association of Adams County are not being compared to submitted expenditure reports for agreement.</t>
  </si>
  <si>
    <t>The District submits expenditure reports to the Association in order to receive reimbursements for monies spent by the District throug the IDEA Special Education grants.</t>
  </si>
  <si>
    <t>The District has been reimbursed by the Association, amounts that differ from the amounts requested by the District.  In certain instances, such as where the grant year has already been closed, this has resulted in lost revenue to the District due to reimbursements received for less than requested and documented.</t>
  </si>
  <si>
    <t>There is no subsequent review and reconciliation of expenditure reports to reimbursements once the reimbursement is received from the Association.</t>
  </si>
  <si>
    <t xml:space="preserve">The District should reconcile reimbursements received from the Association with amounts requested through expenditure reports.  If the amounts differ, the District should work with the Association to determine the cause of the difference, such as disapproved expenditures or clerical errors.  </t>
  </si>
  <si>
    <t>The District will review and reconcile amounts received from the Association with amounts requested on a timely basis.  If there are differences in the amounts, the District will work with the Association to determine the cause, and reflect any necessary changes in the records of the District.</t>
  </si>
  <si>
    <t>See Finding 2018-002</t>
  </si>
  <si>
    <t>2017 Federal Special Education Cluster</t>
  </si>
  <si>
    <t>4600, 4620, 4625</t>
  </si>
  <si>
    <t>84.027, 84.173</t>
  </si>
  <si>
    <t>Special Education Association of Adams County</t>
  </si>
  <si>
    <t>U.S. Department of Education</t>
  </si>
  <si>
    <t>Resolved</t>
  </si>
  <si>
    <t>See 2018-001</t>
  </si>
  <si>
    <t>2017 Special Education Cluster</t>
  </si>
  <si>
    <t>The District must maintain time and effort documentation in accordance with 2 CFR section 200.430(i)(1)(vii).</t>
  </si>
  <si>
    <t>The District did not comply with time and effort reporting requirements.</t>
  </si>
  <si>
    <t>The District failed to have teachers whose salary is paid, in whole or in part, by the IDEA Special Education grants, sign off on time and effort documentation on at least a semi-annual basis.</t>
  </si>
  <si>
    <t>Signed time and effort documentation was not maintained by the District.</t>
  </si>
  <si>
    <t>The District did not send out time and effort documentation requests on a semi-annual basis as has been done in previous years.</t>
  </si>
  <si>
    <t>The District should continue to request time and effort documentation from affected teachers on at least a semi-annual basis.</t>
  </si>
  <si>
    <t>Management will continue to request time and effort documentation from teachers paid through the IDEA Special Education grant.  If a reporting deadline is missed, the District will remedy the oversight as soon as it is identified.</t>
  </si>
  <si>
    <t>RSSP/ROE</t>
  </si>
  <si>
    <t>Egyptian Trust</t>
  </si>
  <si>
    <t>Constellation/Homefield</t>
  </si>
  <si>
    <t>Prairie State Insurance Cooperative</t>
  </si>
  <si>
    <t>PMA/ISDLAF</t>
  </si>
  <si>
    <t>Schmiedeskamp Robertson Neu &amp; Mitchell LLP</t>
  </si>
  <si>
    <t>ROE</t>
  </si>
  <si>
    <t>WCR/SPED</t>
  </si>
  <si>
    <t>WCR/QAVTC</t>
  </si>
  <si>
    <t>ED-Support Services-Purchased Services</t>
  </si>
  <si>
    <t>10-2000-300</t>
  </si>
  <si>
    <t>Digital Copy Systems</t>
  </si>
  <si>
    <t>Pitney Bowes</t>
  </si>
  <si>
    <t>ED-Instruction-Purchased Services</t>
  </si>
  <si>
    <t>10-1000-300</t>
  </si>
  <si>
    <t>Walz</t>
  </si>
  <si>
    <t>AT&amp;T</t>
  </si>
  <si>
    <t>Quincy, Illinois</t>
  </si>
  <si>
    <t>Quincy SD 172</t>
  </si>
  <si>
    <t>10-2400-300</t>
  </si>
  <si>
    <t>10-2900-300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</si>
</sst>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3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69"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3" fontId="69"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0" fontId="52" fillId="0" borderId="0" xfId="3" applyFont="1" applyAlignment="1" applyProtection="1">
      <alignment horizontal="center" vertical="center"/>
    </xf>
    <xf numFmtId="0" fontId="55" fillId="0" borderId="0" xfId="3" applyFont="1" applyFill="1" applyBorder="1" applyProtection="1">
      <protection locked="0"/>
    </xf>
    <xf numFmtId="0" fontId="55" fillId="0" borderId="0" xfId="3" applyFont="1" applyFill="1" applyProtection="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6"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38100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4" t="s">
        <v>424</v>
      </c>
      <c r="J1" s="2065"/>
      <c r="K1" s="2065"/>
      <c r="L1" s="2065"/>
      <c r="M1" s="2065"/>
      <c r="N1" s="2065"/>
      <c r="O1" s="2065"/>
      <c r="P1" s="2065"/>
      <c r="Q1" s="2065"/>
      <c r="R1" s="2065"/>
      <c r="S1" s="2065"/>
    </row>
    <row r="2" spans="1:28" ht="12" customHeight="1" x14ac:dyDescent="0.2">
      <c r="A2" s="47" t="s">
        <v>1683</v>
      </c>
      <c r="D2" s="48"/>
      <c r="I2" s="2066" t="s">
        <v>1035</v>
      </c>
      <c r="J2" s="2065"/>
      <c r="K2" s="2065"/>
      <c r="L2" s="2065"/>
      <c r="M2" s="2065"/>
      <c r="N2" s="2065"/>
      <c r="O2" s="2065"/>
      <c r="P2" s="2065"/>
      <c r="Q2" s="2065"/>
      <c r="R2" s="2065"/>
      <c r="S2" s="2065"/>
    </row>
    <row r="3" spans="1:28" ht="12" customHeight="1" x14ac:dyDescent="0.2">
      <c r="A3" s="155" t="s">
        <v>1684</v>
      </c>
      <c r="B3" s="156"/>
      <c r="C3" s="156"/>
      <c r="D3" s="157"/>
      <c r="I3" s="2066" t="s">
        <v>54</v>
      </c>
      <c r="J3" s="2065"/>
      <c r="K3" s="2065"/>
      <c r="L3" s="2065"/>
      <c r="M3" s="2065"/>
      <c r="N3" s="2065"/>
      <c r="O3" s="2065"/>
      <c r="P3" s="2065"/>
      <c r="Q3" s="2065"/>
      <c r="R3" s="2065"/>
      <c r="S3" s="2065"/>
    </row>
    <row r="4" spans="1:28" ht="12" customHeight="1" x14ac:dyDescent="0.2">
      <c r="A4" s="37"/>
      <c r="I4" s="2066" t="s">
        <v>544</v>
      </c>
      <c r="J4" s="2065"/>
      <c r="K4" s="2065"/>
      <c r="L4" s="2065"/>
      <c r="M4" s="2065"/>
      <c r="N4" s="2065"/>
      <c r="O4" s="2065"/>
      <c r="P4" s="2065"/>
      <c r="Q4" s="2065"/>
      <c r="R4" s="2065"/>
      <c r="S4" s="2065"/>
    </row>
    <row r="5" spans="1:28" ht="14.1" customHeight="1" x14ac:dyDescent="0.2">
      <c r="B5" s="104" t="s">
        <v>2162</v>
      </c>
      <c r="C5" s="26" t="s">
        <v>965</v>
      </c>
      <c r="D5" s="84"/>
      <c r="E5" s="84"/>
      <c r="H5" s="38"/>
      <c r="I5" s="2073" t="s">
        <v>700</v>
      </c>
      <c r="J5" s="2018"/>
      <c r="K5" s="2018"/>
      <c r="L5" s="2018"/>
      <c r="M5" s="2018"/>
      <c r="N5" s="2018"/>
      <c r="O5" s="2018"/>
      <c r="P5" s="2018"/>
      <c r="Q5" s="2018"/>
      <c r="R5" s="2018"/>
      <c r="S5" s="2018"/>
    </row>
    <row r="6" spans="1:28" ht="14.1" customHeight="1" x14ac:dyDescent="0.2">
      <c r="B6" s="104"/>
      <c r="C6" s="26" t="s">
        <v>966</v>
      </c>
      <c r="D6" s="84"/>
      <c r="E6" s="84"/>
      <c r="I6" s="2072" t="s">
        <v>937</v>
      </c>
      <c r="J6" s="2018"/>
      <c r="K6" s="2018"/>
      <c r="L6" s="2018"/>
      <c r="M6" s="2018"/>
      <c r="N6" s="2018"/>
      <c r="O6" s="2018"/>
      <c r="P6" s="2018"/>
      <c r="Q6" s="2018"/>
      <c r="R6" s="2018"/>
      <c r="S6" s="2018"/>
    </row>
    <row r="7" spans="1:28" ht="12.2" customHeight="1" x14ac:dyDescent="0.2">
      <c r="I7" s="2067">
        <v>43281</v>
      </c>
      <c r="J7" s="2068"/>
      <c r="K7" s="2068"/>
      <c r="L7" s="2068"/>
      <c r="M7" s="2068"/>
      <c r="N7" s="2068"/>
      <c r="O7" s="2068"/>
      <c r="P7" s="2068"/>
      <c r="Q7" s="2068"/>
      <c r="R7" s="2068"/>
      <c r="S7" s="206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9" t="s">
        <v>694</v>
      </c>
      <c r="J9" s="2070"/>
      <c r="K9" s="2070"/>
      <c r="L9" s="2070"/>
      <c r="M9" s="2070"/>
      <c r="N9" s="2070"/>
      <c r="O9" s="2070"/>
      <c r="P9" s="2070"/>
      <c r="Q9" s="2070"/>
      <c r="R9" s="2070"/>
      <c r="S9" s="2071"/>
      <c r="T9" s="2014" t="s">
        <v>553</v>
      </c>
      <c r="U9" s="2015"/>
      <c r="V9" s="2015"/>
      <c r="W9" s="2015"/>
      <c r="X9" s="2015"/>
      <c r="Y9" s="2015"/>
      <c r="Z9" s="2015"/>
      <c r="AA9" s="2016"/>
    </row>
    <row r="10" spans="1:28" ht="13.5" customHeight="1" x14ac:dyDescent="0.2">
      <c r="A10" s="2023" t="s">
        <v>695</v>
      </c>
      <c r="B10" s="2024"/>
      <c r="C10" s="2024"/>
      <c r="D10" s="2024"/>
      <c r="E10" s="2024"/>
      <c r="F10" s="2024"/>
      <c r="G10" s="2024"/>
      <c r="H10" s="2025"/>
      <c r="I10" s="29"/>
      <c r="J10" s="30"/>
      <c r="K10" s="28"/>
      <c r="R10" s="30"/>
      <c r="S10" s="30"/>
      <c r="T10" s="2017"/>
      <c r="U10" s="2018"/>
      <c r="V10" s="2018"/>
      <c r="W10" s="2018"/>
      <c r="X10" s="2018"/>
      <c r="Y10" s="2018"/>
      <c r="Z10" s="2018"/>
      <c r="AA10" s="2019"/>
    </row>
    <row r="11" spans="1:28" ht="14.25" customHeight="1" x14ac:dyDescent="0.2">
      <c r="A11" s="2026" t="s">
        <v>1011</v>
      </c>
      <c r="B11" s="2027"/>
      <c r="C11" s="2027"/>
      <c r="D11" s="2027"/>
      <c r="E11" s="2027"/>
      <c r="F11" s="2027"/>
      <c r="G11" s="2027"/>
      <c r="H11" s="2028"/>
      <c r="I11" s="27"/>
      <c r="J11" s="74"/>
      <c r="K11" s="27"/>
      <c r="O11" s="148" t="s">
        <v>2162</v>
      </c>
      <c r="P11" s="100" t="s">
        <v>210</v>
      </c>
      <c r="Q11" s="30"/>
      <c r="R11" s="28"/>
      <c r="S11" s="27"/>
      <c r="T11" s="2020"/>
      <c r="U11" s="2021"/>
      <c r="V11" s="2021"/>
      <c r="W11" s="2021"/>
      <c r="X11" s="2021"/>
      <c r="Y11" s="2021"/>
      <c r="Z11" s="2021"/>
      <c r="AA11" s="202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4">
        <v>1001172022</v>
      </c>
      <c r="B13" s="2035"/>
      <c r="C13" s="2035"/>
      <c r="D13" s="2035"/>
      <c r="E13" s="2035"/>
      <c r="F13" s="2035"/>
      <c r="G13" s="2035"/>
      <c r="H13" s="2036"/>
      <c r="I13" s="31"/>
      <c r="J13" s="30"/>
      <c r="K13" s="28"/>
      <c r="L13" s="30"/>
      <c r="M13" s="30"/>
      <c r="N13" s="30"/>
      <c r="O13" s="30"/>
      <c r="P13" s="30"/>
      <c r="Q13" s="30"/>
      <c r="R13" s="30"/>
      <c r="S13" s="30"/>
      <c r="T13" s="2039" t="s">
        <v>2170</v>
      </c>
      <c r="U13" s="2040"/>
      <c r="V13" s="2040"/>
      <c r="W13" s="2040"/>
      <c r="X13" s="2040"/>
      <c r="Y13" s="2041"/>
      <c r="Z13" s="2041"/>
      <c r="AA13" s="204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2" t="s">
        <v>2163</v>
      </c>
      <c r="B15" s="2037"/>
      <c r="C15" s="2037"/>
      <c r="D15" s="2037"/>
      <c r="E15" s="2037"/>
      <c r="F15" s="2037"/>
      <c r="G15" s="2037"/>
      <c r="H15" s="2038"/>
      <c r="T15" s="2000" t="s">
        <v>2171</v>
      </c>
      <c r="U15" s="2001"/>
      <c r="V15" s="2001"/>
      <c r="W15" s="2001"/>
      <c r="X15" s="2001"/>
      <c r="Y15" s="2043"/>
      <c r="Z15" s="2043"/>
      <c r="AA15" s="204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2" t="s">
        <v>2279</v>
      </c>
      <c r="B17" s="2062"/>
      <c r="C17" s="2062"/>
      <c r="D17" s="2062"/>
      <c r="E17" s="2062"/>
      <c r="F17" s="2062"/>
      <c r="G17" s="2062"/>
      <c r="H17" s="2063"/>
      <c r="T17" s="2049" t="s">
        <v>2172</v>
      </c>
      <c r="U17" s="2050"/>
      <c r="V17" s="2050"/>
      <c r="W17" s="2050"/>
      <c r="X17" s="2050"/>
      <c r="Y17" s="2050"/>
      <c r="Z17" s="2050"/>
      <c r="AA17" s="2051"/>
    </row>
    <row r="18" spans="1:27" ht="13.5" customHeight="1" x14ac:dyDescent="0.2">
      <c r="A18" s="85" t="s">
        <v>550</v>
      </c>
      <c r="B18" s="76"/>
      <c r="C18" s="72"/>
      <c r="D18" s="76"/>
      <c r="E18" s="76"/>
      <c r="F18" s="76"/>
      <c r="G18" s="76"/>
      <c r="H18" s="56"/>
      <c r="I18" s="2059" t="s">
        <v>696</v>
      </c>
      <c r="J18" s="2060"/>
      <c r="K18" s="2060"/>
      <c r="L18" s="2060"/>
      <c r="M18" s="2060"/>
      <c r="N18" s="2060"/>
      <c r="O18" s="2060"/>
      <c r="P18" s="2060"/>
      <c r="Q18" s="2060"/>
      <c r="R18" s="2060"/>
      <c r="S18" s="2061"/>
      <c r="T18" s="85" t="s">
        <v>734</v>
      </c>
      <c r="U18" s="51"/>
      <c r="V18" s="72"/>
      <c r="W18" s="50"/>
      <c r="X18" s="85" t="s">
        <v>283</v>
      </c>
      <c r="Y18" s="81"/>
      <c r="Z18" s="159" t="s">
        <v>697</v>
      </c>
      <c r="AA18" s="46"/>
    </row>
    <row r="19" spans="1:27" ht="13.5" customHeight="1" x14ac:dyDescent="0.2">
      <c r="A19" s="2032" t="s">
        <v>2164</v>
      </c>
      <c r="B19" s="2033"/>
      <c r="C19" s="2033"/>
      <c r="D19" s="2033"/>
      <c r="E19" s="2033"/>
      <c r="F19" s="2033"/>
      <c r="G19" s="2033"/>
      <c r="H19" s="2031"/>
      <c r="I19" s="30"/>
      <c r="J19" s="99"/>
      <c r="K19" s="40"/>
      <c r="L19" s="38"/>
      <c r="M19" s="112" t="s">
        <v>332</v>
      </c>
      <c r="P19" s="27"/>
      <c r="Q19" s="27"/>
      <c r="R19" s="27"/>
      <c r="S19" s="31"/>
      <c r="T19" s="2032" t="s">
        <v>2173</v>
      </c>
      <c r="U19" s="2030"/>
      <c r="V19" s="2030"/>
      <c r="W19" s="2031"/>
      <c r="X19" s="2047" t="s">
        <v>2174</v>
      </c>
      <c r="Y19" s="2048"/>
      <c r="Z19" s="2045">
        <v>62650</v>
      </c>
      <c r="AA19" s="204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29" t="s">
        <v>2278</v>
      </c>
      <c r="B21" s="2030"/>
      <c r="C21" s="2030"/>
      <c r="D21" s="2030"/>
      <c r="E21" s="2030"/>
      <c r="F21" s="2030"/>
      <c r="G21" s="2030"/>
      <c r="H21" s="2031"/>
      <c r="I21" s="2055" t="s">
        <v>698</v>
      </c>
      <c r="J21" s="2018"/>
      <c r="K21" s="2018"/>
      <c r="L21" s="2018"/>
      <c r="M21" s="2018"/>
      <c r="N21" s="2018"/>
      <c r="O21" s="2018"/>
      <c r="P21" s="2018"/>
      <c r="Q21" s="2018"/>
      <c r="R21" s="2018"/>
      <c r="S21" s="2019"/>
      <c r="T21" s="1997" t="s">
        <v>2175</v>
      </c>
      <c r="U21" s="1998"/>
      <c r="V21" s="1998"/>
      <c r="W21" s="1998"/>
      <c r="X21" s="2011" t="s">
        <v>2176</v>
      </c>
      <c r="Y21" s="2012"/>
      <c r="Z21" s="2012"/>
      <c r="AA21" s="2013"/>
    </row>
    <row r="22" spans="1:27" ht="13.5" customHeight="1" x14ac:dyDescent="0.2">
      <c r="A22" s="87" t="s">
        <v>551</v>
      </c>
      <c r="B22" s="59"/>
      <c r="C22" s="59"/>
      <c r="D22" s="59"/>
      <c r="E22" s="59"/>
      <c r="F22" s="59"/>
      <c r="G22" s="59"/>
      <c r="H22" s="60"/>
      <c r="I22" s="2056" t="s">
        <v>1503</v>
      </c>
      <c r="J22" s="2057"/>
      <c r="K22" s="2057"/>
      <c r="L22" s="2057"/>
      <c r="M22" s="2057"/>
      <c r="N22" s="2057"/>
      <c r="O22" s="2057"/>
      <c r="P22" s="2057"/>
      <c r="Q22" s="2057"/>
      <c r="R22" s="2057"/>
      <c r="S22" s="2058"/>
      <c r="T22" s="85" t="s">
        <v>1595</v>
      </c>
      <c r="U22" s="51"/>
      <c r="V22" s="72"/>
      <c r="W22" s="51"/>
      <c r="X22" s="160" t="s">
        <v>1384</v>
      </c>
      <c r="Z22" s="45"/>
      <c r="AA22" s="46"/>
    </row>
    <row r="23" spans="1:27" ht="13.5" customHeight="1" x14ac:dyDescent="0.2">
      <c r="A23" s="2052" t="s">
        <v>2165</v>
      </c>
      <c r="B23" s="2053"/>
      <c r="C23" s="2053"/>
      <c r="D23" s="2053"/>
      <c r="E23" s="2053"/>
      <c r="F23" s="2053"/>
      <c r="G23" s="2053"/>
      <c r="H23" s="2054"/>
      <c r="T23" s="1992" t="s">
        <v>2210</v>
      </c>
      <c r="U23" s="1993"/>
      <c r="V23" s="1993"/>
      <c r="W23" s="1993"/>
      <c r="X23" s="2008">
        <v>43422</v>
      </c>
      <c r="Y23" s="2009"/>
      <c r="Z23" s="2009"/>
      <c r="AA23" s="2010"/>
    </row>
    <row r="24" spans="1:27" ht="14.1" customHeight="1" x14ac:dyDescent="0.2">
      <c r="A24" s="88" t="s">
        <v>697</v>
      </c>
      <c r="B24" s="49"/>
      <c r="C24" s="49"/>
      <c r="D24" s="49"/>
      <c r="E24" s="49"/>
      <c r="F24" s="49"/>
      <c r="G24" s="49"/>
      <c r="H24" s="61"/>
      <c r="J24" s="2094">
        <f>IF(B5="x",IF(AUDITCHECK!D29="AFR form Incomplete.","",IF(AUDITCHECK!D29="Deficit reduction plan is required.","School District must complete a deficit reduction plan in the 2018-2019 Budget",)),"")</f>
        <v>0</v>
      </c>
      <c r="K24" s="2094"/>
      <c r="L24" s="2094"/>
      <c r="M24" s="2094"/>
      <c r="N24" s="2094"/>
      <c r="O24" s="2094"/>
      <c r="P24" s="2094"/>
      <c r="Q24" s="2094"/>
      <c r="R24" s="2094"/>
      <c r="S24" s="2095"/>
      <c r="T24" s="105" t="s">
        <v>551</v>
      </c>
      <c r="U24" s="106"/>
      <c r="V24" s="106"/>
      <c r="W24" s="106"/>
      <c r="X24" s="107"/>
      <c r="Y24" s="107"/>
      <c r="Z24" s="107"/>
      <c r="AA24" s="108"/>
    </row>
    <row r="25" spans="1:27" ht="14.1" customHeight="1" x14ac:dyDescent="0.2">
      <c r="A25" s="2029">
        <v>62301</v>
      </c>
      <c r="B25" s="2030"/>
      <c r="C25" s="2030"/>
      <c r="D25" s="2030"/>
      <c r="E25" s="2030"/>
      <c r="F25" s="2030"/>
      <c r="G25" s="2030"/>
      <c r="H25" s="2031"/>
      <c r="I25" s="113"/>
      <c r="J25" s="2096"/>
      <c r="K25" s="2096"/>
      <c r="L25" s="2096"/>
      <c r="M25" s="2096"/>
      <c r="N25" s="2096"/>
      <c r="O25" s="2096"/>
      <c r="P25" s="2096"/>
      <c r="Q25" s="2096"/>
      <c r="R25" s="2096"/>
      <c r="S25" s="2097"/>
      <c r="T25" s="1989" t="s">
        <v>2177</v>
      </c>
      <c r="U25" s="1990"/>
      <c r="V25" s="1990"/>
      <c r="W25" s="1990"/>
      <c r="X25" s="1990"/>
      <c r="Y25" s="1990"/>
      <c r="Z25" s="1990"/>
      <c r="AA25" s="199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87" t="s">
        <v>1590</v>
      </c>
      <c r="J27" s="2060"/>
      <c r="K27" s="2060"/>
      <c r="L27" s="2060"/>
      <c r="M27" s="2060"/>
      <c r="N27" s="2060"/>
      <c r="O27" s="2060"/>
      <c r="P27" s="2060"/>
      <c r="Q27" s="2060"/>
      <c r="R27" s="2060"/>
      <c r="S27" s="206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2162</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2162</v>
      </c>
      <c r="C30" s="124" t="s">
        <v>1225</v>
      </c>
      <c r="D30" s="28"/>
      <c r="E30" s="28"/>
      <c r="F30" s="140"/>
      <c r="G30" s="114"/>
      <c r="H30" s="114"/>
      <c r="I30" s="54"/>
      <c r="J30" s="148" t="s">
        <v>2162</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2162</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3"/>
      <c r="Q35" s="2030"/>
      <c r="R35" s="203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2" t="s">
        <v>2166</v>
      </c>
      <c r="B38" s="2062"/>
      <c r="C38" s="2062"/>
      <c r="D38" s="2062"/>
      <c r="E38" s="2062"/>
      <c r="F38" s="2030"/>
      <c r="G38" s="2030"/>
      <c r="H38" s="2031"/>
      <c r="I38" s="2081"/>
      <c r="J38" s="2001"/>
      <c r="K38" s="2001"/>
      <c r="L38" s="2001"/>
      <c r="M38" s="2001"/>
      <c r="N38" s="2001"/>
      <c r="O38" s="2001"/>
      <c r="P38" s="2002"/>
      <c r="Q38" s="2002"/>
      <c r="R38" s="2002"/>
      <c r="S38" s="2003"/>
      <c r="T38" s="2000"/>
      <c r="U38" s="2001"/>
      <c r="V38" s="2001"/>
      <c r="W38" s="2001"/>
      <c r="X38" s="2002"/>
      <c r="Y38" s="2002"/>
      <c r="Z38" s="2002"/>
      <c r="AA38" s="2003"/>
    </row>
    <row r="39" spans="1:27" ht="12" customHeight="1" x14ac:dyDescent="0.2">
      <c r="A39" s="2085" t="s">
        <v>551</v>
      </c>
      <c r="B39" s="2086"/>
      <c r="C39" s="72"/>
      <c r="D39" s="69"/>
      <c r="E39" s="69"/>
      <c r="F39" s="79"/>
      <c r="G39" s="69"/>
      <c r="H39" s="56"/>
      <c r="I39" s="2085" t="s">
        <v>551</v>
      </c>
      <c r="J39" s="2086"/>
      <c r="K39" s="2086"/>
      <c r="L39" s="2086"/>
      <c r="M39" s="2086"/>
      <c r="N39" s="67"/>
      <c r="O39" s="72"/>
      <c r="P39" s="72"/>
      <c r="Q39" s="78"/>
      <c r="R39" s="72"/>
      <c r="S39" s="56"/>
      <c r="T39" s="72" t="s">
        <v>551</v>
      </c>
      <c r="U39" s="51"/>
      <c r="V39" s="72"/>
      <c r="W39" s="50"/>
      <c r="X39" s="78"/>
      <c r="Y39" s="45"/>
      <c r="Z39" s="45"/>
      <c r="AA39" s="46"/>
    </row>
    <row r="40" spans="1:27" ht="13.5" customHeight="1" x14ac:dyDescent="0.2">
      <c r="A40" s="2088" t="s">
        <v>2167</v>
      </c>
      <c r="B40" s="2089"/>
      <c r="C40" s="2090"/>
      <c r="D40" s="2090"/>
      <c r="E40" s="2090"/>
      <c r="F40" s="2091"/>
      <c r="G40" s="2091"/>
      <c r="H40" s="2092"/>
      <c r="I40" s="2004"/>
      <c r="J40" s="2006"/>
      <c r="K40" s="2006"/>
      <c r="L40" s="2006"/>
      <c r="M40" s="2006"/>
      <c r="N40" s="2006"/>
      <c r="O40" s="2006"/>
      <c r="P40" s="2006"/>
      <c r="Q40" s="2006"/>
      <c r="R40" s="2006"/>
      <c r="S40" s="2007"/>
      <c r="T40" s="2004"/>
      <c r="U40" s="2005"/>
      <c r="V40" s="2006"/>
      <c r="W40" s="2006"/>
      <c r="X40" s="2006"/>
      <c r="Y40" s="2006"/>
      <c r="Z40" s="2006"/>
      <c r="AA40" s="200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78" t="s">
        <v>2168</v>
      </c>
      <c r="B42" s="2079"/>
      <c r="C42" s="2080"/>
      <c r="D42" s="2093" t="s">
        <v>2169</v>
      </c>
      <c r="E42" s="2079"/>
      <c r="F42" s="2079"/>
      <c r="G42" s="2079"/>
      <c r="H42" s="2080"/>
      <c r="I42" s="1999"/>
      <c r="J42" s="1995"/>
      <c r="K42" s="1995"/>
      <c r="L42" s="1995"/>
      <c r="M42" s="1995"/>
      <c r="N42" s="1995"/>
      <c r="O42" s="1996"/>
      <c r="P42" s="1994"/>
      <c r="Q42" s="1995"/>
      <c r="R42" s="1995"/>
      <c r="S42" s="1996"/>
      <c r="T42" s="1999"/>
      <c r="U42" s="1995"/>
      <c r="V42" s="1995"/>
      <c r="W42" s="1996"/>
      <c r="X42" s="1994"/>
      <c r="Y42" s="1995"/>
      <c r="Z42" s="1995"/>
      <c r="AA42" s="199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2" sqref="A2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31" t="s">
        <v>1901</v>
      </c>
      <c r="B2" s="1550" t="s">
        <v>2033</v>
      </c>
      <c r="C2" s="715" t="s">
        <v>1906</v>
      </c>
      <c r="D2" s="715" t="s">
        <v>1907</v>
      </c>
      <c r="E2" s="715" t="s">
        <v>1908</v>
      </c>
      <c r="F2" s="715" t="s">
        <v>1909</v>
      </c>
    </row>
    <row r="3" spans="1:6" ht="12" customHeight="1" x14ac:dyDescent="0.2">
      <c r="A3" s="2232"/>
      <c r="B3" s="1547"/>
      <c r="C3" s="1548"/>
      <c r="D3" s="1549" t="s">
        <v>274</v>
      </c>
      <c r="E3" s="1548"/>
      <c r="F3" s="1549" t="s">
        <v>275</v>
      </c>
    </row>
    <row r="4" spans="1:6" ht="13.7" customHeight="1" x14ac:dyDescent="0.2">
      <c r="A4" s="716" t="s">
        <v>1216</v>
      </c>
      <c r="B4" s="1771">
        <f>'Revenues 9-14'!C5</f>
        <v>16164836</v>
      </c>
      <c r="C4" s="1546"/>
      <c r="D4" s="1774">
        <f>B4-C4</f>
        <v>16164836</v>
      </c>
      <c r="E4" s="1546">
        <v>16712545</v>
      </c>
      <c r="F4" s="1774">
        <f>E4-C4</f>
        <v>16712545</v>
      </c>
    </row>
    <row r="5" spans="1:6" ht="13.7" customHeight="1" x14ac:dyDescent="0.2">
      <c r="A5" s="716" t="s">
        <v>924</v>
      </c>
      <c r="B5" s="1772">
        <f>'Revenues 9-14'!D5</f>
        <v>4392609</v>
      </c>
      <c r="C5" s="585"/>
      <c r="D5" s="1775">
        <f t="shared" ref="D5:D18" si="0">B5-C5</f>
        <v>4392609</v>
      </c>
      <c r="E5" s="585">
        <v>4541452</v>
      </c>
      <c r="F5" s="1775">
        <f>E5-C5</f>
        <v>4541452</v>
      </c>
    </row>
    <row r="6" spans="1:6" ht="13.7" customHeight="1" x14ac:dyDescent="0.2">
      <c r="A6" s="716" t="s">
        <v>430</v>
      </c>
      <c r="B6" s="1772">
        <f>'Revenues 9-14'!E5</f>
        <v>5575076</v>
      </c>
      <c r="C6" s="585"/>
      <c r="D6" s="1775">
        <f t="shared" si="0"/>
        <v>5575076</v>
      </c>
      <c r="E6" s="585">
        <v>5661466</v>
      </c>
      <c r="F6" s="1775">
        <f t="shared" ref="F6:F18" si="1">E6-C6</f>
        <v>5661466</v>
      </c>
    </row>
    <row r="7" spans="1:6" ht="13.7" customHeight="1" x14ac:dyDescent="0.2">
      <c r="A7" s="716" t="s">
        <v>157</v>
      </c>
      <c r="B7" s="1772">
        <f>'Revenues 9-14'!F5</f>
        <v>1757044</v>
      </c>
      <c r="C7" s="585"/>
      <c r="D7" s="1775">
        <f t="shared" si="0"/>
        <v>1757044</v>
      </c>
      <c r="E7" s="585">
        <v>1816581</v>
      </c>
      <c r="F7" s="1775">
        <f t="shared" si="1"/>
        <v>1816581</v>
      </c>
    </row>
    <row r="8" spans="1:6" ht="13.7" customHeight="1" x14ac:dyDescent="0.2">
      <c r="A8" s="716" t="s">
        <v>1240</v>
      </c>
      <c r="B8" s="1772">
        <f>'Revenues 9-14'!G5</f>
        <v>1417481</v>
      </c>
      <c r="C8" s="585"/>
      <c r="D8" s="1775">
        <f t="shared" si="0"/>
        <v>1417481</v>
      </c>
      <c r="E8" s="585">
        <v>1471976</v>
      </c>
      <c r="F8" s="1775">
        <f t="shared" si="1"/>
        <v>1471976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439261</v>
      </c>
      <c r="C10" s="585"/>
      <c r="D10" s="1775">
        <f t="shared" si="0"/>
        <v>439261</v>
      </c>
      <c r="E10" s="585">
        <v>454145</v>
      </c>
      <c r="F10" s="1775">
        <f t="shared" si="1"/>
        <v>454145</v>
      </c>
    </row>
    <row r="11" spans="1:6" x14ac:dyDescent="0.2">
      <c r="A11" s="716" t="s">
        <v>428</v>
      </c>
      <c r="B11" s="1772">
        <f>'Revenues 9-14'!J5</f>
        <v>2125156</v>
      </c>
      <c r="C11" s="585"/>
      <c r="D11" s="1775">
        <f t="shared" si="0"/>
        <v>2125156</v>
      </c>
      <c r="E11" s="585">
        <v>2238573</v>
      </c>
      <c r="F11" s="1775">
        <f t="shared" si="1"/>
        <v>2238573</v>
      </c>
    </row>
    <row r="12" spans="1:6" ht="13.7" customHeight="1" x14ac:dyDescent="0.2">
      <c r="A12" s="716" t="s">
        <v>159</v>
      </c>
      <c r="B12" s="1772">
        <f>'Revenues 9-14'!K5</f>
        <v>439261</v>
      </c>
      <c r="C12" s="585"/>
      <c r="D12" s="1775">
        <f t="shared" si="0"/>
        <v>439261</v>
      </c>
      <c r="E12" s="585">
        <v>454145</v>
      </c>
      <c r="F12" s="1775">
        <f t="shared" si="1"/>
        <v>454145</v>
      </c>
    </row>
    <row r="13" spans="1:6" ht="13.7" customHeight="1" x14ac:dyDescent="0.2">
      <c r="A13" s="716" t="s">
        <v>992</v>
      </c>
      <c r="B13" s="1772">
        <f>SUM('Revenues 9-14'!C6:D6)</f>
        <v>439261</v>
      </c>
      <c r="C13" s="585"/>
      <c r="D13" s="1775">
        <f t="shared" si="0"/>
        <v>439261</v>
      </c>
      <c r="E13" s="585">
        <v>454145</v>
      </c>
      <c r="F13" s="1775">
        <f t="shared" si="1"/>
        <v>454145</v>
      </c>
    </row>
    <row r="14" spans="1:6" ht="13.7" customHeight="1" x14ac:dyDescent="0.2">
      <c r="A14" s="716" t="s">
        <v>429</v>
      </c>
      <c r="B14" s="1772">
        <f>SUM('Revenues 9-14'!C7:D7,'Revenues 9-14'!F7:H7)</f>
        <v>351409</v>
      </c>
      <c r="C14" s="585"/>
      <c r="D14" s="1775">
        <f t="shared" si="0"/>
        <v>351409</v>
      </c>
      <c r="E14" s="585">
        <v>363316</v>
      </c>
      <c r="F14" s="1775">
        <f t="shared" si="1"/>
        <v>363316</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1849893</v>
      </c>
      <c r="C16" s="585"/>
      <c r="D16" s="1775">
        <f t="shared" si="0"/>
        <v>1849893</v>
      </c>
      <c r="E16" s="585">
        <v>1948646</v>
      </c>
      <c r="F16" s="1775">
        <f t="shared" si="1"/>
        <v>1948646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34951287</v>
      </c>
      <c r="C19" s="1773">
        <f>SUM(C4:C18)</f>
        <v>0</v>
      </c>
      <c r="D19" s="1773">
        <f>SUM(D4:D18)</f>
        <v>34951287</v>
      </c>
      <c r="E19" s="1773">
        <f>SUM(E4:E18)</f>
        <v>36116990</v>
      </c>
      <c r="F19" s="1773">
        <f>SUM(F4:F18)</f>
        <v>36116990</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22" sqref="A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649</v>
      </c>
      <c r="B1" s="2238"/>
      <c r="C1" s="722"/>
    </row>
    <row r="2" spans="1:7" ht="33.75" x14ac:dyDescent="0.2">
      <c r="A2" s="2246" t="s">
        <v>1901</v>
      </c>
      <c r="B2" s="2247"/>
      <c r="C2" s="1909" t="s">
        <v>2034</v>
      </c>
      <c r="D2" s="724" t="s">
        <v>2041</v>
      </c>
      <c r="E2" s="724" t="s">
        <v>2042</v>
      </c>
      <c r="F2" s="1909" t="s">
        <v>2035</v>
      </c>
    </row>
    <row r="3" spans="1:7" ht="15.75" customHeight="1" x14ac:dyDescent="0.2">
      <c r="A3" s="2250" t="s">
        <v>1175</v>
      </c>
      <c r="B3" s="2251"/>
      <c r="C3" s="2239"/>
      <c r="D3" s="2240"/>
      <c r="E3" s="2240"/>
      <c r="F3" s="2241"/>
    </row>
    <row r="4" spans="1:7" ht="12.75" customHeight="1" thickBot="1" x14ac:dyDescent="0.25">
      <c r="A4" s="2248" t="s">
        <v>650</v>
      </c>
      <c r="B4" s="2249"/>
      <c r="C4" s="581"/>
      <c r="D4" s="581"/>
      <c r="E4" s="581"/>
      <c r="F4" s="1777">
        <f>SUM(C4+D4)-E4</f>
        <v>0</v>
      </c>
    </row>
    <row r="5" spans="1:7" ht="15.75" customHeight="1" thickTop="1" x14ac:dyDescent="0.2">
      <c r="A5" s="2233" t="s">
        <v>1171</v>
      </c>
      <c r="B5" s="2234"/>
      <c r="C5" s="2242"/>
      <c r="D5" s="2243"/>
      <c r="E5" s="2243"/>
      <c r="F5" s="224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35" t="s">
        <v>651</v>
      </c>
      <c r="B15" s="2236"/>
      <c r="C15" s="1777">
        <f>SUM(C6:C14)</f>
        <v>0</v>
      </c>
      <c r="D15" s="1777">
        <f>SUM(D6:D14)</f>
        <v>0</v>
      </c>
      <c r="E15" s="1777">
        <f>SUM(E6:E14)</f>
        <v>0</v>
      </c>
      <c r="F15" s="1777">
        <f>SUM(F6:F14)</f>
        <v>0</v>
      </c>
      <c r="G15" s="552"/>
    </row>
    <row r="16" spans="1:7" s="202" customFormat="1" ht="15.75" customHeight="1" thickTop="1" x14ac:dyDescent="0.2">
      <c r="A16" s="2245" t="s">
        <v>1172</v>
      </c>
      <c r="B16" s="2234"/>
      <c r="C16" s="2242"/>
      <c r="D16" s="2243"/>
      <c r="E16" s="2243"/>
      <c r="F16" s="2244"/>
    </row>
    <row r="17" spans="1:11" ht="12.75" customHeight="1" thickBot="1" x14ac:dyDescent="0.25">
      <c r="A17" s="2258" t="s">
        <v>66</v>
      </c>
      <c r="B17" s="2259"/>
      <c r="C17" s="727"/>
      <c r="D17" s="585"/>
      <c r="E17" s="727"/>
      <c r="F17" s="1777">
        <f>SUM(C17+D17)-E17</f>
        <v>0</v>
      </c>
    </row>
    <row r="18" spans="1:11" ht="12.75" customHeight="1" thickTop="1" thickBot="1" x14ac:dyDescent="0.25">
      <c r="A18" s="2258" t="s">
        <v>6</v>
      </c>
      <c r="B18" s="2259"/>
      <c r="C18" s="727"/>
      <c r="D18" s="585"/>
      <c r="E18" s="727"/>
      <c r="F18" s="1777">
        <f>SUM(C18+D18)-E18</f>
        <v>0</v>
      </c>
    </row>
    <row r="19" spans="1:11" ht="12.75" customHeight="1" thickTop="1" thickBot="1" x14ac:dyDescent="0.25">
      <c r="A19" s="2258" t="s">
        <v>405</v>
      </c>
      <c r="B19" s="2259"/>
      <c r="C19" s="727"/>
      <c r="D19" s="585"/>
      <c r="E19" s="727"/>
      <c r="F19" s="1777">
        <f>SUM(C19+D19)-E19</f>
        <v>0</v>
      </c>
    </row>
    <row r="20" spans="1:11" ht="12.75" customHeight="1" thickTop="1" thickBot="1" x14ac:dyDescent="0.25">
      <c r="A20" s="2258" t="s">
        <v>467</v>
      </c>
      <c r="B20" s="2259"/>
      <c r="C20" s="727"/>
      <c r="D20" s="585"/>
      <c r="E20" s="727"/>
      <c r="F20" s="1777">
        <f>SUM(C20+D20)-E20</f>
        <v>0</v>
      </c>
    </row>
    <row r="21" spans="1:11" ht="14.25" thickTop="1" thickBot="1" x14ac:dyDescent="0.25">
      <c r="A21" s="2235" t="s">
        <v>652</v>
      </c>
      <c r="B21" s="2236"/>
      <c r="C21" s="1777">
        <f>SUM(C17:C20)</f>
        <v>0</v>
      </c>
      <c r="D21" s="1777">
        <f>SUM(D17:D20)</f>
        <v>0</v>
      </c>
      <c r="E21" s="1777">
        <f>SUM(E17:E20)</f>
        <v>0</v>
      </c>
      <c r="F21" s="1777">
        <f>SUM(F17:F20)</f>
        <v>0</v>
      </c>
      <c r="G21" s="552"/>
    </row>
    <row r="22" spans="1:11" ht="15.75" customHeight="1" thickTop="1" x14ac:dyDescent="0.2">
      <c r="A22" s="2260" t="s">
        <v>1173</v>
      </c>
      <c r="B22" s="2234"/>
      <c r="C22" s="2242"/>
      <c r="D22" s="2243"/>
      <c r="E22" s="2243"/>
      <c r="F22" s="2244"/>
    </row>
    <row r="23" spans="1:11" ht="13.5" thickBot="1" x14ac:dyDescent="0.25">
      <c r="A23" s="2248" t="s">
        <v>653</v>
      </c>
      <c r="B23" s="2249"/>
      <c r="C23" s="581"/>
      <c r="D23" s="581"/>
      <c r="E23" s="581"/>
      <c r="F23" s="1777">
        <f>SUM(C23+D23)-E23</f>
        <v>0</v>
      </c>
      <c r="G23" s="552"/>
    </row>
    <row r="24" spans="1:11" ht="15.75" customHeight="1" thickTop="1" x14ac:dyDescent="0.2">
      <c r="A24" s="2260" t="s">
        <v>1174</v>
      </c>
      <c r="B24" s="2234"/>
      <c r="C24" s="2242"/>
      <c r="D24" s="2243"/>
      <c r="E24" s="2243"/>
      <c r="F24" s="2244"/>
    </row>
    <row r="25" spans="1:11" ht="13.5" thickBot="1" x14ac:dyDescent="0.25">
      <c r="A25" s="2248" t="s">
        <v>654</v>
      </c>
      <c r="B25" s="2249"/>
      <c r="C25" s="581"/>
      <c r="D25" s="581"/>
      <c r="E25" s="581"/>
      <c r="F25" s="1777">
        <f>SUM(C25+D25)-E25</f>
        <v>0</v>
      </c>
      <c r="G25" s="552"/>
    </row>
    <row r="26" spans="1:11" ht="15.75" customHeight="1" thickTop="1" x14ac:dyDescent="0.2">
      <c r="A26" s="2233" t="s">
        <v>677</v>
      </c>
      <c r="B26" s="2234"/>
      <c r="C26" s="728"/>
      <c r="D26" s="728"/>
      <c r="E26" s="728"/>
      <c r="F26" s="729"/>
    </row>
    <row r="27" spans="1:11" ht="13.5" thickBot="1" x14ac:dyDescent="0.25">
      <c r="A27" s="2235" t="s">
        <v>1129</v>
      </c>
      <c r="B27" s="2236"/>
      <c r="C27" s="585"/>
      <c r="D27" s="585"/>
      <c r="E27" s="585"/>
      <c r="F27" s="1777">
        <f>SUM(C27+D27)-E27</f>
        <v>0</v>
      </c>
      <c r="G27" s="552"/>
    </row>
    <row r="28" spans="1:11" ht="7.5" customHeight="1" thickTop="1" x14ac:dyDescent="0.2">
      <c r="A28" s="594"/>
    </row>
    <row r="29" spans="1:11" ht="23.25" customHeight="1" x14ac:dyDescent="0.2">
      <c r="A29" s="2261" t="s">
        <v>602</v>
      </c>
      <c r="B29" s="2238"/>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2178</v>
      </c>
      <c r="B31" s="734">
        <v>39597</v>
      </c>
      <c r="C31" s="735">
        <v>4945440</v>
      </c>
      <c r="D31" s="736">
        <v>4</v>
      </c>
      <c r="E31" s="735">
        <v>2010440</v>
      </c>
      <c r="F31" s="735"/>
      <c r="G31" s="735"/>
      <c r="H31" s="735">
        <v>395000</v>
      </c>
      <c r="I31" s="1778">
        <f>((E31+F31)-H31)+G31</f>
        <v>1615440</v>
      </c>
      <c r="J31" s="735">
        <v>491591</v>
      </c>
      <c r="K31" s="737"/>
    </row>
    <row r="32" spans="1:11" ht="12" customHeight="1" x14ac:dyDescent="0.2">
      <c r="A32" s="733" t="s">
        <v>2179</v>
      </c>
      <c r="B32" s="734">
        <v>41066</v>
      </c>
      <c r="C32" s="735">
        <v>6200000</v>
      </c>
      <c r="D32" s="736">
        <v>1</v>
      </c>
      <c r="E32" s="735">
        <v>2810000</v>
      </c>
      <c r="F32" s="735"/>
      <c r="G32" s="735"/>
      <c r="H32" s="735">
        <v>1885000</v>
      </c>
      <c r="I32" s="1778">
        <f>((E32+F32)-H32)+G32</f>
        <v>925000</v>
      </c>
      <c r="J32" s="735">
        <v>925000</v>
      </c>
      <c r="K32" s="737"/>
    </row>
    <row r="33" spans="1:11" ht="12" customHeight="1" x14ac:dyDescent="0.2">
      <c r="A33" s="733" t="s">
        <v>2180</v>
      </c>
      <c r="B33" s="734">
        <v>42003</v>
      </c>
      <c r="C33" s="735">
        <v>9785000</v>
      </c>
      <c r="D33" s="736">
        <v>6</v>
      </c>
      <c r="E33" s="735">
        <v>9785000</v>
      </c>
      <c r="F33" s="735"/>
      <c r="G33" s="735"/>
      <c r="H33" s="735"/>
      <c r="I33" s="1778">
        <f t="shared" ref="I33:I48" si="1">((E33+F33)-H33)+G33</f>
        <v>9785000</v>
      </c>
      <c r="J33" s="735">
        <v>9785000</v>
      </c>
      <c r="K33" s="737"/>
    </row>
    <row r="34" spans="1:11" ht="12" customHeight="1" x14ac:dyDescent="0.2">
      <c r="A34" s="733" t="s">
        <v>2181</v>
      </c>
      <c r="B34" s="734">
        <v>42207</v>
      </c>
      <c r="C34" s="735">
        <v>462605</v>
      </c>
      <c r="D34" s="736">
        <v>7</v>
      </c>
      <c r="E34" s="735">
        <v>154107</v>
      </c>
      <c r="F34" s="735"/>
      <c r="G34" s="735"/>
      <c r="H34" s="735">
        <v>154107</v>
      </c>
      <c r="I34" s="1778">
        <f t="shared" si="1"/>
        <v>0</v>
      </c>
      <c r="J34" s="735"/>
      <c r="K34" s="738"/>
    </row>
    <row r="35" spans="1:11" ht="12" customHeight="1" x14ac:dyDescent="0.2">
      <c r="A35" s="733" t="s">
        <v>2182</v>
      </c>
      <c r="B35" s="734">
        <v>42348</v>
      </c>
      <c r="C35" s="739">
        <v>9020000</v>
      </c>
      <c r="D35" s="736">
        <v>6</v>
      </c>
      <c r="E35" s="739">
        <v>8775000</v>
      </c>
      <c r="F35" s="739"/>
      <c r="G35" s="739"/>
      <c r="H35" s="739"/>
      <c r="I35" s="1778">
        <f t="shared" si="1"/>
        <v>8775000</v>
      </c>
      <c r="J35" s="739">
        <v>8775000</v>
      </c>
      <c r="K35" s="738"/>
    </row>
    <row r="36" spans="1:11" ht="12" customHeight="1" x14ac:dyDescent="0.2">
      <c r="A36" s="733" t="s">
        <v>2183</v>
      </c>
      <c r="B36" s="734">
        <v>42157</v>
      </c>
      <c r="C36" s="735">
        <v>59462</v>
      </c>
      <c r="D36" s="736">
        <v>8</v>
      </c>
      <c r="E36" s="735">
        <v>35988</v>
      </c>
      <c r="F36" s="735"/>
      <c r="G36" s="735"/>
      <c r="H36" s="735">
        <v>11536</v>
      </c>
      <c r="I36" s="1778">
        <f t="shared" si="1"/>
        <v>24452</v>
      </c>
      <c r="J36" s="735">
        <v>24452</v>
      </c>
      <c r="K36" s="740"/>
    </row>
    <row r="37" spans="1:11" ht="12" customHeight="1" x14ac:dyDescent="0.2">
      <c r="A37" s="733" t="s">
        <v>2184</v>
      </c>
      <c r="B37" s="734">
        <v>42557</v>
      </c>
      <c r="C37" s="467">
        <v>30000000</v>
      </c>
      <c r="D37" s="741">
        <v>6</v>
      </c>
      <c r="E37" s="467">
        <v>30000000</v>
      </c>
      <c r="F37" s="467"/>
      <c r="G37" s="467"/>
      <c r="H37" s="467">
        <v>1230000</v>
      </c>
      <c r="I37" s="1778">
        <f t="shared" si="1"/>
        <v>28770000</v>
      </c>
      <c r="J37" s="467">
        <v>28770000</v>
      </c>
      <c r="K37" s="738"/>
    </row>
    <row r="38" spans="1:11" ht="12" customHeight="1" x14ac:dyDescent="0.2">
      <c r="A38" s="733" t="s">
        <v>2185</v>
      </c>
      <c r="B38" s="734">
        <v>42912</v>
      </c>
      <c r="C38" s="735">
        <v>22010000</v>
      </c>
      <c r="D38" s="742">
        <v>6</v>
      </c>
      <c r="E38" s="743">
        <v>22010000</v>
      </c>
      <c r="F38" s="743"/>
      <c r="G38" s="743"/>
      <c r="H38" s="743"/>
      <c r="I38" s="1778">
        <f t="shared" si="1"/>
        <v>22010000</v>
      </c>
      <c r="J38" s="744">
        <v>22010000</v>
      </c>
      <c r="K38" s="745"/>
    </row>
    <row r="39" spans="1:11" ht="12" customHeight="1" x14ac:dyDescent="0.2">
      <c r="A39" s="733" t="s">
        <v>2186</v>
      </c>
      <c r="B39" s="734">
        <v>43279</v>
      </c>
      <c r="C39" s="735"/>
      <c r="D39" s="742">
        <v>6</v>
      </c>
      <c r="E39" s="743"/>
      <c r="F39" s="743">
        <v>21510000</v>
      </c>
      <c r="G39" s="743"/>
      <c r="H39" s="743"/>
      <c r="I39" s="1778">
        <f t="shared" si="1"/>
        <v>21510000</v>
      </c>
      <c r="J39" s="744">
        <v>21510000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82482507</v>
      </c>
      <c r="D49" s="746"/>
      <c r="E49" s="1778">
        <f t="shared" ref="E49:J49" si="2">SUM(E31:E48)</f>
        <v>75580535</v>
      </c>
      <c r="F49" s="1778">
        <f t="shared" si="2"/>
        <v>21510000</v>
      </c>
      <c r="G49" s="1778">
        <f t="shared" si="2"/>
        <v>0</v>
      </c>
      <c r="H49" s="1778">
        <f t="shared" si="2"/>
        <v>3675643</v>
      </c>
      <c r="I49" s="1778">
        <f t="shared" si="2"/>
        <v>93414892</v>
      </c>
      <c r="J49" s="1778">
        <f t="shared" si="2"/>
        <v>92291043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52" t="s">
        <v>604</v>
      </c>
      <c r="C52" s="2253"/>
      <c r="D52" s="2253"/>
      <c r="E52" s="750" t="s">
        <v>899</v>
      </c>
      <c r="F52" s="2254" t="s">
        <v>2187</v>
      </c>
      <c r="G52" s="2255"/>
      <c r="H52" s="737"/>
      <c r="I52" s="737"/>
      <c r="J52" s="747"/>
    </row>
    <row r="53" spans="1:11" ht="11.25" customHeight="1" x14ac:dyDescent="0.2">
      <c r="A53" s="751" t="s">
        <v>968</v>
      </c>
      <c r="B53" s="752" t="s">
        <v>1007</v>
      </c>
      <c r="C53" s="747"/>
      <c r="D53" s="738"/>
      <c r="E53" s="750" t="s">
        <v>517</v>
      </c>
      <c r="F53" s="2256" t="s">
        <v>2188</v>
      </c>
      <c r="G53" s="2257"/>
      <c r="H53" s="737"/>
      <c r="I53" s="737"/>
      <c r="J53" s="747"/>
    </row>
    <row r="54" spans="1:11" ht="11.25" customHeight="1" x14ac:dyDescent="0.2">
      <c r="A54" s="753" t="s">
        <v>969</v>
      </c>
      <c r="B54" s="748" t="s">
        <v>1008</v>
      </c>
      <c r="C54" s="747"/>
      <c r="D54" s="738"/>
      <c r="E54" s="750" t="s">
        <v>518</v>
      </c>
      <c r="F54" s="2256"/>
      <c r="G54" s="225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2" sqref="A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6" t="s">
        <v>910</v>
      </c>
      <c r="B1" s="2287"/>
      <c r="C1" s="2287"/>
      <c r="D1" s="2287"/>
      <c r="E1" s="2287"/>
      <c r="F1" s="2287"/>
      <c r="G1" s="2288"/>
      <c r="H1" s="1552"/>
      <c r="I1" s="761"/>
      <c r="J1" s="433"/>
    </row>
    <row r="2" spans="1:11" ht="26.25" x14ac:dyDescent="0.2">
      <c r="A2" s="2265" t="s">
        <v>1775</v>
      </c>
      <c r="B2" s="2266"/>
      <c r="C2" s="2266"/>
      <c r="D2" s="2266"/>
      <c r="E2" s="2267"/>
      <c r="F2" s="762" t="s">
        <v>959</v>
      </c>
      <c r="G2" s="763" t="s">
        <v>1772</v>
      </c>
      <c r="H2" s="763" t="s">
        <v>429</v>
      </c>
      <c r="I2" s="763" t="s">
        <v>1219</v>
      </c>
      <c r="J2" s="763" t="s">
        <v>1915</v>
      </c>
      <c r="K2" s="763" t="s">
        <v>140</v>
      </c>
    </row>
    <row r="3" spans="1:11" x14ac:dyDescent="0.2">
      <c r="A3" s="2268" t="s">
        <v>1697</v>
      </c>
      <c r="B3" s="2269"/>
      <c r="C3" s="2269"/>
      <c r="D3" s="2269"/>
      <c r="E3" s="2270"/>
      <c r="F3" s="764"/>
      <c r="G3" s="765"/>
      <c r="H3" s="765"/>
      <c r="I3" s="765"/>
      <c r="J3" s="766"/>
      <c r="K3" s="766"/>
    </row>
    <row r="4" spans="1:11" x14ac:dyDescent="0.2">
      <c r="A4" s="2271" t="s">
        <v>386</v>
      </c>
      <c r="B4" s="2272"/>
      <c r="C4" s="2272"/>
      <c r="D4" s="2272"/>
      <c r="E4" s="2253"/>
      <c r="F4" s="767"/>
      <c r="G4" s="768"/>
      <c r="H4" s="769"/>
      <c r="I4" s="768"/>
      <c r="J4" s="770"/>
      <c r="K4" s="770"/>
    </row>
    <row r="5" spans="1:11" x14ac:dyDescent="0.2">
      <c r="A5" s="2289" t="s">
        <v>1128</v>
      </c>
      <c r="B5" s="2262"/>
      <c r="C5" s="2262"/>
      <c r="D5" s="2262"/>
      <c r="E5" s="2290"/>
      <c r="F5" s="771" t="s">
        <v>902</v>
      </c>
      <c r="G5" s="772"/>
      <c r="H5" s="765">
        <v>351409</v>
      </c>
      <c r="I5" s="773"/>
      <c r="J5" s="774"/>
      <c r="K5" s="774"/>
    </row>
    <row r="6" spans="1:11" x14ac:dyDescent="0.2">
      <c r="A6" s="775" t="s">
        <v>743</v>
      </c>
      <c r="B6" s="776"/>
      <c r="C6" s="776"/>
      <c r="D6" s="776"/>
      <c r="E6" s="777"/>
      <c r="F6" s="778" t="s">
        <v>903</v>
      </c>
      <c r="G6" s="765"/>
      <c r="H6" s="765">
        <v>165</v>
      </c>
      <c r="I6" s="765"/>
      <c r="J6" s="766"/>
      <c r="K6" s="766"/>
    </row>
    <row r="7" spans="1:11" x14ac:dyDescent="0.2">
      <c r="A7" s="779" t="s">
        <v>264</v>
      </c>
      <c r="B7" s="780"/>
      <c r="C7" s="780"/>
      <c r="D7" s="780"/>
      <c r="E7" s="781"/>
      <c r="F7" s="771" t="s">
        <v>904</v>
      </c>
      <c r="G7" s="768"/>
      <c r="H7" s="768"/>
      <c r="I7" s="768"/>
      <c r="J7" s="782"/>
      <c r="K7" s="766">
        <v>58767</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75733</v>
      </c>
    </row>
    <row r="10" spans="1:11" x14ac:dyDescent="0.2">
      <c r="A10" s="2289" t="s">
        <v>1916</v>
      </c>
      <c r="B10" s="2262"/>
      <c r="C10" s="2262"/>
      <c r="D10" s="2262"/>
      <c r="E10" s="2291"/>
      <c r="F10" s="784" t="s">
        <v>916</v>
      </c>
      <c r="G10" s="783"/>
      <c r="H10" s="785"/>
      <c r="I10" s="765"/>
      <c r="J10" s="766"/>
      <c r="K10" s="766"/>
    </row>
    <row r="11" spans="1:11" x14ac:dyDescent="0.2">
      <c r="A11" s="2289" t="s">
        <v>162</v>
      </c>
      <c r="B11" s="2262"/>
      <c r="C11" s="2262"/>
      <c r="D11" s="2262"/>
      <c r="E11" s="2290"/>
      <c r="F11" s="771" t="s">
        <v>906</v>
      </c>
      <c r="G11" s="772"/>
      <c r="H11" s="765"/>
      <c r="I11" s="765"/>
      <c r="J11" s="766"/>
      <c r="K11" s="774"/>
    </row>
    <row r="12" spans="1:11" ht="13.5" thickBot="1" x14ac:dyDescent="0.25">
      <c r="A12" s="2279" t="s">
        <v>960</v>
      </c>
      <c r="B12" s="2280"/>
      <c r="C12" s="2280"/>
      <c r="D12" s="2280"/>
      <c r="E12" s="2281"/>
      <c r="F12" s="1779"/>
      <c r="G12" s="1780">
        <f>SUM(G5:G11)</f>
        <v>0</v>
      </c>
      <c r="H12" s="1780">
        <f>SUM(H5:H11)</f>
        <v>351574</v>
      </c>
      <c r="I12" s="1780">
        <f>SUM(I5:I11)</f>
        <v>0</v>
      </c>
      <c r="J12" s="1780">
        <f>SUM(J5:J11)</f>
        <v>0</v>
      </c>
      <c r="K12" s="1780">
        <f>SUM(K5:K11)</f>
        <v>134500</v>
      </c>
    </row>
    <row r="13" spans="1:11" ht="13.5" thickTop="1" x14ac:dyDescent="0.2">
      <c r="A13" s="2273" t="s">
        <v>387</v>
      </c>
      <c r="B13" s="2274"/>
      <c r="C13" s="2274"/>
      <c r="D13" s="2274"/>
      <c r="E13" s="2275"/>
      <c r="F13" s="786"/>
      <c r="G13" s="787"/>
      <c r="H13" s="788"/>
      <c r="I13" s="789"/>
      <c r="J13" s="789"/>
      <c r="K13" s="789"/>
    </row>
    <row r="14" spans="1:11" x14ac:dyDescent="0.2">
      <c r="A14" s="2295" t="s">
        <v>475</v>
      </c>
      <c r="B14" s="2295"/>
      <c r="C14" s="2295"/>
      <c r="D14" s="2295"/>
      <c r="E14" s="2296"/>
      <c r="F14" s="790" t="s">
        <v>908</v>
      </c>
      <c r="G14" s="783"/>
      <c r="H14" s="765">
        <v>351574</v>
      </c>
      <c r="I14" s="772"/>
      <c r="J14" s="774"/>
      <c r="K14" s="766">
        <v>134500</v>
      </c>
    </row>
    <row r="15" spans="1:11" x14ac:dyDescent="0.2">
      <c r="A15" s="2262" t="s">
        <v>4</v>
      </c>
      <c r="B15" s="2262"/>
      <c r="C15" s="2262"/>
      <c r="D15" s="2262"/>
      <c r="E15" s="2290"/>
      <c r="F15" s="790" t="s">
        <v>909</v>
      </c>
      <c r="G15" s="772"/>
      <c r="H15" s="765"/>
      <c r="I15" s="765"/>
      <c r="J15" s="766"/>
      <c r="K15" s="766"/>
    </row>
    <row r="16" spans="1:11" x14ac:dyDescent="0.2">
      <c r="A16" s="2262" t="s">
        <v>315</v>
      </c>
      <c r="B16" s="2262"/>
      <c r="C16" s="2262"/>
      <c r="D16" s="2262"/>
      <c r="E16" s="2290"/>
      <c r="F16" s="790" t="s">
        <v>979</v>
      </c>
      <c r="G16" s="773"/>
      <c r="H16" s="768"/>
      <c r="I16" s="768"/>
      <c r="J16" s="770"/>
      <c r="K16" s="770"/>
    </row>
    <row r="17" spans="1:11" x14ac:dyDescent="0.2">
      <c r="A17" s="2284" t="s">
        <v>991</v>
      </c>
      <c r="B17" s="2284"/>
      <c r="C17" s="2284"/>
      <c r="D17" s="2284"/>
      <c r="E17" s="2285"/>
      <c r="F17" s="791"/>
      <c r="G17" s="792"/>
      <c r="H17" s="793"/>
      <c r="I17" s="793"/>
      <c r="J17" s="794"/>
      <c r="K17" s="795"/>
    </row>
    <row r="18" spans="1:11" x14ac:dyDescent="0.2">
      <c r="A18" s="2276" t="s">
        <v>385</v>
      </c>
      <c r="B18" s="2277"/>
      <c r="C18" s="2277"/>
      <c r="D18" s="2277"/>
      <c r="E18" s="2278"/>
      <c r="F18" s="790" t="s">
        <v>988</v>
      </c>
      <c r="G18" s="783"/>
      <c r="H18" s="783"/>
      <c r="I18" s="783"/>
      <c r="J18" s="766"/>
      <c r="K18" s="796"/>
    </row>
    <row r="19" spans="1:11" ht="21.75" customHeight="1" x14ac:dyDescent="0.2">
      <c r="A19" s="2297" t="s">
        <v>1912</v>
      </c>
      <c r="B19" s="2297"/>
      <c r="C19" s="2297"/>
      <c r="D19" s="2297"/>
      <c r="E19" s="2298"/>
      <c r="F19" s="790" t="s">
        <v>989</v>
      </c>
      <c r="G19" s="783"/>
      <c r="H19" s="783"/>
      <c r="I19" s="783"/>
      <c r="J19" s="766"/>
      <c r="K19" s="796"/>
    </row>
    <row r="20" spans="1:11" x14ac:dyDescent="0.2">
      <c r="A20" s="2276" t="s">
        <v>1917</v>
      </c>
      <c r="B20" s="2277"/>
      <c r="C20" s="2277"/>
      <c r="D20" s="2277"/>
      <c r="E20" s="2278"/>
      <c r="F20" s="790" t="s">
        <v>990</v>
      </c>
      <c r="G20" s="783"/>
      <c r="H20" s="783"/>
      <c r="I20" s="783"/>
      <c r="J20" s="766"/>
      <c r="K20" s="796"/>
    </row>
    <row r="21" spans="1:11" ht="13.5" thickBot="1" x14ac:dyDescent="0.25">
      <c r="A21" s="2282" t="s">
        <v>658</v>
      </c>
      <c r="B21" s="2282"/>
      <c r="C21" s="2282"/>
      <c r="D21" s="2282"/>
      <c r="E21" s="2282"/>
      <c r="F21" s="1781"/>
      <c r="G21" s="793"/>
      <c r="H21" s="797"/>
      <c r="I21" s="797"/>
      <c r="J21" s="1782">
        <f>SUM(J18:J20)</f>
        <v>0</v>
      </c>
      <c r="K21" s="794"/>
    </row>
    <row r="22" spans="1:11" ht="13.5" thickTop="1" x14ac:dyDescent="0.2">
      <c r="A22" s="2262" t="s">
        <v>1918</v>
      </c>
      <c r="B22" s="2262"/>
      <c r="C22" s="2262"/>
      <c r="D22" s="2262"/>
      <c r="E22" s="2290"/>
      <c r="F22" s="790" t="s">
        <v>916</v>
      </c>
      <c r="G22" s="783"/>
      <c r="H22" s="765"/>
      <c r="I22" s="765"/>
      <c r="J22" s="798"/>
      <c r="K22" s="766"/>
    </row>
    <row r="23" spans="1:11" ht="13.5" thickBot="1" x14ac:dyDescent="0.25">
      <c r="A23" s="2283" t="s">
        <v>961</v>
      </c>
      <c r="B23" s="2282"/>
      <c r="C23" s="2282"/>
      <c r="D23" s="2282"/>
      <c r="E23" s="2282"/>
      <c r="F23" s="1783"/>
      <c r="G23" s="1780">
        <f>SUM(G14:G16,G21,G22)</f>
        <v>0</v>
      </c>
      <c r="H23" s="1780">
        <f>SUM(H14:H16,H21,H22)</f>
        <v>351574</v>
      </c>
      <c r="I23" s="1780">
        <f>SUM(I14:I16,I21,I22)</f>
        <v>0</v>
      </c>
      <c r="J23" s="1780">
        <f>SUM(J14:J16,J21,J22)</f>
        <v>0</v>
      </c>
      <c r="K23" s="1780">
        <f>SUM(K14:K16,K21,K22)</f>
        <v>134500</v>
      </c>
    </row>
    <row r="24" spans="1:11" ht="14.25" thickTop="1" thickBot="1" x14ac:dyDescent="0.25">
      <c r="A24" s="2283" t="s">
        <v>2022</v>
      </c>
      <c r="B24" s="2282"/>
      <c r="C24" s="2282"/>
      <c r="D24" s="2282"/>
      <c r="E24" s="2282"/>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92"/>
      <c r="I31" s="2293"/>
      <c r="J31" s="2293"/>
      <c r="K31" s="2293"/>
    </row>
    <row r="32" spans="1:11" x14ac:dyDescent="0.2">
      <c r="A32" s="810"/>
      <c r="B32" s="237"/>
      <c r="C32" s="237"/>
      <c r="D32" s="237"/>
      <c r="E32" s="806"/>
      <c r="F32" s="812" t="s">
        <v>560</v>
      </c>
      <c r="G32" s="765"/>
      <c r="H32" s="2294"/>
      <c r="I32" s="2293"/>
      <c r="J32" s="2293"/>
      <c r="K32" s="2293"/>
    </row>
    <row r="33" spans="1:11" ht="1.5" customHeight="1" x14ac:dyDescent="0.2">
      <c r="A33" s="813" t="s">
        <v>1230</v>
      </c>
      <c r="B33" s="364"/>
      <c r="C33" s="364"/>
      <c r="D33" s="364"/>
      <c r="E33" s="364"/>
      <c r="F33" s="364"/>
      <c r="G33" s="814"/>
      <c r="H33" s="2294"/>
      <c r="I33" s="2293"/>
      <c r="J33" s="2293"/>
      <c r="K33" s="2293"/>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2" t="s">
        <v>561</v>
      </c>
      <c r="B41" s="2263"/>
      <c r="C41" s="2263"/>
      <c r="D41" s="2263"/>
      <c r="E41" s="2263"/>
      <c r="F41" s="226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2" sqref="A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1" t="s">
        <v>2031</v>
      </c>
      <c r="B1" s="2302"/>
      <c r="C1" s="2303"/>
      <c r="D1" s="827"/>
      <c r="E1" s="828"/>
      <c r="F1" s="828"/>
      <c r="G1" s="829"/>
      <c r="H1" s="830"/>
      <c r="I1" s="831"/>
      <c r="J1" s="2299"/>
      <c r="K1" s="2300"/>
      <c r="L1" s="2300"/>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3237685</v>
      </c>
      <c r="D5" s="842"/>
      <c r="E5" s="842"/>
      <c r="F5" s="1782">
        <f>(C5+D5)-E5</f>
        <v>3237685</v>
      </c>
      <c r="G5" s="838"/>
      <c r="H5" s="843"/>
      <c r="I5" s="843"/>
      <c r="J5" s="843"/>
      <c r="K5" s="794"/>
      <c r="L5" s="1791">
        <f>F5-K5</f>
        <v>3237685</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67618941</v>
      </c>
      <c r="D8" s="845">
        <v>14305217</v>
      </c>
      <c r="E8" s="845"/>
      <c r="F8" s="1782">
        <f>(C8+D8)-E8</f>
        <v>81924158</v>
      </c>
      <c r="G8" s="844">
        <v>50</v>
      </c>
      <c r="H8" s="766">
        <v>30588398</v>
      </c>
      <c r="I8" s="766">
        <v>1495430</v>
      </c>
      <c r="J8" s="766"/>
      <c r="K8" s="1791">
        <f>(H8+I8)-J8</f>
        <v>32083828</v>
      </c>
      <c r="L8" s="1791">
        <f>F8-K8</f>
        <v>49840330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6483279</v>
      </c>
      <c r="D10" s="847">
        <v>3872</v>
      </c>
      <c r="E10" s="847"/>
      <c r="F10" s="1786">
        <f>(C10+D10)-E10</f>
        <v>6487151</v>
      </c>
      <c r="G10" s="844">
        <v>20</v>
      </c>
      <c r="H10" s="848">
        <v>1762792</v>
      </c>
      <c r="I10" s="848">
        <v>324261</v>
      </c>
      <c r="J10" s="848"/>
      <c r="K10" s="1791">
        <f>(H10+I10)-J10</f>
        <v>2087053</v>
      </c>
      <c r="L10" s="1791">
        <f>F10-K10</f>
        <v>4400098</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6891445</v>
      </c>
      <c r="D12" s="845">
        <v>2472851</v>
      </c>
      <c r="E12" s="845">
        <v>363795</v>
      </c>
      <c r="F12" s="1782">
        <f>(C12+D12)-E12</f>
        <v>9000501</v>
      </c>
      <c r="G12" s="844">
        <v>10</v>
      </c>
      <c r="H12" s="766">
        <v>3137514</v>
      </c>
      <c r="I12" s="766">
        <v>726295</v>
      </c>
      <c r="J12" s="766">
        <v>363795</v>
      </c>
      <c r="K12" s="1791">
        <f>(H12+I12)-J12</f>
        <v>3500014</v>
      </c>
      <c r="L12" s="1791">
        <f>F12-K12</f>
        <v>5500487</v>
      </c>
    </row>
    <row r="13" spans="1:14" ht="14.25" thickTop="1" thickBot="1" x14ac:dyDescent="0.25">
      <c r="A13" s="849" t="s">
        <v>1183</v>
      </c>
      <c r="B13" s="841">
        <v>252</v>
      </c>
      <c r="C13" s="845">
        <v>24304</v>
      </c>
      <c r="D13" s="845"/>
      <c r="E13" s="845">
        <v>24304</v>
      </c>
      <c r="F13" s="1782">
        <f>(C13+D13)-E13</f>
        <v>0</v>
      </c>
      <c r="G13" s="844">
        <v>5</v>
      </c>
      <c r="H13" s="766">
        <v>24304</v>
      </c>
      <c r="I13" s="766"/>
      <c r="J13" s="766">
        <v>24304</v>
      </c>
      <c r="K13" s="1791">
        <f>(H13+I13)-J13</f>
        <v>0</v>
      </c>
      <c r="L13" s="1791">
        <f>F13-K13</f>
        <v>0</v>
      </c>
    </row>
    <row r="14" spans="1:14" ht="14.25" thickTop="1" thickBot="1" x14ac:dyDescent="0.25">
      <c r="A14" s="849" t="s">
        <v>1184</v>
      </c>
      <c r="B14" s="841">
        <v>253</v>
      </c>
      <c r="C14" s="766"/>
      <c r="D14" s="766">
        <v>4925</v>
      </c>
      <c r="E14" s="766"/>
      <c r="F14" s="1782">
        <f>(C14+D14)-E14</f>
        <v>4925</v>
      </c>
      <c r="G14" s="844">
        <v>3</v>
      </c>
      <c r="H14" s="766"/>
      <c r="I14" s="766">
        <v>821</v>
      </c>
      <c r="J14" s="766"/>
      <c r="K14" s="1791">
        <f>(H14+I14)-J14</f>
        <v>821</v>
      </c>
      <c r="L14" s="1791">
        <f>F14-K14</f>
        <v>4104</v>
      </c>
    </row>
    <row r="15" spans="1:14" ht="15" customHeight="1" thickTop="1" thickBot="1" x14ac:dyDescent="0.25">
      <c r="A15" s="1653" t="s">
        <v>548</v>
      </c>
      <c r="B15" s="1652">
        <v>260</v>
      </c>
      <c r="C15" s="845">
        <v>19350171</v>
      </c>
      <c r="D15" s="845">
        <v>24399371</v>
      </c>
      <c r="E15" s="845">
        <v>12366935</v>
      </c>
      <c r="F15" s="1782">
        <f>(C15+D15)-E15</f>
        <v>31382607</v>
      </c>
      <c r="G15" s="850" t="s">
        <v>916</v>
      </c>
      <c r="H15" s="782"/>
      <c r="I15" s="782"/>
      <c r="J15" s="782"/>
      <c r="K15" s="782"/>
      <c r="L15" s="1791">
        <f>F15-K15</f>
        <v>31382607</v>
      </c>
    </row>
    <row r="16" spans="1:14" ht="15" customHeight="1" thickTop="1" thickBot="1" x14ac:dyDescent="0.25">
      <c r="A16" s="1787" t="s">
        <v>663</v>
      </c>
      <c r="B16" s="1788">
        <v>200</v>
      </c>
      <c r="C16" s="1782">
        <f>SUM(C3,C5:C6,C8:C10,C12:C15)</f>
        <v>103605825</v>
      </c>
      <c r="D16" s="1782">
        <f>SUM(D3,D5:D6,D8:D10,D12:D15)</f>
        <v>41186236</v>
      </c>
      <c r="E16" s="1782">
        <f>SUM(E3,E5:E6,E8:E10,E12:E15)</f>
        <v>12755034</v>
      </c>
      <c r="F16" s="1782">
        <f>SUM(F3,F5:F6,F8:F10,F12:F15)</f>
        <v>132037027</v>
      </c>
      <c r="G16" s="844"/>
      <c r="H16" s="1782">
        <f>SUM(H3,H6,H8:H10,H12:H14,)</f>
        <v>35513008</v>
      </c>
      <c r="I16" s="1782">
        <f>SUM(I3,I6,I8:I10,I12:I14,)</f>
        <v>2546807</v>
      </c>
      <c r="J16" s="1782">
        <f>SUM(J3,J6,J8:J10,J12:J14,)</f>
        <v>388099</v>
      </c>
      <c r="K16" s="1782">
        <f>(H16+I16)-J16</f>
        <v>37671716</v>
      </c>
      <c r="L16" s="1782">
        <f>F16-K16</f>
        <v>94365311</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15618</v>
      </c>
      <c r="G17" s="838">
        <v>10</v>
      </c>
      <c r="H17" s="770"/>
      <c r="I17" s="1791">
        <f>F17/G17</f>
        <v>1561.8</v>
      </c>
      <c r="J17" s="770"/>
      <c r="K17" s="796"/>
      <c r="L17" s="796"/>
    </row>
    <row r="18" spans="1:12" ht="14.25" thickTop="1" thickBot="1" x14ac:dyDescent="0.25">
      <c r="A18" s="1789" t="s">
        <v>705</v>
      </c>
      <c r="B18" s="1790"/>
      <c r="C18" s="772"/>
      <c r="D18" s="772"/>
      <c r="E18" s="772"/>
      <c r="F18" s="851"/>
      <c r="G18" s="852"/>
      <c r="H18" s="774"/>
      <c r="I18" s="1782">
        <f>SUM(I16,I17)</f>
        <v>2548368.7999999998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2" sqref="A22"/>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7" t="s">
        <v>1698</v>
      </c>
      <c r="B1" s="2308"/>
      <c r="C1" s="2308"/>
      <c r="D1" s="2308"/>
      <c r="E1" s="2308"/>
      <c r="F1" s="2309"/>
      <c r="G1" s="856"/>
    </row>
    <row r="2" spans="1:7" ht="15" customHeight="1" thickBot="1" x14ac:dyDescent="0.25">
      <c r="A2" s="2310" t="s">
        <v>497</v>
      </c>
      <c r="B2" s="2311"/>
      <c r="C2" s="2311"/>
      <c r="D2" s="2311"/>
      <c r="E2" s="2311"/>
      <c r="F2" s="231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3"/>
      <c r="B5" s="2314"/>
      <c r="C5" s="2314"/>
      <c r="D5" s="2314"/>
      <c r="E5" s="2314"/>
      <c r="F5" s="2314"/>
    </row>
    <row r="6" spans="1:7" ht="13.5" customHeight="1" thickBot="1" x14ac:dyDescent="0.25">
      <c r="A6" s="2304" t="s">
        <v>1165</v>
      </c>
      <c r="B6" s="2305"/>
      <c r="C6" s="2305"/>
      <c r="D6" s="2305"/>
      <c r="E6" s="2305"/>
      <c r="F6" s="230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49833987</v>
      </c>
      <c r="G8" s="866"/>
    </row>
    <row r="9" spans="1:7" x14ac:dyDescent="0.2">
      <c r="A9" s="870" t="s">
        <v>479</v>
      </c>
      <c r="B9" s="871" t="s">
        <v>1985</v>
      </c>
      <c r="C9" s="872"/>
      <c r="D9" s="870" t="s">
        <v>521</v>
      </c>
      <c r="E9" s="869"/>
      <c r="F9" s="1935">
        <f>'Expenditures 15-22'!K151</f>
        <v>5071590</v>
      </c>
      <c r="G9" s="873"/>
    </row>
    <row r="10" spans="1:7" x14ac:dyDescent="0.2">
      <c r="A10" s="870" t="s">
        <v>519</v>
      </c>
      <c r="B10" s="871" t="s">
        <v>1986</v>
      </c>
      <c r="C10" s="872"/>
      <c r="D10" s="870" t="s">
        <v>521</v>
      </c>
      <c r="E10" s="869"/>
      <c r="F10" s="1935">
        <f>'Expenditures 15-22'!K174</f>
        <v>6387503</v>
      </c>
      <c r="G10" s="873"/>
    </row>
    <row r="11" spans="1:7" x14ac:dyDescent="0.2">
      <c r="A11" s="870" t="s">
        <v>480</v>
      </c>
      <c r="B11" s="871" t="s">
        <v>1987</v>
      </c>
      <c r="C11" s="872"/>
      <c r="D11" s="870" t="s">
        <v>521</v>
      </c>
      <c r="E11" s="869"/>
      <c r="F11" s="1935">
        <f>'Expenditures 15-22'!K210</f>
        <v>3653046</v>
      </c>
      <c r="G11" s="873"/>
    </row>
    <row r="12" spans="1:7" x14ac:dyDescent="0.2">
      <c r="A12" s="870" t="s">
        <v>481</v>
      </c>
      <c r="B12" s="871" t="s">
        <v>1988</v>
      </c>
      <c r="C12" s="872"/>
      <c r="D12" s="870" t="s">
        <v>521</v>
      </c>
      <c r="E12" s="869"/>
      <c r="F12" s="1935">
        <f>'Expenditures 15-22'!K295</f>
        <v>3169494</v>
      </c>
      <c r="G12" s="873"/>
    </row>
    <row r="13" spans="1:7" x14ac:dyDescent="0.2">
      <c r="A13" s="870" t="s">
        <v>108</v>
      </c>
      <c r="B13" s="871" t="s">
        <v>1989</v>
      </c>
      <c r="C13" s="872"/>
      <c r="D13" s="870" t="s">
        <v>521</v>
      </c>
      <c r="E13" s="869"/>
      <c r="F13" s="1935">
        <f>'Expenditures 15-22'!K342</f>
        <v>2390941</v>
      </c>
      <c r="G13" s="874"/>
    </row>
    <row r="14" spans="1:7" ht="12" customHeight="1" thickBot="1" x14ac:dyDescent="0.25">
      <c r="A14" s="1792"/>
      <c r="B14" s="1793"/>
      <c r="C14" s="1794"/>
      <c r="D14" s="1795" t="s">
        <v>521</v>
      </c>
      <c r="E14" s="1796" t="s">
        <v>1014</v>
      </c>
      <c r="F14" s="1797">
        <f>SUM(F8:F13)</f>
        <v>70506561</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447230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104499</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3426</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96843</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2804059</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207813</v>
      </c>
      <c r="G52" s="866"/>
    </row>
    <row r="53" spans="1:7" x14ac:dyDescent="0.2">
      <c r="A53" s="870" t="s">
        <v>478</v>
      </c>
      <c r="B53" s="870" t="s">
        <v>1550</v>
      </c>
      <c r="C53" s="890">
        <f>'Expenditures 15-22'!B102</f>
        <v>4000</v>
      </c>
      <c r="D53" s="889" t="str">
        <f>'Expenditures 15-22'!A102</f>
        <v>Total Payments to Other Govt Units</v>
      </c>
      <c r="E53" s="869"/>
      <c r="F53" s="1939">
        <f>'Expenditures 15-22'!K102</f>
        <v>539866</v>
      </c>
      <c r="G53" s="866"/>
    </row>
    <row r="54" spans="1:7" x14ac:dyDescent="0.2">
      <c r="A54" s="870" t="s">
        <v>478</v>
      </c>
      <c r="B54" s="870" t="s">
        <v>1551</v>
      </c>
      <c r="C54" s="890" t="s">
        <v>1038</v>
      </c>
      <c r="D54" s="886" t="s">
        <v>1156</v>
      </c>
      <c r="E54" s="869"/>
      <c r="F54" s="1939">
        <f>'Expenditures 15-22'!G114</f>
        <v>699383</v>
      </c>
      <c r="G54" s="866"/>
    </row>
    <row r="55" spans="1:7" x14ac:dyDescent="0.2">
      <c r="A55" s="870" t="s">
        <v>478</v>
      </c>
      <c r="B55" s="870" t="s">
        <v>1552</v>
      </c>
      <c r="C55" s="890" t="s">
        <v>1038</v>
      </c>
      <c r="D55" s="886" t="s">
        <v>308</v>
      </c>
      <c r="E55" s="869"/>
      <c r="F55" s="1939">
        <f>'Expenditures 15-22'!I114</f>
        <v>15109</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48217</v>
      </c>
      <c r="G58" s="866"/>
    </row>
    <row r="59" spans="1:7" x14ac:dyDescent="0.2">
      <c r="A59" s="894" t="s">
        <v>479</v>
      </c>
      <c r="B59" s="857" t="s">
        <v>1992</v>
      </c>
      <c r="C59" s="895" t="s">
        <v>1038</v>
      </c>
      <c r="D59" s="857" t="s">
        <v>308</v>
      </c>
      <c r="F59" s="1942">
        <f>'Expenditures 15-22'!I151</f>
        <v>409</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3510000</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36572</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22922</v>
      </c>
      <c r="G67" s="866"/>
    </row>
    <row r="68" spans="1:8" x14ac:dyDescent="0.2">
      <c r="A68" s="870" t="s">
        <v>481</v>
      </c>
      <c r="B68" s="870" t="s">
        <v>1554</v>
      </c>
      <c r="C68" s="887" t="str">
        <f>'Expenditures 15-22'!B218</f>
        <v>1225</v>
      </c>
      <c r="D68" s="893" t="str">
        <f>'Expenditures 15-22'!A218</f>
        <v>Special Education Programs - Pre-K</v>
      </c>
      <c r="E68" s="869"/>
      <c r="F68" s="1939">
        <f>'Expenditures 15-22'!K218</f>
        <v>13538</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49</v>
      </c>
      <c r="G70" s="866"/>
    </row>
    <row r="71" spans="1:8" x14ac:dyDescent="0.2">
      <c r="A71" s="870" t="s">
        <v>481</v>
      </c>
      <c r="B71" s="870" t="s">
        <v>2003</v>
      </c>
      <c r="C71" s="887">
        <f>'Expenditures 15-22'!B224</f>
        <v>1600</v>
      </c>
      <c r="D71" s="888" t="str">
        <f>'Expenditures 15-22'!A224</f>
        <v>Summer School Programs</v>
      </c>
      <c r="E71" s="869"/>
      <c r="F71" s="1939">
        <f>'Expenditures 15-22'!K224</f>
        <v>8438</v>
      </c>
      <c r="G71" s="866"/>
    </row>
    <row r="72" spans="1:8" x14ac:dyDescent="0.2">
      <c r="A72" s="870" t="s">
        <v>481</v>
      </c>
      <c r="B72" s="870" t="s">
        <v>2004</v>
      </c>
      <c r="C72" s="887">
        <f>'Expenditures 15-22'!B280</f>
        <v>3000</v>
      </c>
      <c r="D72" s="877" t="s">
        <v>468</v>
      </c>
      <c r="E72" s="869"/>
      <c r="F72" s="1939">
        <f>'Expenditures 15-22'!K280</f>
        <v>14319</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8572692</v>
      </c>
      <c r="G76" s="866"/>
    </row>
    <row r="77" spans="1:8" s="894" customFormat="1" ht="12" customHeight="1" thickTop="1" thickBot="1" x14ac:dyDescent="0.25">
      <c r="A77" s="1801"/>
      <c r="B77" s="1798"/>
      <c r="C77" s="1794"/>
      <c r="D77" s="1799" t="s">
        <v>2008</v>
      </c>
      <c r="E77" s="1796"/>
      <c r="F77" s="1802">
        <f>(F14-F76)</f>
        <v>61933869</v>
      </c>
      <c r="G77" s="870"/>
    </row>
    <row r="78" spans="1:8" s="894" customFormat="1" ht="12" customHeight="1" thickTop="1" x14ac:dyDescent="0.2">
      <c r="A78" s="1803"/>
      <c r="B78" s="1798"/>
      <c r="C78" s="1794"/>
      <c r="D78" s="1799" t="s">
        <v>2055</v>
      </c>
      <c r="E78" s="1796"/>
      <c r="F78" s="899">
        <v>5550.47</v>
      </c>
      <c r="G78" s="900"/>
      <c r="H78" s="870"/>
    </row>
    <row r="79" spans="1:8" s="894" customFormat="1" ht="12" customHeight="1" thickBot="1" x14ac:dyDescent="0.25">
      <c r="A79" s="1804"/>
      <c r="B79" s="1798"/>
      <c r="C79" s="1794"/>
      <c r="D79" s="1799" t="s">
        <v>2009</v>
      </c>
      <c r="E79" s="1796" t="s">
        <v>1014</v>
      </c>
      <c r="F79" s="1805">
        <f>IF(F78&gt;0,F77/F78," Complete Line 78")</f>
        <v>11158.310737649244</v>
      </c>
      <c r="G79" s="870"/>
    </row>
    <row r="80" spans="1:8" s="894" customFormat="1" ht="8.25" customHeight="1" thickTop="1" x14ac:dyDescent="0.2">
      <c r="A80" s="901"/>
      <c r="B80" s="870"/>
      <c r="C80" s="872"/>
      <c r="D80" s="902"/>
      <c r="E80" s="869"/>
      <c r="F80" s="903"/>
      <c r="G80" s="870"/>
    </row>
    <row r="81" spans="1:7" s="894" customFormat="1" ht="12" thickBot="1" x14ac:dyDescent="0.25">
      <c r="A81" s="2304" t="s">
        <v>1166</v>
      </c>
      <c r="B81" s="2305"/>
      <c r="C81" s="2305"/>
      <c r="D81" s="2305"/>
      <c r="E81" s="2305"/>
      <c r="F81" s="230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159187</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95561</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1012944</v>
      </c>
      <c r="G94" s="913"/>
    </row>
    <row r="95" spans="1:7" x14ac:dyDescent="0.2">
      <c r="A95" s="909" t="s">
        <v>142</v>
      </c>
      <c r="B95" s="909" t="s">
        <v>177</v>
      </c>
      <c r="C95" s="911">
        <v>1700</v>
      </c>
      <c r="D95" s="919" t="str">
        <f>'Revenues 9-14'!A82</f>
        <v>Total District/School Activity Income</v>
      </c>
      <c r="E95" s="907"/>
      <c r="F95" s="1811">
        <f>SUM('Revenues 9-14'!C82,'Revenues 9-14'!D82)</f>
        <v>279943</v>
      </c>
      <c r="G95" s="913"/>
    </row>
    <row r="96" spans="1:7" x14ac:dyDescent="0.2">
      <c r="A96" s="909" t="s">
        <v>478</v>
      </c>
      <c r="B96" s="909" t="s">
        <v>178</v>
      </c>
      <c r="C96" s="911">
        <f>'Revenues 9-14'!B84</f>
        <v>1811</v>
      </c>
      <c r="D96" s="912" t="str">
        <f>'Revenues 9-14'!A84</f>
        <v>Rentals - Regular Textbooks</v>
      </c>
      <c r="E96" s="907"/>
      <c r="F96" s="1811">
        <f>'Revenues 9-14'!C84</f>
        <v>226790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36398</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67945</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83</v>
      </c>
      <c r="G104" s="913"/>
    </row>
    <row r="105" spans="1:7" x14ac:dyDescent="0.2">
      <c r="A105" s="909" t="s">
        <v>523</v>
      </c>
      <c r="B105" s="909" t="s">
        <v>841</v>
      </c>
      <c r="C105" s="914">
        <v>3100</v>
      </c>
      <c r="D105" s="920" t="str">
        <f>'Revenues 9-14'!A131</f>
        <v>Total Special Education</v>
      </c>
      <c r="E105" s="907"/>
      <c r="F105" s="1811">
        <f>SUM('Revenues 9-14'!C131:D131,'Revenues 9-14'!F131)</f>
        <v>2813025</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5000</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34605</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75733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1978171</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127257</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155547</v>
      </c>
      <c r="G125" s="931"/>
    </row>
    <row r="126" spans="1:7" x14ac:dyDescent="0.2">
      <c r="A126" s="928" t="s">
        <v>478</v>
      </c>
      <c r="B126" s="928" t="s">
        <v>855</v>
      </c>
      <c r="C126" s="933">
        <f>'Revenues 9-14'!B180</f>
        <v>4045</v>
      </c>
      <c r="D126" s="930" t="str">
        <f>'Revenues 9-14'!A180 &amp; " (Subtract)"</f>
        <v>Head Start (Subtract)</v>
      </c>
      <c r="E126" s="907"/>
      <c r="F126" s="1811">
        <f>SUM(-'Revenues 9-14'!C180)</f>
        <v>-1909675</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1909675</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2292042</v>
      </c>
      <c r="G129" s="931"/>
    </row>
    <row r="130" spans="1:7" x14ac:dyDescent="0.2">
      <c r="A130" s="928" t="s">
        <v>688</v>
      </c>
      <c r="B130" s="928" t="s">
        <v>803</v>
      </c>
      <c r="C130" s="933">
        <v>4300</v>
      </c>
      <c r="D130" s="934" t="str">
        <f>'Revenues 9-14'!A211</f>
        <v>Total Title I</v>
      </c>
      <c r="E130" s="907"/>
      <c r="F130" s="1811">
        <f>SUM('Revenues 9-14'!C211,'Revenues 9-14'!D211,'Revenues 9-14'!F211,'Revenues 9-14'!G211)</f>
        <v>2009309</v>
      </c>
      <c r="G130" s="931"/>
    </row>
    <row r="131" spans="1:7" x14ac:dyDescent="0.2">
      <c r="A131" s="928" t="s">
        <v>688</v>
      </c>
      <c r="B131" s="928" t="s">
        <v>804</v>
      </c>
      <c r="C131" s="933">
        <v>4400</v>
      </c>
      <c r="D131" s="934" t="str">
        <f>'Revenues 9-14'!A216</f>
        <v>Total Title IV</v>
      </c>
      <c r="E131" s="907"/>
      <c r="F131" s="1811">
        <f>SUM('Revenues 9-14'!C216,'Revenues 9-14'!D216,'Revenues 9-14'!F216,'Revenues 9-14'!G216)</f>
        <v>262521</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948555</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302240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3495</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240483</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788902</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118738</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14034474</v>
      </c>
    </row>
    <row r="179" spans="1:7" ht="12" customHeight="1" x14ac:dyDescent="0.2">
      <c r="A179" s="1792"/>
      <c r="B179" s="1806"/>
      <c r="C179" s="1807"/>
      <c r="D179" s="1808" t="s">
        <v>2011</v>
      </c>
      <c r="E179" s="1809"/>
      <c r="F179" s="1811">
        <f>'PCTC-OEPP 27-28'!F77-F178</f>
        <v>47899395</v>
      </c>
    </row>
    <row r="180" spans="1:7" ht="12" customHeight="1" x14ac:dyDescent="0.2">
      <c r="A180" s="1792"/>
      <c r="B180" s="1806"/>
      <c r="C180" s="1807"/>
      <c r="D180" s="1808" t="s">
        <v>1920</v>
      </c>
      <c r="E180" s="1809"/>
      <c r="F180" s="1811">
        <f>'Cap Outlay Deprec 26'!I18</f>
        <v>2548368.7999999998</v>
      </c>
    </row>
    <row r="181" spans="1:7" ht="12" customHeight="1" x14ac:dyDescent="0.2">
      <c r="A181" s="1792"/>
      <c r="B181" s="1806"/>
      <c r="C181" s="1807"/>
      <c r="D181" s="1808" t="s">
        <v>2012</v>
      </c>
      <c r="E181" s="1809"/>
      <c r="F181" s="1811">
        <f>F179+F180</f>
        <v>50447763.799999997</v>
      </c>
    </row>
    <row r="182" spans="1:7" ht="12" customHeight="1" x14ac:dyDescent="0.2">
      <c r="A182" s="1792"/>
      <c r="B182" s="1812"/>
      <c r="C182" s="1807"/>
      <c r="D182" s="1808" t="str">
        <f>D78</f>
        <v>9 Month ADA from District Average Daily Attendance/Prior General State Aid Inquiry 2017-2018</v>
      </c>
      <c r="E182" s="1809"/>
      <c r="F182" s="1813">
        <f>'PCTC-OEPP 27-28'!F78</f>
        <v>5550.47</v>
      </c>
      <c r="G182" s="931"/>
    </row>
    <row r="183" spans="1:7" ht="12" customHeight="1" thickBot="1" x14ac:dyDescent="0.25">
      <c r="A183" s="1792"/>
      <c r="B183" s="1812"/>
      <c r="C183" s="1807"/>
      <c r="D183" s="1808" t="s">
        <v>2013</v>
      </c>
      <c r="E183" s="1809" t="s">
        <v>1625</v>
      </c>
      <c r="F183" s="1814">
        <f>F181/F182</f>
        <v>9088.9174790603302</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A22" sqref="A22"/>
      <selection pane="bottomLeft"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18" t="s">
        <v>1921</v>
      </c>
      <c r="B4" s="2319"/>
      <c r="C4" s="2319"/>
      <c r="D4" s="2319"/>
      <c r="E4" s="2319"/>
      <c r="F4" s="2319"/>
      <c r="G4" s="2320"/>
    </row>
    <row r="5" spans="1:7" x14ac:dyDescent="0.25">
      <c r="A5" s="2321"/>
      <c r="B5" s="2322"/>
      <c r="C5" s="2322"/>
      <c r="D5" s="2322"/>
      <c r="E5" s="2322"/>
      <c r="F5" s="2322"/>
      <c r="G5" s="2323"/>
    </row>
    <row r="6" spans="1:7" ht="18.75" x14ac:dyDescent="0.25">
      <c r="A6" s="1556" t="s">
        <v>1922</v>
      </c>
      <c r="B6" s="1557"/>
      <c r="C6" s="1557"/>
      <c r="D6" s="1557"/>
      <c r="E6" s="1557"/>
      <c r="F6" s="1557"/>
      <c r="G6" s="1558"/>
    </row>
    <row r="7" spans="1:7" ht="30.75" customHeight="1" x14ac:dyDescent="0.25">
      <c r="A7" s="2324" t="s">
        <v>2071</v>
      </c>
      <c r="B7" s="2325"/>
      <c r="C7" s="2325"/>
      <c r="D7" s="2325"/>
      <c r="E7" s="2325"/>
      <c r="F7" s="2325"/>
      <c r="G7" s="2326"/>
    </row>
    <row r="8" spans="1:7" ht="15.75" customHeight="1" x14ac:dyDescent="0.25">
      <c r="A8" s="2327" t="s">
        <v>2020</v>
      </c>
      <c r="B8" s="2328"/>
      <c r="C8" s="2328"/>
      <c r="D8" s="2328"/>
      <c r="E8" s="2328"/>
      <c r="F8" s="2328"/>
      <c r="G8" s="2329"/>
    </row>
    <row r="9" spans="1:7" ht="35.25" customHeight="1" x14ac:dyDescent="0.25">
      <c r="A9" s="2324" t="s">
        <v>2019</v>
      </c>
      <c r="B9" s="2325"/>
      <c r="C9" s="2325"/>
      <c r="D9" s="2325"/>
      <c r="E9" s="2325"/>
      <c r="F9" s="2325"/>
      <c r="G9" s="2326"/>
    </row>
    <row r="10" spans="1:7" ht="15" customHeight="1" x14ac:dyDescent="0.25">
      <c r="A10" s="1559" t="s">
        <v>1923</v>
      </c>
      <c r="B10" s="1560"/>
      <c r="C10" s="1560"/>
      <c r="D10" s="1560"/>
      <c r="E10" s="1560"/>
      <c r="F10" s="1560"/>
      <c r="G10" s="1561"/>
    </row>
    <row r="11" spans="1:7" ht="17.25" customHeight="1" x14ac:dyDescent="0.25">
      <c r="A11" s="2324" t="s">
        <v>1937</v>
      </c>
      <c r="B11" s="2325"/>
      <c r="C11" s="2325"/>
      <c r="D11" s="2325"/>
      <c r="E11" s="2325"/>
      <c r="F11" s="2325"/>
      <c r="G11" s="2326"/>
    </row>
    <row r="12" spans="1:7" ht="15" customHeight="1" x14ac:dyDescent="0.25">
      <c r="A12" s="1559" t="s">
        <v>1928</v>
      </c>
      <c r="B12" s="1560"/>
      <c r="C12" s="1560"/>
      <c r="D12" s="1560"/>
      <c r="E12" s="1560"/>
      <c r="F12" s="1560"/>
      <c r="G12" s="1561"/>
    </row>
    <row r="13" spans="1:7" ht="32.25" customHeight="1" x14ac:dyDescent="0.25">
      <c r="A13" s="2315" t="s">
        <v>1929</v>
      </c>
      <c r="B13" s="2316"/>
      <c r="C13" s="2316"/>
      <c r="D13" s="2316"/>
      <c r="E13" s="2316"/>
      <c r="F13" s="2316"/>
      <c r="G13" s="2317"/>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6"/>
      <c r="B17" s="1987"/>
      <c r="C17" s="1988"/>
      <c r="D17" s="1867"/>
      <c r="E17" s="1562">
        <f t="shared" ref="E17:E141" si="1">IF(D17&lt;=25000,D17,IF(D17&gt;25000,25000,0))</f>
        <v>0</v>
      </c>
      <c r="F17" s="1815"/>
      <c r="G17" s="1816">
        <f>IF(F17=0,0,D17-F17)</f>
        <v>0</v>
      </c>
      <c r="H17" s="1669"/>
    </row>
    <row r="18" spans="1:8" x14ac:dyDescent="0.25">
      <c r="A18" s="1986" t="s">
        <v>2270</v>
      </c>
      <c r="B18" s="1987" t="s">
        <v>2280</v>
      </c>
      <c r="C18" s="1988" t="s">
        <v>2272</v>
      </c>
      <c r="D18" s="1867">
        <v>107675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82675</v>
      </c>
    </row>
    <row r="19" spans="1:8" x14ac:dyDescent="0.25">
      <c r="A19" s="1986" t="s">
        <v>2270</v>
      </c>
      <c r="B19" s="1987" t="s">
        <v>2271</v>
      </c>
      <c r="C19" s="1988" t="s">
        <v>2273</v>
      </c>
      <c r="D19" s="1867">
        <v>1423</v>
      </c>
      <c r="E19" s="1562">
        <f t="shared" si="2"/>
        <v>1423</v>
      </c>
      <c r="F19" s="1815">
        <f t="shared" si="3"/>
        <v>0</v>
      </c>
      <c r="G19" s="1816">
        <f t="shared" si="4"/>
        <v>0</v>
      </c>
    </row>
    <row r="20" spans="1:8" x14ac:dyDescent="0.25">
      <c r="A20" s="1986" t="s">
        <v>2274</v>
      </c>
      <c r="B20" s="1987" t="s">
        <v>2275</v>
      </c>
      <c r="C20" s="1988" t="s">
        <v>2276</v>
      </c>
      <c r="D20" s="1867">
        <v>1440</v>
      </c>
      <c r="E20" s="1562">
        <f t="shared" si="2"/>
        <v>1440</v>
      </c>
      <c r="F20" s="1815">
        <f t="shared" si="3"/>
        <v>1440</v>
      </c>
      <c r="G20" s="1816">
        <f t="shared" si="4"/>
        <v>0</v>
      </c>
    </row>
    <row r="21" spans="1:8" x14ac:dyDescent="0.25">
      <c r="A21" s="1986" t="s">
        <v>2270</v>
      </c>
      <c r="B21" s="1987" t="s">
        <v>2281</v>
      </c>
      <c r="C21" s="1988" t="s">
        <v>2277</v>
      </c>
      <c r="D21" s="1867">
        <v>74075</v>
      </c>
      <c r="E21" s="1562">
        <f t="shared" si="2"/>
        <v>25000</v>
      </c>
      <c r="F21" s="1815">
        <f t="shared" si="3"/>
        <v>25000</v>
      </c>
      <c r="G21" s="1816">
        <f t="shared" si="4"/>
        <v>49075</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184613</v>
      </c>
      <c r="E141" s="1563">
        <f t="shared" si="1"/>
        <v>25000</v>
      </c>
      <c r="F141" s="1817">
        <f>SUM(F17:F140)</f>
        <v>51440</v>
      </c>
      <c r="G141" s="1818">
        <f>SUM(G17:G140)</f>
        <v>131750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22" sqref="A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0" t="s">
        <v>1777</v>
      </c>
      <c r="B5" s="2331"/>
      <c r="C5" s="2331"/>
      <c r="D5" s="2331"/>
      <c r="E5" s="2331"/>
      <c r="F5" s="2331"/>
      <c r="G5" s="233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v>2100</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1253279</v>
      </c>
      <c r="F10" s="975"/>
      <c r="G10" s="976"/>
      <c r="H10" s="162"/>
      <c r="I10" s="162"/>
    </row>
    <row r="11" spans="1:9" s="669" customFormat="1" ht="22.5" customHeight="1" x14ac:dyDescent="0.2">
      <c r="A11" s="2335" t="s">
        <v>1941</v>
      </c>
      <c r="B11" s="2336"/>
      <c r="C11" s="2336"/>
      <c r="D11" s="2337"/>
      <c r="E11" s="978">
        <v>301363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15200</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36716348</v>
      </c>
      <c r="F19" s="1822"/>
      <c r="G19" s="1824">
        <f>'Expenditures 15-22'!K33-SUM('Expenditures 15-22'!G33,'Expenditures 15-22'!I33)+'Expenditures 15-22'!D229</f>
        <v>36716348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3841810</v>
      </c>
      <c r="F21" s="1825"/>
      <c r="G21" s="1828">
        <f>'Expenditures 15-22'!K42-SUM('Expenditures 15-22'!G42,'Expenditures 15-22'!I42)+'Expenditures 15-22'!K120-SUM('Expenditures 15-22'!G120,'Expenditures 15-22'!I120)+'Expenditures 15-22'!K180-SUM('Expenditures 15-22'!G180,'Expenditures 15-22'!I180)+'Expenditures 15-22'!D238</f>
        <v>3841810</v>
      </c>
      <c r="H21" s="988"/>
      <c r="I21" s="162"/>
    </row>
    <row r="22" spans="1:9" s="669" customFormat="1" ht="12" customHeight="1" x14ac:dyDescent="0.2">
      <c r="A22" s="995" t="s">
        <v>584</v>
      </c>
      <c r="B22" s="996"/>
      <c r="C22" s="994">
        <v>2200</v>
      </c>
      <c r="D22" s="1825"/>
      <c r="E22" s="1827">
        <f>'Expenditures 15-22'!K47-SUM('Expenditures 15-22'!G47,'Expenditures 15-22'!I47)+'Expenditures 15-22'!D243</f>
        <v>1916499</v>
      </c>
      <c r="F22" s="1825"/>
      <c r="G22" s="1828">
        <f>'Expenditures 15-22'!K47-SUM('Expenditures 15-22'!G47,'Expenditures 15-22'!I47)+'Expenditures 15-22'!D243</f>
        <v>1916499</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2762165</v>
      </c>
      <c r="F23" s="1825"/>
      <c r="G23" s="1827">
        <f>'Expenditures 15-22'!K53-SUM('Expenditures 15-22'!G53,'Expenditures 15-22'!I53)+'Expenditures 15-22'!D257+'Expenditures 15-22'!K330-SUM('Expenditures 15-22'!G330,'Expenditures 15-22'!I330)</f>
        <v>2762165</v>
      </c>
      <c r="H23" s="988"/>
      <c r="I23" s="162"/>
    </row>
    <row r="24" spans="1:9" s="669" customFormat="1" ht="12" customHeight="1" x14ac:dyDescent="0.2">
      <c r="A24" s="995" t="s">
        <v>586</v>
      </c>
      <c r="B24" s="996"/>
      <c r="C24" s="994">
        <v>2400</v>
      </c>
      <c r="D24" s="1825"/>
      <c r="E24" s="1827">
        <f>'Expenditures 15-22'!K57-SUM('Expenditures 15-22'!G57,'Expenditures 15-22'!I57)+'Expenditures 15-22'!D261</f>
        <v>3016138</v>
      </c>
      <c r="F24" s="1825"/>
      <c r="G24" s="1828">
        <f>'Expenditures 15-22'!K57-SUM('Expenditures 15-22'!G57,'Expenditures 15-22'!I57)+'Expenditures 15-22'!D261</f>
        <v>3016138</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100246</v>
      </c>
      <c r="E26" s="1827">
        <f>'Expenditures 15-22'!K122-SUM('Expenditures 15-22'!G122,'Expenditures 15-22'!I122)+E7</f>
        <v>0</v>
      </c>
      <c r="F26" s="1827">
        <f>'Expenditures 15-22'!K59-SUM('Expenditures 15-22'!G59,'Expenditures 15-22'!I59)+'Expenditures 15-22'!D263-E7</f>
        <v>100246</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207084</v>
      </c>
      <c r="E27" s="1827">
        <f>E8</f>
        <v>2100</v>
      </c>
      <c r="F27" s="1827">
        <f>'Expenditures 15-22'!K60-SUM('Expenditures 15-22'!G60,'Expenditures 15-22'!I60)+'Expenditures 15-22'!D264-E8</f>
        <v>207084</v>
      </c>
      <c r="G27" s="1828">
        <f>E8</f>
        <v>2100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5703103</v>
      </c>
      <c r="F28" s="1829">
        <f>'Expenditures 15-22'!K61-SUM('Expenditures 15-22'!G61,'Expenditures 15-22'!I61)+'Expenditures 15-22'!K124-SUM('Expenditures 15-22'!G124,'Expenditures 15-22'!I124)+'Expenditures 15-22'!D266-E9</f>
        <v>5703103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4024350</v>
      </c>
      <c r="F29" s="1825"/>
      <c r="G29" s="1828">
        <f>'Expenditures 15-22'!K62-SUM('Expenditures 15-22'!G62,'Expenditures 15-22'!I62)+'Expenditures 15-22'!K125-SUM('Expenditures 15-22'!G125,'Expenditures 15-22'!I125)+'Expenditures 15-22'!K182-SUM('Expenditures 15-22'!G182,'Expenditures 15-22'!I182)+'Expenditures 15-22'!D267</f>
        <v>4024350</v>
      </c>
      <c r="H29" s="986"/>
    </row>
    <row r="30" spans="1:9" ht="12" customHeight="1" x14ac:dyDescent="0.2">
      <c r="A30" s="995" t="s">
        <v>102</v>
      </c>
      <c r="B30" s="998"/>
      <c r="C30" s="994">
        <v>2560</v>
      </c>
      <c r="D30" s="1825"/>
      <c r="E30" s="1827">
        <f>'Expenditures 15-22'!K63-SUM('Expenditures 15-22'!G63,'Expenditures 15-22'!I63)+'Expenditures 15-22'!D268-E10</f>
        <v>1877488</v>
      </c>
      <c r="F30" s="1825"/>
      <c r="G30" s="1827">
        <f>'Expenditures 15-22'!K63-SUM('Expenditures 15-22'!G63,'Expenditures 15-22'!I63)+'Expenditures 15-22'!D268-E10</f>
        <v>1877488</v>
      </c>
    </row>
    <row r="31" spans="1:9" ht="12" customHeight="1" x14ac:dyDescent="0.2">
      <c r="A31" s="995" t="s">
        <v>103</v>
      </c>
      <c r="B31" s="998"/>
      <c r="C31" s="994">
        <v>2570</v>
      </c>
      <c r="D31" s="1827">
        <f>'Expenditures 15-22'!K64-SUM('Expenditures 15-22'!G64,'Expenditures 15-22'!I64)+'Expenditures 15-22'!D269-E12</f>
        <v>67206</v>
      </c>
      <c r="E31" s="1827">
        <f>E12</f>
        <v>0</v>
      </c>
      <c r="F31" s="1827">
        <f>'Expenditures 15-22'!K64-SUM('Expenditures 15-22'!G64,'Expenditures 15-22'!I64)+'Expenditures 15-22'!D269-E12</f>
        <v>67206</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157400</v>
      </c>
      <c r="F33" s="1825"/>
      <c r="G33" s="1827">
        <f>'Expenditures 15-22'!K67-SUM('Expenditures 15-22'!G67,'Expenditures 15-22'!I67)+'Expenditures 15-22'!D272</f>
        <v>157400</v>
      </c>
    </row>
    <row r="34" spans="1:7" ht="12" customHeight="1" x14ac:dyDescent="0.2">
      <c r="A34" s="995" t="s">
        <v>540</v>
      </c>
      <c r="B34" s="998"/>
      <c r="C34" s="994">
        <v>2620</v>
      </c>
      <c r="D34" s="1825"/>
      <c r="E34" s="1827">
        <f>'Expenditures 15-22'!K68-SUM('Expenditures 15-22'!G68,'Expenditures 15-22'!I68)+'Expenditures 15-22'!D273</f>
        <v>111777</v>
      </c>
      <c r="F34" s="1825"/>
      <c r="G34" s="1827">
        <f>'Expenditures 15-22'!K68-SUM('Expenditures 15-22'!G68,'Expenditures 15-22'!I68)+'Expenditures 15-22'!D273</f>
        <v>111777</v>
      </c>
    </row>
    <row r="35" spans="1:7" ht="12" customHeight="1" x14ac:dyDescent="0.2">
      <c r="A35" s="995" t="s">
        <v>1120</v>
      </c>
      <c r="B35" s="998"/>
      <c r="C35" s="994">
        <v>2630</v>
      </c>
      <c r="D35" s="1825"/>
      <c r="E35" s="1827">
        <f>'Expenditures 15-22'!K69-SUM('Expenditures 15-22'!G69,'Expenditures 15-22'!I69)+'Expenditures 15-22'!D274</f>
        <v>45318</v>
      </c>
      <c r="F35" s="1825"/>
      <c r="G35" s="1827">
        <f>'Expenditures 15-22'!K69-SUM('Expenditures 15-22'!G69,'Expenditures 15-22'!I69)+'Expenditures 15-22'!D274</f>
        <v>45318</v>
      </c>
    </row>
    <row r="36" spans="1:7" ht="12" customHeight="1" x14ac:dyDescent="0.2">
      <c r="A36" s="995" t="s">
        <v>422</v>
      </c>
      <c r="B36" s="998"/>
      <c r="C36" s="994">
        <v>2640</v>
      </c>
      <c r="D36" s="1827">
        <f>'Expenditures 15-22'!K70-SUM('Expenditures 15-22'!G70,'Expenditures 15-22'!I70)+'Expenditures 15-22'!D275-E13</f>
        <v>332008</v>
      </c>
      <c r="E36" s="1827">
        <f>E13</f>
        <v>15200</v>
      </c>
      <c r="F36" s="1827">
        <f>'Expenditures 15-22'!K70-SUM('Expenditures 15-22'!G70,'Expenditures 15-22'!I70)+'Expenditures 15-22'!D275-E13</f>
        <v>332008</v>
      </c>
      <c r="G36" s="1827">
        <f>E13</f>
        <v>15200</v>
      </c>
    </row>
    <row r="37" spans="1:7" ht="12" customHeight="1" x14ac:dyDescent="0.2">
      <c r="A37" s="995" t="s">
        <v>423</v>
      </c>
      <c r="B37" s="998"/>
      <c r="C37" s="994">
        <v>2660</v>
      </c>
      <c r="D37" s="1827">
        <f>'Expenditures 15-22'!K71-SUM('Expenditures 15-22'!G71,'Expenditures 15-22'!I71)+'Expenditures 15-22'!D276-E14</f>
        <v>203714</v>
      </c>
      <c r="E37" s="1827">
        <f>E14</f>
        <v>0</v>
      </c>
      <c r="F37" s="1827">
        <f>'Expenditures 15-22'!K71-SUM('Expenditures 15-22'!G71,'Expenditures 15-22'!I71)+'Expenditures 15-22'!D276-E14</f>
        <v>203714</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89407</v>
      </c>
      <c r="F38" s="1825"/>
      <c r="G38" s="1827">
        <f>'Expenditures 15-22'!K73-SUM('Expenditures 15-22'!G73,'Expenditures 15-22'!I73)+'Expenditures 15-22'!K128-SUM('Expenditures 15-22'!G128,'Expenditures 15-22'!I128)+'Expenditures 15-22'!K183-SUM('Expenditures 15-22'!G183,'Expenditures 15-22'!I183)+'Expenditures 15-22'!D278</f>
        <v>89407</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222132</v>
      </c>
      <c r="F39" s="1825"/>
      <c r="G39" s="1827">
        <f>'Expenditures 15-22'!K75-SUM('Expenditures 15-22'!G75,'Expenditures 15-22'!I75)+'Expenditures 15-22'!K130-SUM('Expenditures 15-22'!G130,'Expenditures 15-22'!I130)+'Expenditures 15-22'!K185-SUM('Expenditures 15-22'!G185,'Expenditures 15-22'!I185)+'Expenditures 15-22'!D280</f>
        <v>222132</v>
      </c>
    </row>
    <row r="40" spans="1:7" ht="12" customHeight="1" x14ac:dyDescent="0.2">
      <c r="A40" s="991" t="s">
        <v>1926</v>
      </c>
      <c r="B40" s="992"/>
      <c r="C40" s="994"/>
      <c r="D40" s="1825"/>
      <c r="E40" s="1829">
        <f>-'Contracts Paid in CY 29'!G141</f>
        <v>-131750</v>
      </c>
      <c r="F40" s="1825"/>
      <c r="G40" s="1829">
        <f>-'Contracts Paid in CY 29'!G141</f>
        <v>-131750</v>
      </c>
    </row>
    <row r="41" spans="1:7" ht="12" customHeight="1" x14ac:dyDescent="0.2">
      <c r="A41" s="999" t="s">
        <v>158</v>
      </c>
      <c r="B41" s="1000"/>
      <c r="C41" s="1001"/>
      <c r="D41" s="1829">
        <f>SUM(D19:D39)</f>
        <v>910258</v>
      </c>
      <c r="E41" s="1829">
        <f>SUM(E19:E40)</f>
        <v>60369485</v>
      </c>
      <c r="F41" s="1829">
        <f>SUM(F19:F39)</f>
        <v>6613361</v>
      </c>
      <c r="G41" s="1829">
        <f>SUM(G19:G40)</f>
        <v>54666382</v>
      </c>
    </row>
    <row r="42" spans="1:7" x14ac:dyDescent="0.2">
      <c r="A42" s="988"/>
      <c r="B42" s="162"/>
      <c r="C42" s="1002"/>
      <c r="D42" s="2333" t="s">
        <v>542</v>
      </c>
      <c r="E42" s="2334"/>
      <c r="F42" s="1003" t="s">
        <v>543</v>
      </c>
      <c r="G42" s="1004"/>
    </row>
    <row r="43" spans="1:7" ht="12" customHeight="1" x14ac:dyDescent="0.2">
      <c r="A43" s="988"/>
      <c r="B43" s="162"/>
      <c r="C43" s="1002"/>
      <c r="D43" s="1830" t="s">
        <v>492</v>
      </c>
      <c r="E43" s="1831">
        <f>D41</f>
        <v>910258</v>
      </c>
      <c r="F43" s="1830" t="s">
        <v>494</v>
      </c>
      <c r="G43" s="1831">
        <f>F41</f>
        <v>6613361</v>
      </c>
    </row>
    <row r="44" spans="1:7" ht="12" customHeight="1" x14ac:dyDescent="0.2">
      <c r="A44" s="988"/>
      <c r="B44" s="162"/>
      <c r="C44" s="1002"/>
      <c r="D44" s="1830" t="s">
        <v>493</v>
      </c>
      <c r="E44" s="1831">
        <f>E41</f>
        <v>60369485</v>
      </c>
      <c r="F44" s="1830" t="s">
        <v>493</v>
      </c>
      <c r="G44" s="1831">
        <f>G41</f>
        <v>54666382</v>
      </c>
    </row>
    <row r="45" spans="1:7" ht="12" customHeight="1" x14ac:dyDescent="0.2">
      <c r="A45" s="988"/>
      <c r="B45" s="162"/>
      <c r="C45" s="162"/>
      <c r="D45" s="1832" t="s">
        <v>1062</v>
      </c>
      <c r="E45" s="1833">
        <f>(E43/E44)</f>
        <v>1.5078114381794048E-2</v>
      </c>
      <c r="F45" s="1832" t="s">
        <v>1062</v>
      </c>
      <c r="G45" s="1833">
        <f>(G43/G44)</f>
        <v>0.1209767458179325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22" sqref="A2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41" t="s">
        <v>1445</v>
      </c>
      <c r="B1" s="2341"/>
      <c r="C1" s="2341"/>
      <c r="D1" s="2341"/>
      <c r="E1" s="2341"/>
      <c r="F1" s="2341"/>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42" t="s">
        <v>1626</v>
      </c>
      <c r="B5" s="2343"/>
      <c r="C5" s="2344"/>
      <c r="D5" s="2344"/>
      <c r="E5" s="2344"/>
      <c r="F5" s="2344"/>
    </row>
    <row r="6" spans="1:10" ht="12" customHeight="1" x14ac:dyDescent="0.25">
      <c r="A6" s="1875"/>
      <c r="B6" s="1876"/>
      <c r="C6" s="2345" t="str">
        <f>COVER!A17</f>
        <v>Quincy SD 172</v>
      </c>
      <c r="D6" s="2345"/>
      <c r="E6" s="2345"/>
      <c r="F6" s="1877"/>
    </row>
    <row r="7" spans="1:10" ht="11.25" customHeight="1" thickBot="1" x14ac:dyDescent="0.3">
      <c r="A7" s="1875"/>
      <c r="B7" s="1876"/>
      <c r="C7" s="2346">
        <f>COVER!A13</f>
        <v>1001172022</v>
      </c>
      <c r="D7" s="2346"/>
      <c r="E7" s="2346"/>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t="s">
        <v>2162</v>
      </c>
      <c r="D13" s="1890" t="s">
        <v>2162</v>
      </c>
      <c r="E13" s="1893" t="s">
        <v>2162</v>
      </c>
      <c r="F13" s="1892" t="s">
        <v>2261</v>
      </c>
      <c r="H13" s="1903">
        <f t="shared" si="0"/>
        <v>5</v>
      </c>
      <c r="I13" s="1903">
        <f t="shared" si="1"/>
        <v>5</v>
      </c>
      <c r="J13" s="1903">
        <f t="shared" si="2"/>
        <v>5</v>
      </c>
    </row>
    <row r="14" spans="1:10" ht="12" customHeight="1" x14ac:dyDescent="0.2">
      <c r="A14" s="1888" t="s">
        <v>1452</v>
      </c>
      <c r="B14" s="1889"/>
      <c r="C14" s="1890" t="s">
        <v>2162</v>
      </c>
      <c r="D14" s="1890" t="s">
        <v>2162</v>
      </c>
      <c r="E14" s="1893" t="s">
        <v>2162</v>
      </c>
      <c r="F14" s="1892" t="s">
        <v>2262</v>
      </c>
      <c r="H14" s="1903">
        <f t="shared" si="0"/>
        <v>5</v>
      </c>
      <c r="I14" s="1903">
        <f t="shared" si="1"/>
        <v>5</v>
      </c>
      <c r="J14" s="1903">
        <f t="shared" si="2"/>
        <v>5</v>
      </c>
    </row>
    <row r="15" spans="1:10" ht="12" customHeight="1" x14ac:dyDescent="0.2">
      <c r="A15" s="1888" t="s">
        <v>1453</v>
      </c>
      <c r="B15" s="1889"/>
      <c r="C15" s="1890" t="s">
        <v>2162</v>
      </c>
      <c r="D15" s="1890" t="s">
        <v>2162</v>
      </c>
      <c r="E15" s="1893" t="s">
        <v>2162</v>
      </c>
      <c r="F15" s="1892" t="s">
        <v>2263</v>
      </c>
      <c r="H15" s="1903">
        <f t="shared" si="0"/>
        <v>5</v>
      </c>
      <c r="I15" s="1903">
        <f t="shared" si="1"/>
        <v>5</v>
      </c>
      <c r="J15" s="1903">
        <f t="shared" si="2"/>
        <v>5</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2162</v>
      </c>
      <c r="D19" s="1890" t="s">
        <v>2162</v>
      </c>
      <c r="E19" s="1893" t="s">
        <v>2162</v>
      </c>
      <c r="F19" s="1892" t="s">
        <v>2264</v>
      </c>
      <c r="H19" s="1903">
        <f t="shared" si="0"/>
        <v>5</v>
      </c>
      <c r="I19" s="1903">
        <f t="shared" si="1"/>
        <v>5</v>
      </c>
      <c r="J19" s="1903">
        <f t="shared" si="2"/>
        <v>5</v>
      </c>
    </row>
    <row r="20" spans="1:12" ht="12" customHeight="1" x14ac:dyDescent="0.2">
      <c r="A20" s="1888" t="s">
        <v>1608</v>
      </c>
      <c r="B20" s="1889"/>
      <c r="C20" s="1890" t="s">
        <v>2162</v>
      </c>
      <c r="D20" s="1890" t="s">
        <v>2162</v>
      </c>
      <c r="E20" s="1893" t="s">
        <v>2162</v>
      </c>
      <c r="F20" s="1892" t="s">
        <v>2265</v>
      </c>
      <c r="H20" s="1903">
        <f t="shared" si="0"/>
        <v>5</v>
      </c>
      <c r="I20" s="1903">
        <f t="shared" si="1"/>
        <v>5</v>
      </c>
      <c r="J20" s="1903">
        <f t="shared" si="2"/>
        <v>5</v>
      </c>
    </row>
    <row r="21" spans="1:12" ht="12" customHeight="1" x14ac:dyDescent="0.2">
      <c r="A21" s="1888" t="s">
        <v>1609</v>
      </c>
      <c r="B21" s="1889"/>
      <c r="C21" s="1890" t="s">
        <v>2162</v>
      </c>
      <c r="D21" s="1890" t="s">
        <v>2162</v>
      </c>
      <c r="E21" s="1893" t="s">
        <v>2162</v>
      </c>
      <c r="F21" s="1892" t="s">
        <v>2266</v>
      </c>
      <c r="H21" s="1903">
        <f t="shared" si="0"/>
        <v>5</v>
      </c>
      <c r="I21" s="1903">
        <f t="shared" si="1"/>
        <v>5</v>
      </c>
      <c r="J21" s="1903">
        <f t="shared" si="2"/>
        <v>5</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t="s">
        <v>2162</v>
      </c>
      <c r="D24" s="1890" t="s">
        <v>2162</v>
      </c>
      <c r="E24" s="1893" t="s">
        <v>2162</v>
      </c>
      <c r="F24" s="1892" t="s">
        <v>2267</v>
      </c>
      <c r="H24" s="1903">
        <f t="shared" si="0"/>
        <v>5</v>
      </c>
      <c r="I24" s="1903">
        <f t="shared" si="1"/>
        <v>5</v>
      </c>
      <c r="J24" s="1903">
        <f t="shared" si="2"/>
        <v>5</v>
      </c>
    </row>
    <row r="25" spans="1:12" ht="12" customHeight="1" x14ac:dyDescent="0.2">
      <c r="A25" s="1888" t="s">
        <v>1613</v>
      </c>
      <c r="B25" s="1889"/>
      <c r="C25" s="1890" t="s">
        <v>2162</v>
      </c>
      <c r="D25" s="1890" t="s">
        <v>2162</v>
      </c>
      <c r="E25" s="1893" t="s">
        <v>2162</v>
      </c>
      <c r="F25" s="1892" t="s">
        <v>2268</v>
      </c>
      <c r="H25" s="1903">
        <f t="shared" si="0"/>
        <v>5</v>
      </c>
      <c r="I25" s="1903">
        <f t="shared" si="1"/>
        <v>5</v>
      </c>
      <c r="J25" s="1903">
        <f t="shared" si="2"/>
        <v>5</v>
      </c>
    </row>
    <row r="26" spans="1:12" ht="12" customHeight="1" x14ac:dyDescent="0.2">
      <c r="A26" s="1888" t="s">
        <v>1614</v>
      </c>
      <c r="B26" s="1889"/>
      <c r="C26" s="1890" t="s">
        <v>2162</v>
      </c>
      <c r="D26" s="1890" t="s">
        <v>2162</v>
      </c>
      <c r="E26" s="1893" t="s">
        <v>2162</v>
      </c>
      <c r="F26" s="1892" t="s">
        <v>2249</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2162</v>
      </c>
      <c r="D31" s="1890" t="s">
        <v>2162</v>
      </c>
      <c r="E31" s="1893" t="s">
        <v>2162</v>
      </c>
      <c r="F31" s="1892" t="s">
        <v>2269</v>
      </c>
      <c r="H31" s="1903">
        <f t="shared" si="0"/>
        <v>5</v>
      </c>
      <c r="I31" s="1903">
        <f t="shared" si="1"/>
        <v>5</v>
      </c>
      <c r="J31" s="1903">
        <f t="shared" si="2"/>
        <v>5</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50</v>
      </c>
      <c r="I34" s="1903">
        <f>SUM(I11:I32)</f>
        <v>50</v>
      </c>
      <c r="J34" s="1903">
        <f>SUM(J11:J32)</f>
        <v>50</v>
      </c>
      <c r="K34" s="1903">
        <f>SUM(H34:J34)</f>
        <v>150</v>
      </c>
    </row>
    <row r="35" spans="1:11" ht="12" customHeight="1" x14ac:dyDescent="0.2">
      <c r="A35" s="1896" t="s">
        <v>1458</v>
      </c>
      <c r="B35" s="1897"/>
      <c r="C35" s="2347"/>
      <c r="D35" s="2347"/>
      <c r="E35" s="2347"/>
      <c r="F35" s="2348"/>
    </row>
    <row r="36" spans="1:11" ht="12" customHeight="1" x14ac:dyDescent="0.2">
      <c r="A36" s="2338"/>
      <c r="B36" s="2339"/>
      <c r="C36" s="2339"/>
      <c r="D36" s="2339"/>
      <c r="E36" s="2339"/>
      <c r="F36" s="2340"/>
    </row>
    <row r="37" spans="1:11" ht="12" customHeight="1" x14ac:dyDescent="0.2">
      <c r="A37" s="2338"/>
      <c r="B37" s="2339"/>
      <c r="C37" s="2339"/>
      <c r="D37" s="2339"/>
      <c r="E37" s="2339"/>
      <c r="F37" s="2340"/>
    </row>
    <row r="38" spans="1:11" ht="12" customHeight="1" x14ac:dyDescent="0.2">
      <c r="A38" s="2352"/>
      <c r="B38" s="2353"/>
      <c r="C38" s="2353"/>
      <c r="D38" s="2353"/>
      <c r="E38" s="2353"/>
      <c r="F38" s="2354"/>
    </row>
    <row r="39" spans="1:11" ht="4.5" hidden="1" customHeight="1" x14ac:dyDescent="0.2">
      <c r="A39" s="1898"/>
      <c r="B39" s="1898"/>
      <c r="C39" s="1898"/>
      <c r="D39" s="1898"/>
      <c r="E39" s="1898"/>
      <c r="F39" s="1898"/>
    </row>
    <row r="40" spans="1:11" s="1895" customFormat="1" ht="12" customHeight="1" x14ac:dyDescent="0.25">
      <c r="A40" s="1899" t="s">
        <v>1457</v>
      </c>
      <c r="B40" s="1900"/>
      <c r="C40" s="2355"/>
      <c r="D40" s="2355"/>
      <c r="E40" s="2355"/>
      <c r="F40" s="2356"/>
      <c r="H40" s="1904"/>
      <c r="I40" s="1904"/>
      <c r="J40" s="1904"/>
      <c r="K40" s="1904"/>
    </row>
    <row r="41" spans="1:11" s="1895" customFormat="1" ht="12" customHeight="1" x14ac:dyDescent="0.25">
      <c r="A41" s="2357"/>
      <c r="B41" s="2358"/>
      <c r="C41" s="2358"/>
      <c r="D41" s="2358"/>
      <c r="E41" s="2358"/>
      <c r="F41" s="2359"/>
      <c r="H41" s="1904"/>
      <c r="I41" s="1904"/>
      <c r="J41" s="1904"/>
      <c r="K41" s="1904"/>
    </row>
    <row r="42" spans="1:11" s="1895" customFormat="1" ht="12" customHeight="1" x14ac:dyDescent="0.25">
      <c r="A42" s="2357"/>
      <c r="B42" s="2358"/>
      <c r="C42" s="2358"/>
      <c r="D42" s="2358"/>
      <c r="E42" s="2358"/>
      <c r="F42" s="2359"/>
      <c r="H42" s="1904"/>
      <c r="I42" s="1904"/>
      <c r="J42" s="1904"/>
      <c r="K42" s="1904"/>
    </row>
    <row r="43" spans="1:11" s="1895" customFormat="1" ht="15" x14ac:dyDescent="0.25">
      <c r="A43" s="2349"/>
      <c r="B43" s="2350"/>
      <c r="C43" s="2350"/>
      <c r="D43" s="2350"/>
      <c r="E43" s="2350"/>
      <c r="F43" s="2351"/>
      <c r="H43" s="1904"/>
      <c r="I43" s="1904"/>
      <c r="J43" s="1904"/>
      <c r="K43" s="1904"/>
    </row>
    <row r="44" spans="1:11" s="1895" customFormat="1" ht="12" hidden="1" customHeight="1" x14ac:dyDescent="0.25">
      <c r="A44" s="2349"/>
      <c r="B44" s="2350"/>
      <c r="C44" s="2350"/>
      <c r="D44" s="2350"/>
      <c r="E44" s="2350"/>
      <c r="F44" s="235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2" sqref="A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65" t="str">
        <f>COVER!A17</f>
        <v>Quincy SD 172</v>
      </c>
      <c r="J6" s="2366"/>
      <c r="Q6" s="1686"/>
    </row>
    <row r="7" spans="1:17" x14ac:dyDescent="0.2">
      <c r="A7" s="2367" t="s">
        <v>923</v>
      </c>
      <c r="B7" s="2368"/>
      <c r="C7" s="2368"/>
      <c r="D7" s="2368"/>
      <c r="E7" s="2369"/>
      <c r="F7" s="1018"/>
      <c r="G7" s="1010"/>
      <c r="H7" s="1017" t="s">
        <v>389</v>
      </c>
      <c r="I7" s="2370">
        <f>COVER!A13</f>
        <v>1001172022</v>
      </c>
      <c r="J7" s="237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1" t="s">
        <v>501</v>
      </c>
      <c r="B11" s="2372"/>
      <c r="C11" s="237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127531</v>
      </c>
      <c r="F12" s="1040"/>
      <c r="G12" s="1834">
        <f t="shared" ref="G12:G18" si="0">SUM(E12:F12)</f>
        <v>127531</v>
      </c>
      <c r="H12" s="1041">
        <v>156928</v>
      </c>
      <c r="I12" s="1040"/>
      <c r="J12" s="1834">
        <f t="shared" ref="J12:J18" si="1">SUM(H12:I12)</f>
        <v>156928</v>
      </c>
    </row>
    <row r="13" spans="1:17" ht="15" customHeight="1" x14ac:dyDescent="0.2">
      <c r="A13" s="1036">
        <v>2</v>
      </c>
      <c r="B13" s="1037" t="s">
        <v>44</v>
      </c>
      <c r="C13" s="1038"/>
      <c r="D13" s="1039">
        <v>2330</v>
      </c>
      <c r="E13" s="1834">
        <f>'Expenditures 15-22'!K51</f>
        <v>139244</v>
      </c>
      <c r="F13" s="1040"/>
      <c r="G13" s="1834">
        <f t="shared" si="0"/>
        <v>139244</v>
      </c>
      <c r="H13" s="1041">
        <v>413487</v>
      </c>
      <c r="I13" s="1040"/>
      <c r="J13" s="1834">
        <f t="shared" si="1"/>
        <v>413487</v>
      </c>
    </row>
    <row r="14" spans="1:17" ht="15" customHeight="1" x14ac:dyDescent="0.2">
      <c r="A14" s="1036">
        <v>3</v>
      </c>
      <c r="B14" s="1037" t="s">
        <v>45</v>
      </c>
      <c r="C14" s="1038"/>
      <c r="D14" s="1042">
        <v>2490</v>
      </c>
      <c r="E14" s="1834">
        <f>'Expenditures 15-22'!K56</f>
        <v>9724</v>
      </c>
      <c r="F14" s="1040"/>
      <c r="G14" s="1834">
        <f t="shared" si="0"/>
        <v>9724</v>
      </c>
      <c r="H14" s="1041">
        <v>718210</v>
      </c>
      <c r="I14" s="1040"/>
      <c r="J14" s="1834">
        <f t="shared" si="1"/>
        <v>718210</v>
      </c>
    </row>
    <row r="15" spans="1:17" ht="15" customHeight="1" x14ac:dyDescent="0.2">
      <c r="A15" s="1036">
        <v>4</v>
      </c>
      <c r="B15" s="1037" t="s">
        <v>1127</v>
      </c>
      <c r="C15" s="1038"/>
      <c r="D15" s="1039">
        <v>2510</v>
      </c>
      <c r="E15" s="1834">
        <f>'Expenditures 15-22'!K59</f>
        <v>81044</v>
      </c>
      <c r="F15" s="1834">
        <f>'Expenditures 15-22'!K122</f>
        <v>0</v>
      </c>
      <c r="G15" s="1834">
        <f t="shared" si="0"/>
        <v>81044</v>
      </c>
      <c r="H15" s="1041">
        <v>85908</v>
      </c>
      <c r="I15" s="1041"/>
      <c r="J15" s="1834">
        <f t="shared" si="1"/>
        <v>85908</v>
      </c>
    </row>
    <row r="16" spans="1:17" ht="15" customHeight="1" x14ac:dyDescent="0.2">
      <c r="A16" s="1036">
        <v>5</v>
      </c>
      <c r="B16" s="1037" t="s">
        <v>103</v>
      </c>
      <c r="C16" s="1038"/>
      <c r="D16" s="1039">
        <v>2570</v>
      </c>
      <c r="E16" s="1834">
        <f>'Expenditures 15-22'!K64</f>
        <v>67206</v>
      </c>
      <c r="F16" s="1040"/>
      <c r="G16" s="1834">
        <f t="shared" si="0"/>
        <v>67206</v>
      </c>
      <c r="H16" s="1041">
        <v>5000</v>
      </c>
      <c r="I16" s="1040"/>
      <c r="J16" s="1834">
        <f t="shared" si="1"/>
        <v>5000</v>
      </c>
    </row>
    <row r="17" spans="1:10" ht="15" customHeight="1" x14ac:dyDescent="0.2">
      <c r="A17" s="1036">
        <v>6</v>
      </c>
      <c r="B17" s="1037" t="s">
        <v>1119</v>
      </c>
      <c r="C17" s="1038"/>
      <c r="D17" s="1039">
        <v>2610</v>
      </c>
      <c r="E17" s="1834">
        <f>'Expenditures 15-22'!K67</f>
        <v>155875</v>
      </c>
      <c r="F17" s="1040"/>
      <c r="G17" s="1834">
        <f t="shared" si="0"/>
        <v>155875</v>
      </c>
      <c r="H17" s="1041">
        <v>49102</v>
      </c>
      <c r="I17" s="1040"/>
      <c r="J17" s="1834">
        <f t="shared" si="1"/>
        <v>49102</v>
      </c>
    </row>
    <row r="18" spans="1:10" ht="22.5" customHeight="1" x14ac:dyDescent="0.2">
      <c r="A18" s="1043">
        <v>7</v>
      </c>
      <c r="B18" s="2374" t="s">
        <v>7</v>
      </c>
      <c r="C18" s="2375"/>
      <c r="D18" s="237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580624</v>
      </c>
      <c r="F19" s="1836">
        <f t="shared" si="2"/>
        <v>0</v>
      </c>
      <c r="G19" s="1836">
        <f t="shared" si="2"/>
        <v>580624</v>
      </c>
      <c r="H19" s="1836">
        <f t="shared" si="2"/>
        <v>1428635</v>
      </c>
      <c r="I19" s="1836">
        <f t="shared" si="2"/>
        <v>0</v>
      </c>
      <c r="J19" s="1836">
        <f t="shared" si="2"/>
        <v>1428635</v>
      </c>
    </row>
    <row r="20" spans="1:10" ht="13.5" thickTop="1" x14ac:dyDescent="0.2">
      <c r="A20" s="1036">
        <v>9</v>
      </c>
      <c r="B20" s="2377" t="s">
        <v>1702</v>
      </c>
      <c r="C20" s="2377"/>
      <c r="D20" s="2378"/>
      <c r="E20" s="1047"/>
      <c r="F20" s="1047"/>
      <c r="G20" s="1047"/>
      <c r="H20" s="1047"/>
      <c r="I20" s="1047"/>
      <c r="J20" s="1837">
        <f>IF(AND(G19&gt;0,J19&gt;0),(((J19-G19)/G19)),"Enter Budget Data")</f>
        <v>1.460516616605583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3"/>
      <c r="D26" s="2383"/>
      <c r="E26" s="1051"/>
      <c r="F26" s="2382"/>
      <c r="G26" s="2382"/>
    </row>
    <row r="27" spans="1:10" x14ac:dyDescent="0.2">
      <c r="B27" s="1048"/>
      <c r="C27" s="1052" t="s">
        <v>1092</v>
      </c>
      <c r="D27" s="1053"/>
      <c r="E27" s="1054"/>
      <c r="F27" s="2379" t="s">
        <v>1588</v>
      </c>
      <c r="G27" s="2379"/>
    </row>
    <row r="28" spans="1:10" ht="28.5" customHeight="1" x14ac:dyDescent="0.2">
      <c r="B28" s="1048"/>
      <c r="C28" s="2381"/>
      <c r="D28" s="2381"/>
      <c r="E28" s="1055"/>
      <c r="F28" s="2381"/>
      <c r="G28" s="2381"/>
    </row>
    <row r="29" spans="1:10" x14ac:dyDescent="0.2">
      <c r="B29" s="1048"/>
      <c r="C29" s="1056" t="s">
        <v>1641</v>
      </c>
      <c r="E29" s="1057"/>
      <c r="F29" s="2380" t="s">
        <v>1589</v>
      </c>
      <c r="G29" s="238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t="s">
        <v>2230</v>
      </c>
      <c r="C33" s="2362" t="s">
        <v>134</v>
      </c>
      <c r="D33" s="2363"/>
      <c r="E33" s="2363"/>
      <c r="F33" s="2363"/>
      <c r="G33" s="2363"/>
      <c r="H33" s="2363"/>
      <c r="I33" s="2363"/>
    </row>
    <row r="34" spans="1:10" ht="10.35" customHeight="1" x14ac:dyDescent="0.2">
      <c r="C34" s="2363"/>
      <c r="D34" s="2363"/>
      <c r="E34" s="2363"/>
      <c r="F34" s="2363"/>
      <c r="G34" s="2363"/>
      <c r="H34" s="2363"/>
      <c r="I34" s="2363"/>
    </row>
    <row r="35" spans="1:10" ht="7.5" customHeight="1" x14ac:dyDescent="0.2">
      <c r="C35" s="1063"/>
    </row>
    <row r="36" spans="1:10" ht="13.5" customHeight="1" x14ac:dyDescent="0.2">
      <c r="B36" s="1062"/>
      <c r="C36" s="2364" t="s">
        <v>1940</v>
      </c>
      <c r="D36" s="2363"/>
      <c r="E36" s="2363"/>
      <c r="F36" s="2363"/>
      <c r="G36" s="2363"/>
      <c r="H36" s="2363"/>
      <c r="I36" s="2363"/>
      <c r="J36" s="1064"/>
    </row>
    <row r="37" spans="1:10" ht="22.5" customHeight="1" x14ac:dyDescent="0.2">
      <c r="C37" s="2363"/>
      <c r="D37" s="2363"/>
      <c r="E37" s="2363"/>
      <c r="F37" s="2363"/>
      <c r="G37" s="2363"/>
      <c r="H37" s="2363"/>
      <c r="I37" s="2363"/>
      <c r="J37" s="1064"/>
    </row>
    <row r="38" spans="1:10" ht="7.5" customHeight="1" x14ac:dyDescent="0.2">
      <c r="C38" s="1063"/>
      <c r="D38" s="1065"/>
      <c r="E38" s="1066"/>
      <c r="F38" s="1067"/>
      <c r="G38" s="1066"/>
    </row>
    <row r="39" spans="1:10" ht="13.5" customHeight="1" x14ac:dyDescent="0.2">
      <c r="B39" s="1062"/>
      <c r="C39" s="2360" t="s">
        <v>936</v>
      </c>
      <c r="D39" s="2361"/>
      <c r="E39" s="2361"/>
      <c r="F39" s="2361"/>
      <c r="G39" s="2361"/>
      <c r="H39" s="2361"/>
      <c r="I39" s="236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55"/>
  <sheetViews>
    <sheetView showGridLines="0" zoomScale="110" zoomScaleNormal="110" workbookViewId="0">
      <selection activeCell="A22" sqref="A22"/>
    </sheetView>
  </sheetViews>
  <sheetFormatPr defaultColWidth="9.140625" defaultRowHeight="12.75" x14ac:dyDescent="0.2"/>
  <cols>
    <col min="1" max="1" width="3" style="329" customWidth="1"/>
    <col min="2" max="2" width="111.5703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2189</v>
      </c>
    </row>
    <row r="6" spans="1:2" x14ac:dyDescent="0.2">
      <c r="A6" s="1069">
        <v>2</v>
      </c>
      <c r="B6" s="329" t="s">
        <v>2190</v>
      </c>
    </row>
    <row r="7" spans="1:2" x14ac:dyDescent="0.2">
      <c r="A7" s="1069">
        <v>3</v>
      </c>
      <c r="B7" s="329" t="s">
        <v>2191</v>
      </c>
    </row>
    <row r="8" spans="1:2" x14ac:dyDescent="0.2">
      <c r="A8" s="1069">
        <v>4</v>
      </c>
      <c r="B8" s="329" t="s">
        <v>2192</v>
      </c>
    </row>
    <row r="9" spans="1:2" x14ac:dyDescent="0.2">
      <c r="A9" s="1069"/>
      <c r="B9" s="329" t="s">
        <v>2193</v>
      </c>
    </row>
    <row r="10" spans="1:2" x14ac:dyDescent="0.2">
      <c r="A10" s="1069"/>
      <c r="B10" s="329" t="s">
        <v>2194</v>
      </c>
    </row>
    <row r="11" spans="1:2" x14ac:dyDescent="0.2">
      <c r="A11" s="1069">
        <v>5</v>
      </c>
      <c r="B11" s="329" t="s">
        <v>2195</v>
      </c>
    </row>
    <row r="12" spans="1:2" x14ac:dyDescent="0.2">
      <c r="A12" s="1069">
        <v>6</v>
      </c>
      <c r="B12" s="329" t="s">
        <v>2198</v>
      </c>
    </row>
    <row r="13" spans="1:2" x14ac:dyDescent="0.2">
      <c r="A13" s="1069">
        <v>7</v>
      </c>
      <c r="B13" s="329" t="s">
        <v>2196</v>
      </c>
    </row>
    <row r="14" spans="1:2" x14ac:dyDescent="0.2">
      <c r="A14" s="1069"/>
      <c r="B14" s="329" t="s">
        <v>2197</v>
      </c>
    </row>
    <row r="15" spans="1:2" x14ac:dyDescent="0.2">
      <c r="A15" s="1069">
        <v>8</v>
      </c>
      <c r="B15" s="329" t="s">
        <v>2199</v>
      </c>
    </row>
    <row r="16" spans="1:2" x14ac:dyDescent="0.2">
      <c r="A16" s="1069">
        <v>9</v>
      </c>
      <c r="B16" s="329" t="s">
        <v>2200</v>
      </c>
    </row>
    <row r="17" spans="1:2" x14ac:dyDescent="0.2">
      <c r="A17" s="1069">
        <v>10</v>
      </c>
      <c r="B17" s="329" t="s">
        <v>2201</v>
      </c>
    </row>
    <row r="18" spans="1:2" x14ac:dyDescent="0.2">
      <c r="A18" s="1069">
        <v>11</v>
      </c>
      <c r="B18" s="329" t="s">
        <v>2202</v>
      </c>
    </row>
    <row r="19" spans="1:2" x14ac:dyDescent="0.2">
      <c r="A19" s="1069"/>
      <c r="B19" s="329" t="s">
        <v>2203</v>
      </c>
    </row>
    <row r="20" spans="1:2" x14ac:dyDescent="0.2">
      <c r="A20" s="1069">
        <v>12</v>
      </c>
      <c r="B20" s="329" t="s">
        <v>2204</v>
      </c>
    </row>
    <row r="21" spans="1:2" x14ac:dyDescent="0.2">
      <c r="A21" s="1069">
        <v>13</v>
      </c>
      <c r="B21" s="329" t="s">
        <v>2205</v>
      </c>
    </row>
    <row r="22" spans="1:2" x14ac:dyDescent="0.2">
      <c r="A22" s="1069">
        <v>14</v>
      </c>
      <c r="B22" s="329" t="s">
        <v>2206</v>
      </c>
    </row>
    <row r="23" spans="1:2" x14ac:dyDescent="0.2">
      <c r="A23" s="1069">
        <v>15</v>
      </c>
      <c r="B23" s="329" t="s">
        <v>2207</v>
      </c>
    </row>
    <row r="24" spans="1:2" x14ac:dyDescent="0.2">
      <c r="A24" s="1070">
        <v>16</v>
      </c>
      <c r="B24" s="329" t="s">
        <v>2208</v>
      </c>
    </row>
    <row r="25" spans="1:2" x14ac:dyDescent="0.2">
      <c r="A25" s="1070">
        <v>17</v>
      </c>
      <c r="B25" s="329" t="s">
        <v>2209</v>
      </c>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c r="B54" s="258" t="str">
        <f>COVER!A17</f>
        <v>Quincy SD 172</v>
      </c>
    </row>
    <row r="55" spans="1:2" x14ac:dyDescent="0.2">
      <c r="B55" s="1071">
        <f>COVER!A13</f>
        <v>1001172022</v>
      </c>
    </row>
  </sheetData>
  <phoneticPr fontId="13" type="noConversion"/>
  <pageMargins left="0.2" right="0.2" top="1.17" bottom="0.75" header="0.19" footer="0.16"/>
  <pageSetup scale="9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7" zoomScale="110" zoomScaleNormal="110" workbookViewId="0">
      <selection activeCell="A22" sqref="A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1" t="s">
        <v>1124</v>
      </c>
      <c r="B35" s="2101"/>
      <c r="C35" s="2101"/>
      <c r="D35" s="2101"/>
      <c r="E35" s="210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8" t="s">
        <v>714</v>
      </c>
      <c r="B40" s="2098"/>
      <c r="C40" s="2098"/>
      <c r="D40" s="2098"/>
      <c r="E40" s="2098"/>
    </row>
    <row r="41" spans="1:5" x14ac:dyDescent="0.2">
      <c r="A41" s="2099" t="s">
        <v>1705</v>
      </c>
      <c r="B41" s="2099"/>
      <c r="C41" s="2099"/>
      <c r="D41" s="2099"/>
      <c r="E41" s="2099"/>
    </row>
    <row r="42" spans="1:5" ht="12.75" customHeight="1" x14ac:dyDescent="0.2">
      <c r="A42" s="2100" t="s">
        <v>1079</v>
      </c>
      <c r="B42" s="2100"/>
      <c r="C42" s="2100"/>
      <c r="D42" s="2100"/>
      <c r="E42" s="2100"/>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2" sqref="A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84" t="s">
        <v>1783</v>
      </c>
      <c r="B18" s="238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9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91" r:id="rId4"/>
      </mc:Fallback>
    </mc:AlternateContent>
    <mc:AlternateContent xmlns:mc="http://schemas.openxmlformats.org/markup-compatibility/2006">
      <mc:Choice Requires="x14">
        <oleObject progId="Acrobat Document" dvAspect="DVASPECT_ICON" shapeId="37892" r:id="rId6">
          <objectPr defaultSize="0" r:id="rId7">
            <anchor moveWithCells="1">
              <from>
                <xdr:col>1</xdr:col>
                <xdr:colOff>933450</xdr:colOff>
                <xdr:row>1</xdr:row>
                <xdr:rowOff>0</xdr:rowOff>
              </from>
              <to>
                <xdr:col>1</xdr:col>
                <xdr:colOff>1847850</xdr:colOff>
                <xdr:row>5</xdr:row>
                <xdr:rowOff>38100</xdr:rowOff>
              </to>
            </anchor>
          </objectPr>
        </oleObject>
      </mc:Choice>
      <mc:Fallback>
        <oleObject progId="Acrobat Document" dvAspect="DVASPECT_ICON" shapeId="3789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2" sqref="A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5" t="s">
        <v>1789</v>
      </c>
      <c r="B1" s="2386"/>
      <c r="C1" s="2386"/>
      <c r="D1" s="2386"/>
      <c r="E1" s="2386"/>
      <c r="F1" s="2387"/>
    </row>
    <row r="2" spans="1:8" ht="45" customHeight="1" x14ac:dyDescent="0.2">
      <c r="A2" s="2395" t="s">
        <v>1790</v>
      </c>
      <c r="B2" s="2396"/>
      <c r="C2" s="2396"/>
      <c r="D2" s="2396"/>
      <c r="E2" s="2396"/>
      <c r="F2" s="2397"/>
      <c r="G2" s="1075"/>
      <c r="H2" s="1075"/>
    </row>
    <row r="3" spans="1:8" ht="57" customHeight="1" x14ac:dyDescent="0.2">
      <c r="A3" s="2398" t="s">
        <v>1785</v>
      </c>
      <c r="B3" s="2399"/>
      <c r="C3" s="2399"/>
      <c r="D3" s="2399"/>
      <c r="E3" s="2399"/>
      <c r="F3" s="2400"/>
      <c r="G3" s="1075"/>
      <c r="H3" s="1075"/>
    </row>
    <row r="4" spans="1:8" ht="14.25" customHeight="1" x14ac:dyDescent="0.2">
      <c r="A4" s="2404" t="s">
        <v>2052</v>
      </c>
      <c r="B4" s="2405"/>
      <c r="C4" s="2405"/>
      <c r="D4" s="2405"/>
      <c r="E4" s="2405"/>
      <c r="F4" s="2406"/>
      <c r="G4" s="1075"/>
      <c r="H4" s="1075"/>
    </row>
    <row r="5" spans="1:8" ht="14.25" customHeight="1" x14ac:dyDescent="0.2">
      <c r="A5" s="2407" t="s">
        <v>2053</v>
      </c>
      <c r="B5" s="2408"/>
      <c r="C5" s="2408"/>
      <c r="D5" s="2408"/>
      <c r="E5" s="2408"/>
      <c r="F5" s="2409"/>
      <c r="G5" s="1075"/>
      <c r="H5" s="1075"/>
    </row>
    <row r="6" spans="1:8" s="1076" customFormat="1" ht="41.25" customHeight="1" x14ac:dyDescent="0.2">
      <c r="A6" s="2401" t="s">
        <v>1791</v>
      </c>
      <c r="B6" s="2402"/>
      <c r="C6" s="2402"/>
      <c r="D6" s="2402"/>
      <c r="E6" s="2402"/>
      <c r="F6" s="240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52307795</v>
      </c>
      <c r="C8" s="1838">
        <f>'Acct Summary 7-8'!D8</f>
        <v>5603409</v>
      </c>
      <c r="D8" s="1838">
        <f>'Acct Summary 7-8'!F8</f>
        <v>4235671</v>
      </c>
      <c r="E8" s="1838">
        <f>'Acct Summary 7-8'!I8</f>
        <v>471937</v>
      </c>
      <c r="F8" s="1838">
        <f>SUM(B8:E8)</f>
        <v>62618812</v>
      </c>
    </row>
    <row r="9" spans="1:8" s="1080" customFormat="1" ht="14.25" customHeight="1" thickBot="1" x14ac:dyDescent="0.25">
      <c r="A9" s="1079" t="s">
        <v>1435</v>
      </c>
      <c r="B9" s="1839">
        <f>'Acct Summary 7-8'!C17</f>
        <v>49833987</v>
      </c>
      <c r="C9" s="1839">
        <f>'Acct Summary 7-8'!D17</f>
        <v>5071590</v>
      </c>
      <c r="D9" s="1839">
        <f>'Acct Summary 7-8'!F17</f>
        <v>3653046</v>
      </c>
      <c r="E9" s="1838"/>
      <c r="F9" s="1838">
        <f>SUM(B9:E9)</f>
        <v>58558623</v>
      </c>
    </row>
    <row r="10" spans="1:8" s="1080" customFormat="1" ht="14.25" thickTop="1" thickBot="1" x14ac:dyDescent="0.25">
      <c r="A10" s="1081" t="s">
        <v>1436</v>
      </c>
      <c r="B10" s="1840">
        <f>(B8-B9)</f>
        <v>2473808</v>
      </c>
      <c r="C10" s="1840">
        <f>(C8-C9)</f>
        <v>531819</v>
      </c>
      <c r="D10" s="1840">
        <f>(D8-D9)</f>
        <v>582625</v>
      </c>
      <c r="E10" s="1839">
        <f>(E8-E9)</f>
        <v>471937</v>
      </c>
      <c r="F10" s="1841">
        <f>SUM(F8-F9)</f>
        <v>4060189</v>
      </c>
    </row>
    <row r="11" spans="1:8" s="1080" customFormat="1" ht="14.25" thickTop="1" thickBot="1" x14ac:dyDescent="0.25">
      <c r="A11" s="1082" t="s">
        <v>1784</v>
      </c>
      <c r="B11" s="1842">
        <f>'Acct Summary 7-8'!C81</f>
        <v>3391420</v>
      </c>
      <c r="C11" s="1842">
        <f>'Acct Summary 7-8'!D81</f>
        <v>493309</v>
      </c>
      <c r="D11" s="1842">
        <f>'Acct Summary 7-8'!F81</f>
        <v>408174</v>
      </c>
      <c r="E11" s="1842">
        <f>'Acct Summary 7-8'!I81</f>
        <v>4507122</v>
      </c>
      <c r="F11" s="1843">
        <f>SUM(B11:E11)</f>
        <v>8800025</v>
      </c>
    </row>
    <row r="12" spans="1:8" ht="16.5" customHeight="1" thickTop="1" x14ac:dyDescent="0.2">
      <c r="A12" s="1083"/>
      <c r="B12" s="1084"/>
      <c r="C12" s="2389" t="str">
        <f>IF(AND(F10&lt;0,F11&gt;=0,ABS(F10*3)&gt;ABS(F11)),A16,IF(AND(F10&lt;0,F11&gt;0,ABS(F10*3)&lt;=ABS(F11)),A17,IF(AND(F10&lt;0,F11&lt;0),A16,IF(F11=0,A19,A18))))</f>
        <v>Balanced - no deficit reduction plan is required.</v>
      </c>
      <c r="D12" s="2390"/>
      <c r="E12" s="2390"/>
      <c r="F12" s="2391"/>
    </row>
    <row r="13" spans="1:8" ht="19.5" customHeight="1" x14ac:dyDescent="0.2">
      <c r="A13" s="1085"/>
      <c r="B13" s="1086"/>
      <c r="C13" s="2389"/>
      <c r="D13" s="2390"/>
      <c r="E13" s="2390"/>
      <c r="F13" s="2391"/>
      <c r="H13" s="1075"/>
    </row>
    <row r="14" spans="1:8" ht="19.5" customHeight="1" x14ac:dyDescent="0.2">
      <c r="A14" s="1085"/>
      <c r="B14" s="1086"/>
      <c r="C14" s="2389"/>
      <c r="D14" s="2390"/>
      <c r="E14" s="2390"/>
      <c r="F14" s="2391"/>
      <c r="H14" s="1075"/>
    </row>
    <row r="15" spans="1:8" ht="17.25" customHeight="1" x14ac:dyDescent="0.2">
      <c r="A15" s="1085"/>
      <c r="B15" s="1086"/>
      <c r="C15" s="2392"/>
      <c r="D15" s="2393"/>
      <c r="E15" s="2393"/>
      <c r="F15" s="2394"/>
      <c r="H15" s="1075"/>
    </row>
    <row r="16" spans="1:8" s="310" customFormat="1" ht="51.75" hidden="1" customHeight="1" x14ac:dyDescent="0.2">
      <c r="A16" s="2388" t="s">
        <v>1786</v>
      </c>
      <c r="B16" s="2388"/>
      <c r="C16" s="2388"/>
      <c r="D16" s="2388"/>
      <c r="E16" s="238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10" t="s">
        <v>685</v>
      </c>
      <c r="B3" s="2411"/>
      <c r="C3" s="2411"/>
      <c r="D3" s="2412"/>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1" t="s">
        <v>1583</v>
      </c>
      <c r="D7" s="2422"/>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13" t="s">
        <v>1064</v>
      </c>
      <c r="B15" s="2414"/>
      <c r="C15" s="2414"/>
      <c r="D15" s="2415"/>
    </row>
    <row r="16" spans="1:4" s="669" customFormat="1" ht="24" customHeight="1" x14ac:dyDescent="0.2">
      <c r="A16" s="2416" t="s">
        <v>683</v>
      </c>
      <c r="B16" s="2417"/>
      <c r="C16" s="2417"/>
      <c r="D16" s="241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25" t="s">
        <v>331</v>
      </c>
      <c r="D21" s="2426"/>
    </row>
    <row r="22" spans="1:10" ht="12.75" x14ac:dyDescent="0.2">
      <c r="A22" s="1140"/>
      <c r="B22" s="1141">
        <v>2</v>
      </c>
      <c r="C22" s="2423" t="s">
        <v>1604</v>
      </c>
      <c r="D22" s="2424"/>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27" t="s">
        <v>556</v>
      </c>
      <c r="D43" s="242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19" t="s">
        <v>816</v>
      </c>
      <c r="D56" s="242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ERROR!</v>
      </c>
    </row>
    <row r="70" spans="1:4" x14ac:dyDescent="0.2">
      <c r="A70" s="1099"/>
      <c r="B70" s="1121">
        <f>B66+1</f>
        <v>9</v>
      </c>
      <c r="C70" s="2419" t="s">
        <v>1796</v>
      </c>
      <c r="D70" s="242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1001172022</v>
      </c>
    </row>
    <row r="3" spans="1:2" x14ac:dyDescent="0.2">
      <c r="A3" t="s">
        <v>1012</v>
      </c>
      <c r="B3" s="138" t="str">
        <f>COVER!A15</f>
        <v>Adams</v>
      </c>
    </row>
    <row r="4" spans="1:2" x14ac:dyDescent="0.2">
      <c r="A4" t="s">
        <v>1063</v>
      </c>
      <c r="B4" s="138" t="str">
        <f>COVER!A17</f>
        <v>Quincy SD 172</v>
      </c>
    </row>
    <row r="5" spans="1:2" x14ac:dyDescent="0.2">
      <c r="A5" t="s">
        <v>727</v>
      </c>
      <c r="B5" s="138" t="str">
        <f>COVER!A38</f>
        <v>Roy Webb</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066-004993</v>
      </c>
    </row>
    <row r="16" spans="1:2" x14ac:dyDescent="0.2">
      <c r="A16" t="s">
        <v>441</v>
      </c>
      <c r="B16" s="138" t="str">
        <f>COVER!T13</f>
        <v>Zumbahlen, Eyth, Surratt, Foote &amp; Flynn, Ltd.</v>
      </c>
    </row>
    <row r="17" spans="1:2" x14ac:dyDescent="0.2">
      <c r="A17" t="s">
        <v>938</v>
      </c>
      <c r="B17" s="138" t="str">
        <f>COVER!T15</f>
        <v>Valerie L. Flynn</v>
      </c>
    </row>
    <row r="18" spans="1:2" x14ac:dyDescent="0.2">
      <c r="A18" t="s">
        <v>1211</v>
      </c>
      <c r="B18" s="138" t="str">
        <f>COVER!T17</f>
        <v>1395 Lincoln Ave.</v>
      </c>
    </row>
    <row r="19" spans="1:2" x14ac:dyDescent="0.2">
      <c r="A19" t="s">
        <v>940</v>
      </c>
      <c r="B19" s="138" t="str">
        <f>COVER!T25</f>
        <v>vflynn@zescpa.com</v>
      </c>
    </row>
    <row r="20" spans="1:2" x14ac:dyDescent="0.2">
      <c r="A20" t="s">
        <v>941</v>
      </c>
      <c r="B20" s="138" t="str">
        <f>COVER!T19</f>
        <v>Jacksonville</v>
      </c>
    </row>
    <row r="21" spans="1:2" x14ac:dyDescent="0.2">
      <c r="A21" t="s">
        <v>499</v>
      </c>
      <c r="B21" s="138" t="str">
        <f>COVER!X19</f>
        <v>IL</v>
      </c>
    </row>
    <row r="22" spans="1:2" x14ac:dyDescent="0.2">
      <c r="A22" t="s">
        <v>942</v>
      </c>
      <c r="B22" s="138">
        <f>COVER!Z19</f>
        <v>62650</v>
      </c>
    </row>
    <row r="23" spans="1:2" x14ac:dyDescent="0.2">
      <c r="A23" t="s">
        <v>1213</v>
      </c>
      <c r="B23" s="138" t="str">
        <f>COVER!T21</f>
        <v>217-245-5121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3391420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3258215</v>
      </c>
      <c r="D92" s="2" t="str">
        <f t="shared" si="0"/>
        <v>Error?</v>
      </c>
    </row>
    <row r="93" spans="1:4" x14ac:dyDescent="0.2">
      <c r="A93" s="5">
        <v>32</v>
      </c>
      <c r="B93" s="138">
        <f>'Assets-Liab 5-6'!C41</f>
        <v>3391420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493309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493309</v>
      </c>
      <c r="D123" s="2" t="str">
        <f t="shared" si="0"/>
        <v>Error?</v>
      </c>
    </row>
    <row r="124" spans="1:4" x14ac:dyDescent="0.2">
      <c r="A124" s="5">
        <v>63</v>
      </c>
      <c r="B124" s="138">
        <f>'Assets-Liab 5-6'!D41</f>
        <v>493309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1123849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1123849</v>
      </c>
      <c r="D140" s="2" t="str">
        <f t="shared" si="1"/>
        <v>Error?</v>
      </c>
    </row>
    <row r="141" spans="1:4" x14ac:dyDescent="0.2">
      <c r="A141" s="5">
        <v>80</v>
      </c>
      <c r="B141" s="138">
        <f>'Assets-Liab 5-6'!E41</f>
        <v>1123849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408180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v>
      </c>
      <c r="C169" s="2" t="s">
        <v>593</v>
      </c>
      <c r="D169" s="2" t="str">
        <f t="shared" si="1"/>
        <v>Error?</v>
      </c>
    </row>
    <row r="170" spans="1:4" x14ac:dyDescent="0.2">
      <c r="A170" s="5">
        <v>109</v>
      </c>
      <c r="B170" s="138">
        <f>'Assets-Liab 5-6'!F39</f>
        <v>408174</v>
      </c>
      <c r="D170" s="2" t="str">
        <f t="shared" si="1"/>
        <v>Error?</v>
      </c>
    </row>
    <row r="171" spans="1:4" x14ac:dyDescent="0.2">
      <c r="A171" s="5">
        <v>110</v>
      </c>
      <c r="B171" s="138">
        <f>'Assets-Liab 5-6'!F41</f>
        <v>408180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1381350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3964287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3217046</v>
      </c>
      <c r="D189" s="2" t="str">
        <f t="shared" si="1"/>
        <v>Error?</v>
      </c>
    </row>
    <row r="190" spans="1:4" x14ac:dyDescent="0.2">
      <c r="A190" s="5">
        <v>129</v>
      </c>
      <c r="B190" s="138">
        <f>'Assets-Liab 5-6'!G41</f>
        <v>3964287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26974603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26974603</v>
      </c>
      <c r="D212" s="2" t="str">
        <f t="shared" si="2"/>
        <v>Error?</v>
      </c>
    </row>
    <row r="213" spans="1:4" x14ac:dyDescent="0.2">
      <c r="A213" s="12">
        <v>152</v>
      </c>
      <c r="B213" s="138">
        <f>'Assets-Liab 5-6'!H41</f>
        <v>26974603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3237685</v>
      </c>
      <c r="D273" s="2" t="str">
        <f t="shared" si="3"/>
        <v>Error?</v>
      </c>
    </row>
    <row r="274" spans="1:4" x14ac:dyDescent="0.2">
      <c r="A274" s="5">
        <v>213</v>
      </c>
      <c r="B274" s="138">
        <f>'Assets-Liab 5-6'!M17</f>
        <v>81924158</v>
      </c>
      <c r="D274" s="2" t="str">
        <f t="shared" si="3"/>
        <v>Error?</v>
      </c>
    </row>
    <row r="275" spans="1:4" x14ac:dyDescent="0.2">
      <c r="A275" s="5">
        <v>214</v>
      </c>
      <c r="B275" s="138">
        <f>'Assets-Liab 5-6'!M18</f>
        <v>6487151</v>
      </c>
      <c r="D275" s="2" t="str">
        <f t="shared" si="3"/>
        <v>Error?</v>
      </c>
    </row>
    <row r="276" spans="1:4" x14ac:dyDescent="0.2">
      <c r="A276" s="5">
        <v>215</v>
      </c>
      <c r="B276" s="138">
        <f>'Assets-Liab 5-6'!M19</f>
        <v>9005426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132037027</v>
      </c>
      <c r="C279" s="2" t="s">
        <v>593</v>
      </c>
      <c r="D279" s="2" t="str">
        <f t="shared" si="3"/>
        <v>Error?</v>
      </c>
    </row>
    <row r="280" spans="1:4" x14ac:dyDescent="0.2">
      <c r="A280" s="5">
        <v>219</v>
      </c>
      <c r="B280" s="138">
        <f>'Assets-Liab 5-6'!M40</f>
        <v>132037027</v>
      </c>
      <c r="D280" s="2" t="str">
        <f t="shared" si="3"/>
        <v>Error?</v>
      </c>
    </row>
    <row r="281" spans="1:4" x14ac:dyDescent="0.2">
      <c r="A281" s="5">
        <v>220</v>
      </c>
      <c r="B281" s="138">
        <f>'Assets-Liab 5-6'!M41</f>
        <v>132037027</v>
      </c>
      <c r="C281" s="2" t="s">
        <v>593</v>
      </c>
      <c r="D281" s="2" t="str">
        <f t="shared" si="3"/>
        <v>Error?</v>
      </c>
    </row>
    <row r="282" spans="1:4" x14ac:dyDescent="0.2">
      <c r="A282" s="5">
        <v>221</v>
      </c>
      <c r="B282" s="138">
        <f>'Assets-Liab 5-6'!N21</f>
        <v>1123849</v>
      </c>
      <c r="D282" s="2" t="str">
        <f t="shared" si="3"/>
        <v>Error?</v>
      </c>
    </row>
    <row r="283" spans="1:4" x14ac:dyDescent="0.2">
      <c r="A283" s="5">
        <v>222</v>
      </c>
      <c r="B283" s="138">
        <f>'Assets-Liab 5-6'!N22</f>
        <v>92291043</v>
      </c>
      <c r="D283" s="2" t="str">
        <f t="shared" si="3"/>
        <v>Error?</v>
      </c>
    </row>
    <row r="284" spans="1:4" x14ac:dyDescent="0.2">
      <c r="A284" s="5">
        <v>223</v>
      </c>
      <c r="B284" s="138">
        <f>'Assets-Liab 5-6'!N23</f>
        <v>93414892</v>
      </c>
      <c r="C284" s="2" t="s">
        <v>593</v>
      </c>
      <c r="D284" s="2" t="str">
        <f t="shared" si="3"/>
        <v>Error?</v>
      </c>
    </row>
    <row r="285" spans="1:4" x14ac:dyDescent="0.2">
      <c r="A285" s="5">
        <v>224</v>
      </c>
      <c r="B285" s="138">
        <f>'Assets-Liab 5-6'!N36</f>
        <v>93414892</v>
      </c>
      <c r="D285" s="2" t="str">
        <f t="shared" si="3"/>
        <v>Error?</v>
      </c>
    </row>
    <row r="286" spans="1:4" x14ac:dyDescent="0.2">
      <c r="A286" s="10">
        <v>225</v>
      </c>
      <c r="D286" s="2" t="str">
        <f t="shared" si="3"/>
        <v>OK</v>
      </c>
    </row>
    <row r="287" spans="1:4" x14ac:dyDescent="0.2">
      <c r="A287" s="5">
        <v>226</v>
      </c>
      <c r="B287" s="138">
        <f>'Assets-Liab 5-6'!N37</f>
        <v>93414892</v>
      </c>
      <c r="C287" s="2" t="s">
        <v>593</v>
      </c>
      <c r="D287" s="2" t="str">
        <f t="shared" si="3"/>
        <v>Error?</v>
      </c>
    </row>
    <row r="288" spans="1:4" x14ac:dyDescent="0.2">
      <c r="A288" s="5">
        <v>227</v>
      </c>
      <c r="B288" s="138">
        <f>'Assets-Liab 5-6'!N41</f>
        <v>93414892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924778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18185000</v>
      </c>
      <c r="D618" s="2" t="str">
        <f t="shared" si="8"/>
        <v>Error?</v>
      </c>
    </row>
    <row r="619" spans="1:4" x14ac:dyDescent="0.2">
      <c r="A619" s="5">
        <v>558</v>
      </c>
      <c r="B619" s="138">
        <f>'Acct Summary 7-8'!H34</f>
        <v>69666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15651410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24231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3360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385422</v>
      </c>
      <c r="D718" s="2" t="str">
        <f t="shared" si="10"/>
        <v>Error?</v>
      </c>
    </row>
    <row r="719" spans="1:4" x14ac:dyDescent="0.2">
      <c r="A719" s="5">
        <v>658</v>
      </c>
      <c r="B719" s="138">
        <f>'Expenditures 15-22'!C15</f>
        <v>95229</v>
      </c>
      <c r="D719" s="2" t="str">
        <f t="shared" si="10"/>
        <v>Error?</v>
      </c>
    </row>
    <row r="720" spans="1:4" x14ac:dyDescent="0.2">
      <c r="A720" s="5">
        <v>659</v>
      </c>
      <c r="B720" s="138">
        <f>'Expenditures 15-22'!C33</f>
        <v>25319067</v>
      </c>
      <c r="C720" s="2" t="s">
        <v>593</v>
      </c>
      <c r="D720" s="2" t="str">
        <f t="shared" si="10"/>
        <v>Error?</v>
      </c>
    </row>
    <row r="721" spans="1:4" x14ac:dyDescent="0.2">
      <c r="A721" s="5">
        <v>660</v>
      </c>
      <c r="B721" s="138">
        <f>'Expenditures 15-22'!C36</f>
        <v>910902</v>
      </c>
      <c r="D721" s="2" t="str">
        <f t="shared" si="10"/>
        <v>Error?</v>
      </c>
    </row>
    <row r="722" spans="1:4" x14ac:dyDescent="0.2">
      <c r="A722" s="5">
        <v>661</v>
      </c>
      <c r="B722" s="138">
        <f>'Expenditures 15-22'!C37</f>
        <v>666410</v>
      </c>
      <c r="D722" s="2" t="str">
        <f t="shared" si="10"/>
        <v>Error?</v>
      </c>
    </row>
    <row r="723" spans="1:4" x14ac:dyDescent="0.2">
      <c r="A723" s="5">
        <v>662</v>
      </c>
      <c r="B723" s="138">
        <f>'Expenditures 15-22'!C38</f>
        <v>848587</v>
      </c>
      <c r="D723" s="2" t="str">
        <f t="shared" si="10"/>
        <v>Error?</v>
      </c>
    </row>
    <row r="724" spans="1:4" x14ac:dyDescent="0.2">
      <c r="A724" s="5">
        <v>663</v>
      </c>
      <c r="B724" s="138">
        <f>'Expenditures 15-22'!C39</f>
        <v>310801</v>
      </c>
      <c r="D724" s="2" t="str">
        <f t="shared" si="10"/>
        <v>Error?</v>
      </c>
    </row>
    <row r="725" spans="1:4" x14ac:dyDescent="0.2">
      <c r="A725" s="5">
        <v>664</v>
      </c>
      <c r="B725" s="138">
        <f>'Expenditures 15-22'!C40</f>
        <v>82123</v>
      </c>
      <c r="D725" s="2" t="str">
        <f t="shared" si="10"/>
        <v>Error?</v>
      </c>
    </row>
    <row r="726" spans="1:4" x14ac:dyDescent="0.2">
      <c r="A726" s="5">
        <v>665</v>
      </c>
      <c r="B726" s="138">
        <f>'Expenditures 15-22'!C41</f>
        <v>80992</v>
      </c>
      <c r="D726" s="2" t="str">
        <f t="shared" si="10"/>
        <v>Error?</v>
      </c>
    </row>
    <row r="727" spans="1:4" x14ac:dyDescent="0.2">
      <c r="A727" s="5">
        <v>666</v>
      </c>
      <c r="B727" s="138">
        <f>'Expenditures 15-22'!C42</f>
        <v>2899815</v>
      </c>
      <c r="C727" s="2" t="s">
        <v>593</v>
      </c>
      <c r="D727" s="2" t="str">
        <f t="shared" si="10"/>
        <v>Error?</v>
      </c>
    </row>
    <row r="728" spans="1:4" x14ac:dyDescent="0.2">
      <c r="A728" s="5">
        <v>667</v>
      </c>
      <c r="B728" s="138">
        <f>'Expenditures 15-22'!C44</f>
        <v>570413</v>
      </c>
      <c r="D728" s="2" t="str">
        <f t="shared" si="10"/>
        <v>Error?</v>
      </c>
    </row>
    <row r="729" spans="1:4" x14ac:dyDescent="0.2">
      <c r="A729" s="5">
        <v>668</v>
      </c>
      <c r="B729" s="138">
        <f>'Expenditures 15-22'!C45</f>
        <v>134148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704561</v>
      </c>
      <c r="C731" s="2" t="s">
        <v>593</v>
      </c>
      <c r="D731" s="2" t="str">
        <f t="shared" si="10"/>
        <v>Error?</v>
      </c>
    </row>
    <row r="732" spans="1:4" x14ac:dyDescent="0.2">
      <c r="A732" s="5">
        <v>671</v>
      </c>
      <c r="B732" s="138">
        <f>'Expenditures 15-22'!C49</f>
        <v>2619</v>
      </c>
      <c r="D732" s="2" t="str">
        <f t="shared" si="10"/>
        <v>Error?</v>
      </c>
    </row>
    <row r="733" spans="1:4" x14ac:dyDescent="0.2">
      <c r="A733" s="5">
        <v>672</v>
      </c>
      <c r="B733" s="138">
        <f>'Expenditures 15-22'!C50</f>
        <v>109762</v>
      </c>
      <c r="D733" s="2" t="str">
        <f t="shared" si="10"/>
        <v>Error?</v>
      </c>
    </row>
    <row r="734" spans="1:4" x14ac:dyDescent="0.2">
      <c r="A734" s="5">
        <v>673</v>
      </c>
      <c r="B734" s="138">
        <f>'Expenditures 15-22'!C53</f>
        <v>239192</v>
      </c>
      <c r="C734" s="2" t="s">
        <v>593</v>
      </c>
      <c r="D734" s="2" t="str">
        <f t="shared" si="10"/>
        <v>Error?</v>
      </c>
    </row>
    <row r="735" spans="1:4" x14ac:dyDescent="0.2">
      <c r="A735" s="5">
        <v>674</v>
      </c>
      <c r="B735" s="138">
        <f>'Expenditures 15-22'!C55</f>
        <v>2373217</v>
      </c>
      <c r="D735" s="2" t="str">
        <f t="shared" si="10"/>
        <v>Error?</v>
      </c>
    </row>
    <row r="736" spans="1:4" x14ac:dyDescent="0.2">
      <c r="A736" s="5">
        <v>675</v>
      </c>
      <c r="B736" s="138">
        <f>'Expenditures 15-22'!C56</f>
        <v>5750</v>
      </c>
      <c r="D736" s="2" t="str">
        <f t="shared" si="10"/>
        <v>Error?</v>
      </c>
    </row>
    <row r="737" spans="1:4" x14ac:dyDescent="0.2">
      <c r="A737" s="5">
        <v>676</v>
      </c>
      <c r="B737" s="138">
        <f>'Expenditures 15-22'!C57</f>
        <v>2378967</v>
      </c>
      <c r="C737" s="2" t="s">
        <v>593</v>
      </c>
      <c r="D737" s="2" t="str">
        <f t="shared" si="10"/>
        <v>Error?</v>
      </c>
    </row>
    <row r="738" spans="1:4" x14ac:dyDescent="0.2">
      <c r="A738" s="5">
        <v>677</v>
      </c>
      <c r="B738" s="138">
        <f>'Expenditures 15-22'!C59</f>
        <v>72930</v>
      </c>
      <c r="D738" s="2" t="str">
        <f t="shared" si="10"/>
        <v>Error?</v>
      </c>
    </row>
    <row r="739" spans="1:4" x14ac:dyDescent="0.2">
      <c r="A739" s="5">
        <v>678</v>
      </c>
      <c r="B739" s="138">
        <f>'Expenditures 15-22'!C60</f>
        <v>104239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9966</v>
      </c>
      <c r="D741" s="2" t="str">
        <f t="shared" si="10"/>
        <v>Error?</v>
      </c>
    </row>
    <row r="742" spans="1:4" x14ac:dyDescent="0.2">
      <c r="A742" s="5">
        <v>681</v>
      </c>
      <c r="B742" s="138">
        <f>'Expenditures 15-22'!C63</f>
        <v>1185996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1373131</v>
      </c>
      <c r="C745" s="2" t="s">
        <v>593</v>
      </c>
      <c r="D745" s="2" t="str">
        <f t="shared" si="10"/>
        <v>Error?</v>
      </c>
    </row>
    <row r="746" spans="1:4" x14ac:dyDescent="0.2">
      <c r="A746" s="5">
        <v>685</v>
      </c>
      <c r="B746" s="138">
        <f>'Expenditures 15-22'!C67</f>
        <v>109364</v>
      </c>
      <c r="D746" s="2" t="str">
        <f t="shared" si="10"/>
        <v>Error?</v>
      </c>
    </row>
    <row r="747" spans="1:4" x14ac:dyDescent="0.2">
      <c r="A747" s="5">
        <v>686</v>
      </c>
      <c r="B747" s="138">
        <f>'Expenditures 15-22'!C68</f>
        <v>78000</v>
      </c>
      <c r="D747" s="2" t="str">
        <f t="shared" si="10"/>
        <v>Error?</v>
      </c>
    </row>
    <row r="748" spans="1:4" x14ac:dyDescent="0.2">
      <c r="A748" s="5">
        <v>687</v>
      </c>
      <c r="B748" s="138">
        <f>'Expenditures 15-22'!C69</f>
        <v>25714</v>
      </c>
      <c r="D748" s="2" t="str">
        <f t="shared" si="10"/>
        <v>Error?</v>
      </c>
    </row>
    <row r="749" spans="1:4" x14ac:dyDescent="0.2">
      <c r="A749" s="5">
        <v>688</v>
      </c>
      <c r="B749" s="138">
        <f>'Expenditures 15-22'!C70</f>
        <v>206065</v>
      </c>
      <c r="D749" s="2" t="str">
        <f t="shared" si="10"/>
        <v>Error?</v>
      </c>
    </row>
    <row r="750" spans="1:4" x14ac:dyDescent="0.2">
      <c r="A750" s="10">
        <v>689</v>
      </c>
      <c r="D750" s="2" t="str">
        <f t="shared" si="10"/>
        <v>OK</v>
      </c>
    </row>
    <row r="751" spans="1:4" x14ac:dyDescent="0.2">
      <c r="A751" s="5">
        <v>690</v>
      </c>
      <c r="B751" s="138">
        <f>'Expenditures 15-22'!C71</f>
        <v>143422</v>
      </c>
      <c r="D751" s="2" t="str">
        <f t="shared" si="10"/>
        <v>Error?</v>
      </c>
    </row>
    <row r="752" spans="1:4" x14ac:dyDescent="0.2">
      <c r="A752" s="10">
        <v>691</v>
      </c>
      <c r="D752" s="2" t="str">
        <f t="shared" si="10"/>
        <v>OK</v>
      </c>
    </row>
    <row r="753" spans="1:4" x14ac:dyDescent="0.2">
      <c r="A753" s="5">
        <v>692</v>
      </c>
      <c r="B753" s="138">
        <f>'Expenditures 15-22'!C72</f>
        <v>562565</v>
      </c>
      <c r="C753" s="2" t="s">
        <v>593</v>
      </c>
      <c r="D753" s="2" t="str">
        <f t="shared" si="10"/>
        <v>Error?</v>
      </c>
    </row>
    <row r="754" spans="1:4" x14ac:dyDescent="0.2">
      <c r="A754" s="5">
        <v>693</v>
      </c>
      <c r="B754" s="138">
        <f>'Expenditures 15-22'!C73</f>
        <v>46592</v>
      </c>
      <c r="D754" s="2" t="str">
        <f t="shared" si="10"/>
        <v>Error?</v>
      </c>
    </row>
    <row r="755" spans="1:4" x14ac:dyDescent="0.2">
      <c r="A755" s="5">
        <v>694</v>
      </c>
      <c r="B755" s="138">
        <f>'Expenditures 15-22'!C74</f>
        <v>8204823</v>
      </c>
      <c r="C755" s="2" t="s">
        <v>593</v>
      </c>
      <c r="D755" s="2" t="str">
        <f t="shared" si="10"/>
        <v>Error?</v>
      </c>
    </row>
    <row r="756" spans="1:4" x14ac:dyDescent="0.2">
      <c r="A756" s="5">
        <v>695</v>
      </c>
      <c r="B756" s="138">
        <f>'Expenditures 15-22'!C75</f>
        <v>172785</v>
      </c>
      <c r="D756" s="2" t="str">
        <f t="shared" si="10"/>
        <v>Error?</v>
      </c>
    </row>
    <row r="757" spans="1:4" x14ac:dyDescent="0.2">
      <c r="A757" s="5">
        <v>696</v>
      </c>
      <c r="B757" s="138">
        <f>'Expenditures 15-22'!C114</f>
        <v>33696675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3276831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66</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4315</v>
      </c>
      <c r="D776" s="2" t="str">
        <f t="shared" si="11"/>
        <v>Error?</v>
      </c>
    </row>
    <row r="777" spans="1:4" x14ac:dyDescent="0.2">
      <c r="A777" s="5">
        <v>716</v>
      </c>
      <c r="B777" s="138">
        <f>'Expenditures 15-22'!D15</f>
        <v>1614</v>
      </c>
      <c r="D777" s="2" t="str">
        <f t="shared" si="11"/>
        <v>Error?</v>
      </c>
    </row>
    <row r="778" spans="1:4" x14ac:dyDescent="0.2">
      <c r="A778" s="5">
        <v>717</v>
      </c>
      <c r="B778" s="138">
        <f>'Expenditures 15-22'!D33</f>
        <v>5667129</v>
      </c>
      <c r="C778" s="2" t="s">
        <v>593</v>
      </c>
      <c r="D778" s="2" t="str">
        <f t="shared" si="11"/>
        <v>Error?</v>
      </c>
    </row>
    <row r="779" spans="1:4" x14ac:dyDescent="0.2">
      <c r="A779" s="5">
        <v>718</v>
      </c>
      <c r="B779" s="138">
        <f>'Expenditures 15-22'!D36</f>
        <v>209628</v>
      </c>
      <c r="D779" s="2" t="str">
        <f t="shared" si="11"/>
        <v>Error?</v>
      </c>
    </row>
    <row r="780" spans="1:4" x14ac:dyDescent="0.2">
      <c r="A780" s="5">
        <v>719</v>
      </c>
      <c r="B780" s="138">
        <f>'Expenditures 15-22'!D37</f>
        <v>131541</v>
      </c>
      <c r="D780" s="2" t="str">
        <f t="shared" si="11"/>
        <v>Error?</v>
      </c>
    </row>
    <row r="781" spans="1:4" x14ac:dyDescent="0.2">
      <c r="A781" s="5">
        <v>720</v>
      </c>
      <c r="B781" s="138">
        <f>'Expenditures 15-22'!D38</f>
        <v>210595</v>
      </c>
      <c r="D781" s="2" t="str">
        <f t="shared" si="11"/>
        <v>Error?</v>
      </c>
    </row>
    <row r="782" spans="1:4" x14ac:dyDescent="0.2">
      <c r="A782" s="5">
        <v>721</v>
      </c>
      <c r="B782" s="138">
        <f>'Expenditures 15-22'!D39</f>
        <v>85580</v>
      </c>
      <c r="D782" s="2" t="str">
        <f t="shared" si="11"/>
        <v>Error?</v>
      </c>
    </row>
    <row r="783" spans="1:4" x14ac:dyDescent="0.2">
      <c r="A783" s="5">
        <v>722</v>
      </c>
      <c r="B783" s="138">
        <f>'Expenditures 15-22'!D40</f>
        <v>15994</v>
      </c>
      <c r="D783" s="2" t="str">
        <f t="shared" si="11"/>
        <v>Error?</v>
      </c>
    </row>
    <row r="784" spans="1:4" x14ac:dyDescent="0.2">
      <c r="A784" s="5">
        <v>723</v>
      </c>
      <c r="B784" s="138">
        <f>'Expenditures 15-22'!D41</f>
        <v>9</v>
      </c>
      <c r="D784" s="2" t="str">
        <f t="shared" si="11"/>
        <v>Error?</v>
      </c>
    </row>
    <row r="785" spans="1:4" x14ac:dyDescent="0.2">
      <c r="A785" s="5">
        <v>724</v>
      </c>
      <c r="B785" s="138">
        <f>'Expenditures 15-22'!D42</f>
        <v>653347</v>
      </c>
      <c r="C785" s="2" t="s">
        <v>593</v>
      </c>
      <c r="D785" s="2" t="str">
        <f t="shared" si="11"/>
        <v>Error?</v>
      </c>
    </row>
    <row r="786" spans="1:4" x14ac:dyDescent="0.2">
      <c r="A786" s="5">
        <v>725</v>
      </c>
      <c r="B786" s="138">
        <f>'Expenditures 15-22'!D44</f>
        <v>122764</v>
      </c>
      <c r="D786" s="2" t="str">
        <f t="shared" si="11"/>
        <v>Error?</v>
      </c>
    </row>
    <row r="787" spans="1:4" x14ac:dyDescent="0.2">
      <c r="A787" s="5">
        <v>726</v>
      </c>
      <c r="B787" s="138">
        <f>'Expenditures 15-22'!D45</f>
        <v>34590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157354</v>
      </c>
      <c r="C789" s="2" t="s">
        <v>593</v>
      </c>
      <c r="D789" s="2" t="str">
        <f t="shared" si="11"/>
        <v>Error?</v>
      </c>
    </row>
    <row r="790" spans="1:4" x14ac:dyDescent="0.2">
      <c r="A790" s="5">
        <v>729</v>
      </c>
      <c r="B790" s="138">
        <f>'Expenditures 15-22'!D49</f>
        <v>16975</v>
      </c>
      <c r="D790" s="2" t="str">
        <f t="shared" si="11"/>
        <v>Error?</v>
      </c>
    </row>
    <row r="791" spans="1:4" x14ac:dyDescent="0.2">
      <c r="A791" s="5">
        <v>730</v>
      </c>
      <c r="B791" s="138">
        <f>'Expenditures 15-22'!D50</f>
        <v>9334</v>
      </c>
      <c r="D791" s="2" t="str">
        <f t="shared" si="11"/>
        <v>Error?</v>
      </c>
    </row>
    <row r="792" spans="1:4" x14ac:dyDescent="0.2">
      <c r="A792" s="5">
        <v>731</v>
      </c>
      <c r="B792" s="138">
        <f>'Expenditures 15-22'!D53</f>
        <v>36399</v>
      </c>
      <c r="C792" s="2" t="s">
        <v>593</v>
      </c>
      <c r="D792" s="2" t="str">
        <f t="shared" si="11"/>
        <v>Error?</v>
      </c>
    </row>
    <row r="793" spans="1:4" x14ac:dyDescent="0.2">
      <c r="A793" s="5">
        <v>732</v>
      </c>
      <c r="B793" s="138">
        <f>'Expenditures 15-22'!D55</f>
        <v>360504</v>
      </c>
      <c r="D793" s="2" t="str">
        <f t="shared" si="11"/>
        <v>Error?</v>
      </c>
    </row>
    <row r="794" spans="1:4" x14ac:dyDescent="0.2">
      <c r="A794" s="5">
        <v>733</v>
      </c>
      <c r="B794" s="138">
        <f>'Expenditures 15-22'!D56</f>
        <v>693</v>
      </c>
      <c r="D794" s="2" t="str">
        <f t="shared" si="11"/>
        <v>Error?</v>
      </c>
    </row>
    <row r="795" spans="1:4" x14ac:dyDescent="0.2">
      <c r="A795" s="5">
        <v>734</v>
      </c>
      <c r="B795" s="138">
        <f>'Expenditures 15-22'!D57</f>
        <v>361197</v>
      </c>
      <c r="C795" s="2" t="s">
        <v>593</v>
      </c>
      <c r="D795" s="2" t="str">
        <f t="shared" si="11"/>
        <v>Error?</v>
      </c>
    </row>
    <row r="796" spans="1:4" x14ac:dyDescent="0.2">
      <c r="A796" s="5">
        <v>735</v>
      </c>
      <c r="B796" s="138">
        <f>'Expenditures 15-22'!D59</f>
        <v>8114</v>
      </c>
      <c r="D796" s="2" t="str">
        <f t="shared" si="11"/>
        <v>Error?</v>
      </c>
    </row>
    <row r="797" spans="1:4" x14ac:dyDescent="0.2">
      <c r="A797" s="5">
        <v>736</v>
      </c>
      <c r="B797" s="138">
        <f>'Expenditures 15-22'!D60</f>
        <v>25241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798</v>
      </c>
      <c r="D799" s="2" t="str">
        <f t="shared" si="11"/>
        <v>Error?</v>
      </c>
    </row>
    <row r="800" spans="1:4" x14ac:dyDescent="0.2">
      <c r="A800" s="5">
        <v>739</v>
      </c>
      <c r="B800" s="138">
        <f>'Expenditures 15-22'!D63</f>
        <v>355254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389407</v>
      </c>
      <c r="C803" s="2" t="s">
        <v>593</v>
      </c>
      <c r="D803" s="2" t="str">
        <f t="shared" si="11"/>
        <v>Error?</v>
      </c>
    </row>
    <row r="804" spans="1:4" x14ac:dyDescent="0.2">
      <c r="A804" s="5">
        <v>743</v>
      </c>
      <c r="B804" s="138">
        <f>'Expenditures 15-22'!D67</f>
        <v>19898</v>
      </c>
      <c r="D804" s="2" t="str">
        <f t="shared" si="11"/>
        <v>Error?</v>
      </c>
    </row>
    <row r="805" spans="1:4" x14ac:dyDescent="0.2">
      <c r="A805" s="5">
        <v>744</v>
      </c>
      <c r="B805" s="138">
        <f>'Expenditures 15-22'!D68</f>
        <v>16240</v>
      </c>
      <c r="D805" s="2" t="str">
        <f t="shared" si="11"/>
        <v>Error?</v>
      </c>
    </row>
    <row r="806" spans="1:4" x14ac:dyDescent="0.2">
      <c r="A806" s="5">
        <v>745</v>
      </c>
      <c r="B806" s="138">
        <f>'Expenditures 15-22'!D69</f>
        <v>14817</v>
      </c>
      <c r="D806" s="2" t="str">
        <f t="shared" si="11"/>
        <v>Error?</v>
      </c>
    </row>
    <row r="807" spans="1:4" x14ac:dyDescent="0.2">
      <c r="A807" s="5">
        <v>746</v>
      </c>
      <c r="B807" s="138">
        <f>'Expenditures 15-22'!D70</f>
        <v>31401</v>
      </c>
      <c r="D807" s="2" t="str">
        <f t="shared" si="11"/>
        <v>Error?</v>
      </c>
    </row>
    <row r="808" spans="1:4" x14ac:dyDescent="0.2">
      <c r="A808" s="10">
        <v>747</v>
      </c>
      <c r="D808" s="2" t="str">
        <f t="shared" si="11"/>
        <v>OK</v>
      </c>
    </row>
    <row r="809" spans="1:4" x14ac:dyDescent="0.2">
      <c r="A809" s="5">
        <v>748</v>
      </c>
      <c r="B809" s="138">
        <f>'Expenditures 15-22'!D71</f>
        <v>30808</v>
      </c>
      <c r="D809" s="2" t="str">
        <f t="shared" si="11"/>
        <v>Error?</v>
      </c>
    </row>
    <row r="810" spans="1:4" x14ac:dyDescent="0.2">
      <c r="A810" s="10">
        <v>749</v>
      </c>
      <c r="D810" s="2" t="str">
        <f t="shared" si="11"/>
        <v>OK</v>
      </c>
    </row>
    <row r="811" spans="1:4" x14ac:dyDescent="0.2">
      <c r="A811" s="5">
        <v>750</v>
      </c>
      <c r="B811" s="138">
        <f>'Expenditures 15-22'!D72</f>
        <v>113164</v>
      </c>
      <c r="C811" s="2" t="s">
        <v>593</v>
      </c>
      <c r="D811" s="2" t="str">
        <f t="shared" si="11"/>
        <v>Error?</v>
      </c>
    </row>
    <row r="812" spans="1:4" x14ac:dyDescent="0.2">
      <c r="A812" s="5">
        <v>751</v>
      </c>
      <c r="B812" s="138">
        <f>'Expenditures 15-22'!D73</f>
        <v>17376</v>
      </c>
      <c r="D812" s="2" t="str">
        <f t="shared" si="11"/>
        <v>Error?</v>
      </c>
    </row>
    <row r="813" spans="1:4" x14ac:dyDescent="0.2">
      <c r="A813" s="5">
        <v>752</v>
      </c>
      <c r="B813" s="138">
        <f>'Expenditures 15-22'!D74</f>
        <v>1728244</v>
      </c>
      <c r="C813" s="2" t="s">
        <v>593</v>
      </c>
      <c r="D813" s="2" t="str">
        <f t="shared" si="11"/>
        <v>Error?</v>
      </c>
    </row>
    <row r="814" spans="1:4" x14ac:dyDescent="0.2">
      <c r="A814" s="5">
        <v>753</v>
      </c>
      <c r="B814" s="138">
        <f>'Expenditures 15-22'!D75</f>
        <v>9522</v>
      </c>
      <c r="D814" s="2" t="str">
        <f t="shared" si="11"/>
        <v>Error?</v>
      </c>
    </row>
    <row r="815" spans="1:4" x14ac:dyDescent="0.2">
      <c r="A815" s="5">
        <v>754</v>
      </c>
      <c r="B815" s="138">
        <f>'Expenditures 15-22'!D114</f>
        <v>7404895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138862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274908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644831</v>
      </c>
      <c r="C836" s="2" t="s">
        <v>593</v>
      </c>
      <c r="D836" s="2" t="str">
        <f t="shared" si="12"/>
        <v>Error?</v>
      </c>
    </row>
    <row r="837" spans="1:4" x14ac:dyDescent="0.2">
      <c r="A837" s="5">
        <v>776</v>
      </c>
      <c r="B837" s="138">
        <f>'Expenditures 15-22'!E36</f>
        <v>6745</v>
      </c>
      <c r="D837" s="2" t="str">
        <f t="shared" si="12"/>
        <v>Error?</v>
      </c>
    </row>
    <row r="838" spans="1:4" x14ac:dyDescent="0.2">
      <c r="A838" s="5">
        <v>777</v>
      </c>
      <c r="B838" s="138">
        <f>'Expenditures 15-22'!E37</f>
        <v>27275</v>
      </c>
      <c r="D838" s="2" t="str">
        <f t="shared" si="12"/>
        <v>Error?</v>
      </c>
    </row>
    <row r="839" spans="1:4" x14ac:dyDescent="0.2">
      <c r="A839" s="5">
        <v>778</v>
      </c>
      <c r="B839" s="138">
        <f>'Expenditures 15-22'!E38</f>
        <v>20335</v>
      </c>
      <c r="D839" s="2" t="str">
        <f t="shared" si="12"/>
        <v>Error?</v>
      </c>
    </row>
    <row r="840" spans="1:4" x14ac:dyDescent="0.2">
      <c r="A840" s="5">
        <v>779</v>
      </c>
      <c r="B840" s="138">
        <f>'Expenditures 15-22'!E39</f>
        <v>5915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720</v>
      </c>
      <c r="D842" s="2" t="str">
        <f t="shared" si="12"/>
        <v>Error?</v>
      </c>
    </row>
    <row r="843" spans="1:4" x14ac:dyDescent="0.2">
      <c r="A843" s="5">
        <v>782</v>
      </c>
      <c r="B843" s="138">
        <f>'Expenditures 15-22'!E42</f>
        <v>60990</v>
      </c>
      <c r="C843" s="2" t="s">
        <v>593</v>
      </c>
      <c r="D843" s="2" t="str">
        <f t="shared" si="12"/>
        <v>Error?</v>
      </c>
    </row>
    <row r="844" spans="1:4" x14ac:dyDescent="0.2">
      <c r="A844" s="5">
        <v>783</v>
      </c>
      <c r="B844" s="138">
        <f>'Expenditures 15-22'!E44</f>
        <v>503932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66858</v>
      </c>
      <c r="D846" s="2" t="str">
        <f t="shared" si="12"/>
        <v>Error?</v>
      </c>
    </row>
    <row r="847" spans="1:4" x14ac:dyDescent="0.2">
      <c r="A847" s="5">
        <v>786</v>
      </c>
      <c r="B847" s="138">
        <f>'Expenditures 15-22'!E47</f>
        <v>570790</v>
      </c>
      <c r="C847" s="2" t="s">
        <v>593</v>
      </c>
      <c r="D847" s="2" t="str">
        <f t="shared" si="12"/>
        <v>Error?</v>
      </c>
    </row>
    <row r="848" spans="1:4" x14ac:dyDescent="0.2">
      <c r="A848" s="5">
        <v>787</v>
      </c>
      <c r="B848" s="138">
        <f>'Expenditures 15-22'!E49</f>
        <v>89950</v>
      </c>
      <c r="D848" s="2" t="str">
        <f t="shared" si="12"/>
        <v>Error?</v>
      </c>
    </row>
    <row r="849" spans="1:4" x14ac:dyDescent="0.2">
      <c r="A849" s="5">
        <v>788</v>
      </c>
      <c r="B849" s="138">
        <f>'Expenditures 15-22'!E50</f>
        <v>558</v>
      </c>
      <c r="D849" s="2" t="str">
        <f t="shared" si="12"/>
        <v>Error?</v>
      </c>
    </row>
    <row r="850" spans="1:4" x14ac:dyDescent="0.2">
      <c r="A850" s="5">
        <v>789</v>
      </c>
      <c r="B850" s="138">
        <f>'Expenditures 15-22'!E53</f>
        <v>90508</v>
      </c>
      <c r="C850" s="2" t="s">
        <v>593</v>
      </c>
      <c r="D850" s="2" t="str">
        <f t="shared" si="12"/>
        <v>Error?</v>
      </c>
    </row>
    <row r="851" spans="1:4" x14ac:dyDescent="0.2">
      <c r="A851" s="5">
        <v>790</v>
      </c>
      <c r="B851" s="138">
        <f>'Expenditures 15-22'!E55</f>
        <v>51481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51481</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44685</v>
      </c>
      <c r="D855" s="2" t="str">
        <f t="shared" si="12"/>
        <v>Error?</v>
      </c>
    </row>
    <row r="856" spans="1:4" x14ac:dyDescent="0.2">
      <c r="A856" s="5">
        <v>795</v>
      </c>
      <c r="B856" s="138">
        <f>'Expenditures 15-22'!E61</f>
        <v>15687</v>
      </c>
      <c r="D856" s="2" t="str">
        <f t="shared" si="12"/>
        <v>Error?</v>
      </c>
    </row>
    <row r="857" spans="1:4" x14ac:dyDescent="0.2">
      <c r="A857" s="5">
        <v>796</v>
      </c>
      <c r="B857" s="138">
        <f>'Expenditures 15-22'!E62</f>
        <v>48672</v>
      </c>
      <c r="D857" s="2" t="str">
        <f t="shared" si="12"/>
        <v>Error?</v>
      </c>
    </row>
    <row r="858" spans="1:4" x14ac:dyDescent="0.2">
      <c r="A858" s="5">
        <v>797</v>
      </c>
      <c r="B858" s="138">
        <f>'Expenditures 15-22'!E63</f>
        <v>6434</v>
      </c>
      <c r="D858" s="2" t="str">
        <f t="shared" si="12"/>
        <v>Error?</v>
      </c>
    </row>
    <row r="859" spans="1:4" x14ac:dyDescent="0.2">
      <c r="A859" s="5">
        <v>798</v>
      </c>
      <c r="B859" s="138">
        <f>'Expenditures 15-22'!E64</f>
        <v>54716</v>
      </c>
      <c r="D859" s="2" t="str">
        <f t="shared" si="12"/>
        <v>Error?</v>
      </c>
    </row>
    <row r="860" spans="1:4" x14ac:dyDescent="0.2">
      <c r="A860" s="10">
        <v>799</v>
      </c>
      <c r="D860" s="2" t="str">
        <f t="shared" si="12"/>
        <v>OK</v>
      </c>
    </row>
    <row r="861" spans="1:4" x14ac:dyDescent="0.2">
      <c r="A861" s="5">
        <v>800</v>
      </c>
      <c r="B861" s="138">
        <f>'Expenditures 15-22'!E65</f>
        <v>170194</v>
      </c>
      <c r="C861" s="2" t="s">
        <v>593</v>
      </c>
      <c r="D861" s="2" t="str">
        <f t="shared" si="12"/>
        <v>Error?</v>
      </c>
    </row>
    <row r="862" spans="1:4" x14ac:dyDescent="0.2">
      <c r="A862" s="5">
        <v>801</v>
      </c>
      <c r="B862" s="138">
        <f>'Expenditures 15-22'!E67</f>
        <v>24209</v>
      </c>
      <c r="D862" s="2" t="str">
        <f t="shared" si="12"/>
        <v>Error?</v>
      </c>
    </row>
    <row r="863" spans="1:4" x14ac:dyDescent="0.2">
      <c r="A863" s="5">
        <v>802</v>
      </c>
      <c r="B863" s="138">
        <f>'Expenditures 15-22'!E68</f>
        <v>16437</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15858</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56504</v>
      </c>
      <c r="C869" s="2" t="s">
        <v>593</v>
      </c>
      <c r="D869" s="2" t="str">
        <f t="shared" si="12"/>
        <v>Error?</v>
      </c>
    </row>
    <row r="870" spans="1:4" x14ac:dyDescent="0.2">
      <c r="A870" s="5">
        <v>809</v>
      </c>
      <c r="B870" s="138">
        <f>'Expenditures 15-22'!E73</f>
        <v>130</v>
      </c>
      <c r="D870" s="2" t="str">
        <f t="shared" si="12"/>
        <v>Error?</v>
      </c>
    </row>
    <row r="871" spans="1:4" x14ac:dyDescent="0.2">
      <c r="A871" s="5">
        <v>810</v>
      </c>
      <c r="B871" s="138">
        <f>'Expenditures 15-22'!E74</f>
        <v>1000597</v>
      </c>
      <c r="C871" s="2" t="s">
        <v>593</v>
      </c>
      <c r="D871" s="2" t="str">
        <f t="shared" si="12"/>
        <v>Error?</v>
      </c>
    </row>
    <row r="872" spans="1:4" x14ac:dyDescent="0.2">
      <c r="A872" s="5">
        <v>811</v>
      </c>
      <c r="B872" s="138">
        <f>'Expenditures 15-22'!E75</f>
        <v>10031</v>
      </c>
      <c r="D872" s="2" t="str">
        <f t="shared" si="12"/>
        <v>Error?</v>
      </c>
    </row>
    <row r="873" spans="1:4" x14ac:dyDescent="0.2">
      <c r="A873" s="5">
        <v>812</v>
      </c>
      <c r="B873" s="138">
        <f>'Expenditures 15-22'!E114</f>
        <v>1655459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466833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319452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1021897</v>
      </c>
      <c r="C894" s="2" t="s">
        <v>593</v>
      </c>
      <c r="D894" s="2" t="str">
        <f t="shared" si="12"/>
        <v>Error?</v>
      </c>
    </row>
    <row r="895" spans="1:4" x14ac:dyDescent="0.2">
      <c r="A895" s="5">
        <v>834</v>
      </c>
      <c r="B895" s="138">
        <f>'Expenditures 15-22'!F36</f>
        <v>3048</v>
      </c>
      <c r="D895" s="2" t="str">
        <f t="shared" ref="D895:D958" si="13">IF(ISBLANK(B895),"OK",IF(A895-B895=0,"OK","Error?"))</f>
        <v>Error?</v>
      </c>
    </row>
    <row r="896" spans="1:4" x14ac:dyDescent="0.2">
      <c r="A896" s="5">
        <v>835</v>
      </c>
      <c r="B896" s="138">
        <f>'Expenditures 15-22'!F37</f>
        <v>404</v>
      </c>
      <c r="D896" s="2" t="str">
        <f t="shared" si="13"/>
        <v>Error?</v>
      </c>
    </row>
    <row r="897" spans="1:4" x14ac:dyDescent="0.2">
      <c r="A897" s="5">
        <v>836</v>
      </c>
      <c r="B897" s="138">
        <f>'Expenditures 15-22'!F38</f>
        <v>8068</v>
      </c>
      <c r="D897" s="2" t="str">
        <f t="shared" si="13"/>
        <v>Error?</v>
      </c>
    </row>
    <row r="898" spans="1:4" x14ac:dyDescent="0.2">
      <c r="A898" s="5">
        <v>837</v>
      </c>
      <c r="B898" s="138">
        <f>'Expenditures 15-22'!F39</f>
        <v>3486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10430</v>
      </c>
      <c r="D900" s="2" t="str">
        <f t="shared" si="13"/>
        <v>Error?</v>
      </c>
    </row>
    <row r="901" spans="1:4" x14ac:dyDescent="0.2">
      <c r="A901" s="5">
        <v>840</v>
      </c>
      <c r="B901" s="138">
        <f>'Expenditures 15-22'!F42</f>
        <v>25436</v>
      </c>
      <c r="C901" s="2" t="s">
        <v>593</v>
      </c>
      <c r="D901" s="2" t="str">
        <f t="shared" si="13"/>
        <v>Error?</v>
      </c>
    </row>
    <row r="902" spans="1:4" x14ac:dyDescent="0.2">
      <c r="A902" s="5">
        <v>841</v>
      </c>
      <c r="B902" s="138">
        <f>'Expenditures 15-22'!F44</f>
        <v>345036</v>
      </c>
      <c r="D902" s="2" t="str">
        <f t="shared" si="13"/>
        <v>Error?</v>
      </c>
    </row>
    <row r="903" spans="1:4" x14ac:dyDescent="0.2">
      <c r="A903" s="5">
        <v>842</v>
      </c>
      <c r="B903" s="138">
        <f>'Expenditures 15-22'!F45</f>
        <v>33469</v>
      </c>
      <c r="D903" s="2" t="str">
        <f t="shared" si="13"/>
        <v>Error?</v>
      </c>
    </row>
    <row r="904" spans="1:4" x14ac:dyDescent="0.2">
      <c r="A904" s="5">
        <v>843</v>
      </c>
      <c r="B904" s="138">
        <f>'Expenditures 15-22'!F46</f>
        <v>26</v>
      </c>
      <c r="D904" s="2" t="str">
        <f t="shared" si="13"/>
        <v>Error?</v>
      </c>
    </row>
    <row r="905" spans="1:4" x14ac:dyDescent="0.2">
      <c r="A905" s="5">
        <v>844</v>
      </c>
      <c r="B905" s="138">
        <f>'Expenditures 15-22'!F47</f>
        <v>378531</v>
      </c>
      <c r="C905" s="2" t="s">
        <v>593</v>
      </c>
      <c r="D905" s="2" t="str">
        <f t="shared" si="13"/>
        <v>Error?</v>
      </c>
    </row>
    <row r="906" spans="1:4" x14ac:dyDescent="0.2">
      <c r="A906" s="5">
        <v>845</v>
      </c>
      <c r="B906" s="138">
        <f>'Expenditures 15-22'!F49</f>
        <v>8291</v>
      </c>
      <c r="D906" s="2" t="str">
        <f t="shared" si="13"/>
        <v>Error?</v>
      </c>
    </row>
    <row r="907" spans="1:4" x14ac:dyDescent="0.2">
      <c r="A907" s="5">
        <v>846</v>
      </c>
      <c r="B907" s="138">
        <f>'Expenditures 15-22'!F50</f>
        <v>809</v>
      </c>
      <c r="D907" s="2" t="str">
        <f t="shared" si="13"/>
        <v>Error?</v>
      </c>
    </row>
    <row r="908" spans="1:4" x14ac:dyDescent="0.2">
      <c r="A908" s="5">
        <v>847</v>
      </c>
      <c r="B908" s="138">
        <f>'Expenditures 15-22'!F53</f>
        <v>11443</v>
      </c>
      <c r="C908" s="2" t="s">
        <v>593</v>
      </c>
      <c r="D908" s="2" t="str">
        <f t="shared" si="13"/>
        <v>Error?</v>
      </c>
    </row>
    <row r="909" spans="1:4" x14ac:dyDescent="0.2">
      <c r="A909" s="5">
        <v>848</v>
      </c>
      <c r="B909" s="138">
        <f>'Expenditures 15-22'!F55</f>
        <v>25995</v>
      </c>
      <c r="D909" s="2" t="str">
        <f t="shared" si="13"/>
        <v>Error?</v>
      </c>
    </row>
    <row r="910" spans="1:4" x14ac:dyDescent="0.2">
      <c r="A910" s="5">
        <v>849</v>
      </c>
      <c r="B910" s="138">
        <f>'Expenditures 15-22'!F56</f>
        <v>3281</v>
      </c>
      <c r="D910" s="2" t="str">
        <f t="shared" si="13"/>
        <v>Error?</v>
      </c>
    </row>
    <row r="911" spans="1:4" x14ac:dyDescent="0.2">
      <c r="A911" s="5">
        <v>850</v>
      </c>
      <c r="B911" s="138">
        <f>'Expenditures 15-22'!F57</f>
        <v>29276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10078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19439</v>
      </c>
      <c r="D915" s="2" t="str">
        <f t="shared" si="13"/>
        <v>Error?</v>
      </c>
    </row>
    <row r="916" spans="1:4" x14ac:dyDescent="0.2">
      <c r="A916" s="5">
        <v>855</v>
      </c>
      <c r="B916" s="138">
        <f>'Expenditures 15-22'!F63</f>
        <v>1363190</v>
      </c>
      <c r="D916" s="2" t="str">
        <f t="shared" si="13"/>
        <v>Error?</v>
      </c>
    </row>
    <row r="917" spans="1:4" x14ac:dyDescent="0.2">
      <c r="A917" s="5">
        <v>856</v>
      </c>
      <c r="B917" s="138">
        <f>'Expenditures 15-22'!F64</f>
        <v>846</v>
      </c>
      <c r="D917" s="2" t="str">
        <f t="shared" si="13"/>
        <v>Error?</v>
      </c>
    </row>
    <row r="918" spans="1:4" x14ac:dyDescent="0.2">
      <c r="A918" s="10">
        <v>857</v>
      </c>
      <c r="D918" s="2" t="str">
        <f t="shared" si="13"/>
        <v>OK</v>
      </c>
    </row>
    <row r="919" spans="1:4" x14ac:dyDescent="0.2">
      <c r="A919" s="5">
        <v>858</v>
      </c>
      <c r="B919" s="138">
        <f>'Expenditures 15-22'!F65</f>
        <v>1393553</v>
      </c>
      <c r="C919" s="2" t="s">
        <v>593</v>
      </c>
      <c r="D919" s="2" t="str">
        <f t="shared" si="13"/>
        <v>Error?</v>
      </c>
    </row>
    <row r="920" spans="1:4" x14ac:dyDescent="0.2">
      <c r="A920" s="5">
        <v>859</v>
      </c>
      <c r="B920" s="138">
        <f>'Expenditures 15-22'!F67</f>
        <v>1005</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46408</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47413</v>
      </c>
      <c r="C927" s="2" t="s">
        <v>593</v>
      </c>
      <c r="D927" s="2" t="str">
        <f t="shared" si="13"/>
        <v>Error?</v>
      </c>
    </row>
    <row r="928" spans="1:4" x14ac:dyDescent="0.2">
      <c r="A928" s="5">
        <v>867</v>
      </c>
      <c r="B928" s="138">
        <f>'Expenditures 15-22'!F73</f>
        <v>714</v>
      </c>
      <c r="D928" s="2" t="str">
        <f t="shared" si="13"/>
        <v>Error?</v>
      </c>
    </row>
    <row r="929" spans="1:4" x14ac:dyDescent="0.2">
      <c r="A929" s="5">
        <v>868</v>
      </c>
      <c r="B929" s="138">
        <f>'Expenditures 15-22'!F74</f>
        <v>1886366</v>
      </c>
      <c r="C929" s="2" t="s">
        <v>593</v>
      </c>
      <c r="D929" s="2" t="str">
        <f t="shared" si="13"/>
        <v>Error?</v>
      </c>
    </row>
    <row r="930" spans="1:4" x14ac:dyDescent="0.2">
      <c r="A930" s="5">
        <v>869</v>
      </c>
      <c r="B930" s="138">
        <f>'Expenditures 15-22'!F75</f>
        <v>15475</v>
      </c>
      <c r="D930" s="2" t="str">
        <f t="shared" si="13"/>
        <v>Error?</v>
      </c>
    </row>
    <row r="931" spans="1:4" x14ac:dyDescent="0.2">
      <c r="A931" s="5">
        <v>870</v>
      </c>
      <c r="B931" s="138">
        <f>'Expenditures 15-22'!F114</f>
        <v>2923738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195546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92067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655147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35757</v>
      </c>
      <c r="D960" s="2" t="str">
        <f t="shared" si="14"/>
        <v>Error?</v>
      </c>
    </row>
    <row r="961" spans="1:4" x14ac:dyDescent="0.2">
      <c r="A961" s="5">
        <v>900</v>
      </c>
      <c r="B961" s="138">
        <f>'Expenditures 15-22'!G45</f>
        <v>2407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38164</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2207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1009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3216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41380</v>
      </c>
      <c r="C987" s="2" t="s">
        <v>593</v>
      </c>
      <c r="D987" s="2" t="str">
        <f t="shared" si="14"/>
        <v>Error?</v>
      </c>
    </row>
    <row r="988" spans="1:4" x14ac:dyDescent="0.2">
      <c r="A988" s="5">
        <v>927</v>
      </c>
      <c r="B988" s="138">
        <f>'Expenditures 15-22'!G75</f>
        <v>2856</v>
      </c>
      <c r="D988" s="2" t="str">
        <f t="shared" si="14"/>
        <v>Error?</v>
      </c>
    </row>
    <row r="989" spans="1:4" x14ac:dyDescent="0.2">
      <c r="A989" s="5">
        <v>928</v>
      </c>
      <c r="B989" s="138">
        <f>'Expenditures 15-22'!G114</f>
        <v>699383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10112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31407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2845578</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1171</v>
      </c>
      <c r="D1018" s="2" t="str">
        <f t="shared" si="14"/>
        <v>Error?</v>
      </c>
    </row>
    <row r="1019" spans="1:4" x14ac:dyDescent="0.2">
      <c r="A1019" s="5">
        <v>958</v>
      </c>
      <c r="B1019" s="138">
        <f>'Expenditures 15-22'!H45</f>
        <v>10821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11992</v>
      </c>
      <c r="C1021" s="2" t="s">
        <v>593</v>
      </c>
      <c r="D1021" s="2" t="str">
        <f t="shared" si="14"/>
        <v>Error?</v>
      </c>
    </row>
    <row r="1022" spans="1:4" x14ac:dyDescent="0.2">
      <c r="A1022" s="5">
        <v>961</v>
      </c>
      <c r="B1022" s="138">
        <f>'Expenditures 15-22'!H49</f>
        <v>12349</v>
      </c>
      <c r="D1022" s="2" t="str">
        <f t="shared" si="14"/>
        <v>Error?</v>
      </c>
    </row>
    <row r="1023" spans="1:4" x14ac:dyDescent="0.2">
      <c r="A1023" s="5">
        <v>962</v>
      </c>
      <c r="B1023" s="138">
        <f>'Expenditures 15-22'!H50</f>
        <v>7068</v>
      </c>
      <c r="D1023" s="2" t="str">
        <f t="shared" ref="D1023:D1086" si="15">IF(ISBLANK(B1023),"OK",IF(A1023-B1023=0,"OK","Error?"))</f>
        <v>Error?</v>
      </c>
    </row>
    <row r="1024" spans="1:4" x14ac:dyDescent="0.2">
      <c r="A1024" s="5">
        <v>963</v>
      </c>
      <c r="B1024" s="138">
        <f>'Expenditures 15-22'!H53</f>
        <v>19417</v>
      </c>
      <c r="C1024" s="2" t="s">
        <v>593</v>
      </c>
      <c r="D1024" s="2" t="str">
        <f t="shared" si="15"/>
        <v>Error?</v>
      </c>
    </row>
    <row r="1025" spans="1:4" x14ac:dyDescent="0.2">
      <c r="A1025" s="5">
        <v>964</v>
      </c>
      <c r="B1025" s="138">
        <f>'Expenditures 15-22'!H55</f>
        <v>279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279</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3285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728</v>
      </c>
      <c r="D1032" s="2" t="str">
        <f t="shared" si="15"/>
        <v>Error?</v>
      </c>
    </row>
    <row r="1033" spans="1:4" x14ac:dyDescent="0.2">
      <c r="A1033" s="5">
        <v>972</v>
      </c>
      <c r="B1033" s="138">
        <f>'Expenditures 15-22'!H64</f>
        <v>11644</v>
      </c>
      <c r="D1033" s="2" t="str">
        <f t="shared" si="15"/>
        <v>Error?</v>
      </c>
    </row>
    <row r="1034" spans="1:4" x14ac:dyDescent="0.2">
      <c r="A1034" s="10">
        <v>973</v>
      </c>
      <c r="D1034" s="2" t="str">
        <f t="shared" si="15"/>
        <v>OK</v>
      </c>
    </row>
    <row r="1035" spans="1:4" x14ac:dyDescent="0.2">
      <c r="A1035" s="5">
        <v>974</v>
      </c>
      <c r="B1035" s="138">
        <f>'Expenditures 15-22'!H65</f>
        <v>15657</v>
      </c>
      <c r="C1035" s="2" t="s">
        <v>593</v>
      </c>
      <c r="D1035" s="2" t="str">
        <f t="shared" si="15"/>
        <v>Error?</v>
      </c>
    </row>
    <row r="1036" spans="1:4" x14ac:dyDescent="0.2">
      <c r="A1036" s="5">
        <v>975</v>
      </c>
      <c r="B1036" s="138">
        <f>'Expenditures 15-22'!H67</f>
        <v>1399</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4540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5939</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53284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539866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3438728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19752280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24254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3426</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1108248</v>
      </c>
      <c r="C1106" s="2" t="s">
        <v>593</v>
      </c>
      <c r="D1106" s="2" t="str">
        <f t="shared" si="16"/>
        <v>Error?</v>
      </c>
    </row>
    <row r="1107" spans="1:4" x14ac:dyDescent="0.2">
      <c r="A1107" s="5">
        <v>1046</v>
      </c>
      <c r="B1107" s="138">
        <f>'Expenditures 15-22'!K15</f>
        <v>96843</v>
      </c>
      <c r="C1107" s="2" t="s">
        <v>593</v>
      </c>
      <c r="D1107" s="2" t="str">
        <f t="shared" si="16"/>
        <v>Error?</v>
      </c>
    </row>
    <row r="1108" spans="1:4" x14ac:dyDescent="0.2">
      <c r="A1108" s="5">
        <v>1047</v>
      </c>
      <c r="B1108" s="138">
        <f>'Expenditures 15-22'!K33</f>
        <v>36167012</v>
      </c>
      <c r="C1108" s="2" t="s">
        <v>593</v>
      </c>
      <c r="D1108" s="2" t="str">
        <f t="shared" si="16"/>
        <v>Error?</v>
      </c>
    </row>
    <row r="1109" spans="1:4" x14ac:dyDescent="0.2">
      <c r="A1109" s="5">
        <v>1048</v>
      </c>
      <c r="B1109" s="138">
        <f>'Expenditures 15-22'!K36</f>
        <v>1130323</v>
      </c>
      <c r="C1109" s="2" t="s">
        <v>593</v>
      </c>
      <c r="D1109" s="2" t="str">
        <f t="shared" si="16"/>
        <v>Error?</v>
      </c>
    </row>
    <row r="1110" spans="1:4" x14ac:dyDescent="0.2">
      <c r="A1110" s="5">
        <v>1049</v>
      </c>
      <c r="B1110" s="138">
        <f>'Expenditures 15-22'!K37</f>
        <v>825630</v>
      </c>
      <c r="C1110" s="2" t="s">
        <v>593</v>
      </c>
      <c r="D1110" s="2" t="str">
        <f t="shared" si="16"/>
        <v>Error?</v>
      </c>
    </row>
    <row r="1111" spans="1:4" x14ac:dyDescent="0.2">
      <c r="A1111" s="5">
        <v>1050</v>
      </c>
      <c r="B1111" s="138">
        <f>'Expenditures 15-22'!K38</f>
        <v>1088714</v>
      </c>
      <c r="C1111" s="2" t="s">
        <v>593</v>
      </c>
      <c r="D1111" s="2" t="str">
        <f t="shared" si="16"/>
        <v>Error?</v>
      </c>
    </row>
    <row r="1112" spans="1:4" x14ac:dyDescent="0.2">
      <c r="A1112" s="5">
        <v>1051</v>
      </c>
      <c r="B1112" s="138">
        <f>'Expenditures 15-22'!K39</f>
        <v>405782</v>
      </c>
      <c r="C1112" s="2" t="s">
        <v>593</v>
      </c>
      <c r="D1112" s="2" t="str">
        <f t="shared" si="16"/>
        <v>Error?</v>
      </c>
    </row>
    <row r="1113" spans="1:4" x14ac:dyDescent="0.2">
      <c r="A1113" s="5">
        <v>1052</v>
      </c>
      <c r="B1113" s="138">
        <f>'Expenditures 15-22'!K40</f>
        <v>98117</v>
      </c>
      <c r="C1113" s="2" t="s">
        <v>593</v>
      </c>
      <c r="D1113" s="2" t="str">
        <f t="shared" si="16"/>
        <v>Error?</v>
      </c>
    </row>
    <row r="1114" spans="1:4" x14ac:dyDescent="0.2">
      <c r="A1114" s="5">
        <v>1053</v>
      </c>
      <c r="B1114" s="138">
        <f>'Expenditures 15-22'!K41</f>
        <v>92151</v>
      </c>
      <c r="C1114" s="2" t="s">
        <v>593</v>
      </c>
      <c r="D1114" s="2" t="str">
        <f t="shared" si="16"/>
        <v>Error?</v>
      </c>
    </row>
    <row r="1115" spans="1:4" x14ac:dyDescent="0.2">
      <c r="A1115" s="5">
        <v>1054</v>
      </c>
      <c r="B1115" s="138">
        <f>'Expenditures 15-22'!K42</f>
        <v>3640717</v>
      </c>
      <c r="C1115" s="2" t="s">
        <v>593</v>
      </c>
      <c r="D1115" s="2" t="str">
        <f t="shared" si="16"/>
        <v>Error?</v>
      </c>
    </row>
    <row r="1116" spans="1:4" x14ac:dyDescent="0.2">
      <c r="A1116" s="5">
        <v>1055</v>
      </c>
      <c r="B1116" s="138">
        <f>'Expenditures 15-22'!K44</f>
        <v>1579073</v>
      </c>
      <c r="C1116" s="2" t="s">
        <v>593</v>
      </c>
      <c r="D1116" s="2" t="str">
        <f t="shared" si="16"/>
        <v>Error?</v>
      </c>
    </row>
    <row r="1117" spans="1:4" x14ac:dyDescent="0.2">
      <c r="A1117" s="5">
        <v>1056</v>
      </c>
      <c r="B1117" s="138">
        <f>'Expenditures 15-22'!K45</f>
        <v>215888</v>
      </c>
      <c r="C1117" s="2" t="s">
        <v>593</v>
      </c>
      <c r="D1117" s="2" t="str">
        <f t="shared" si="16"/>
        <v>Error?</v>
      </c>
    </row>
    <row r="1118" spans="1:4" x14ac:dyDescent="0.2">
      <c r="A1118" s="5">
        <v>1057</v>
      </c>
      <c r="B1118" s="138">
        <f>'Expenditures 15-22'!K46</f>
        <v>66884</v>
      </c>
      <c r="C1118" s="2" t="s">
        <v>593</v>
      </c>
      <c r="D1118" s="2" t="str">
        <f t="shared" si="16"/>
        <v>Error?</v>
      </c>
    </row>
    <row r="1119" spans="1:4" x14ac:dyDescent="0.2">
      <c r="A1119" s="5">
        <v>1058</v>
      </c>
      <c r="B1119" s="138">
        <f>'Expenditures 15-22'!K47</f>
        <v>1861845</v>
      </c>
      <c r="C1119" s="2" t="s">
        <v>593</v>
      </c>
      <c r="D1119" s="2" t="str">
        <f t="shared" si="16"/>
        <v>Error?</v>
      </c>
    </row>
    <row r="1120" spans="1:4" x14ac:dyDescent="0.2">
      <c r="A1120" s="5">
        <v>1059</v>
      </c>
      <c r="B1120" s="138">
        <f>'Expenditures 15-22'!K49</f>
        <v>130184</v>
      </c>
      <c r="C1120" s="2" t="s">
        <v>593</v>
      </c>
      <c r="D1120" s="2" t="str">
        <f t="shared" si="16"/>
        <v>Error?</v>
      </c>
    </row>
    <row r="1121" spans="1:4" x14ac:dyDescent="0.2">
      <c r="A1121" s="5">
        <v>1060</v>
      </c>
      <c r="B1121" s="138">
        <f>'Expenditures 15-22'!K50</f>
        <v>127531</v>
      </c>
      <c r="C1121" s="2" t="s">
        <v>593</v>
      </c>
      <c r="D1121" s="2" t="str">
        <f t="shared" si="16"/>
        <v>Error?</v>
      </c>
    </row>
    <row r="1122" spans="1:4" x14ac:dyDescent="0.2">
      <c r="A1122" s="5">
        <v>1061</v>
      </c>
      <c r="B1122" s="138">
        <f>'Expenditures 15-22'!K53</f>
        <v>396959</v>
      </c>
      <c r="C1122" s="2" t="s">
        <v>593</v>
      </c>
      <c r="D1122" s="2" t="str">
        <f t="shared" si="16"/>
        <v>Error?</v>
      </c>
    </row>
    <row r="1123" spans="1:4" x14ac:dyDescent="0.2">
      <c r="A1123" s="5">
        <v>1062</v>
      </c>
      <c r="B1123" s="138">
        <f>'Expenditures 15-22'!K55</f>
        <v>2811476</v>
      </c>
      <c r="C1123" s="2" t="s">
        <v>593</v>
      </c>
      <c r="D1123" s="2" t="str">
        <f t="shared" si="16"/>
        <v>Error?</v>
      </c>
    </row>
    <row r="1124" spans="1:4" x14ac:dyDescent="0.2">
      <c r="A1124" s="5">
        <v>1063</v>
      </c>
      <c r="B1124" s="138">
        <f>'Expenditures 15-22'!K56</f>
        <v>9724</v>
      </c>
      <c r="C1124" s="2" t="s">
        <v>593</v>
      </c>
      <c r="D1124" s="2" t="str">
        <f t="shared" si="16"/>
        <v>Error?</v>
      </c>
    </row>
    <row r="1125" spans="1:4" x14ac:dyDescent="0.2">
      <c r="A1125" s="5">
        <v>1064</v>
      </c>
      <c r="B1125" s="138">
        <f>'Expenditures 15-22'!K57</f>
        <v>2821200</v>
      </c>
      <c r="C1125" s="2" t="s">
        <v>593</v>
      </c>
      <c r="D1125" s="2" t="str">
        <f t="shared" si="16"/>
        <v>Error?</v>
      </c>
    </row>
    <row r="1126" spans="1:4" x14ac:dyDescent="0.2">
      <c r="A1126" s="5">
        <v>1065</v>
      </c>
      <c r="B1126" s="138">
        <f>'Expenditures 15-22'!K59</f>
        <v>81044</v>
      </c>
      <c r="C1126" s="2" t="s">
        <v>593</v>
      </c>
      <c r="D1126" s="2" t="str">
        <f t="shared" si="16"/>
        <v>Error?</v>
      </c>
    </row>
    <row r="1127" spans="1:4" x14ac:dyDescent="0.2">
      <c r="A1127" s="5">
        <v>1066</v>
      </c>
      <c r="B1127" s="138">
        <f>'Expenditures 15-22'!K60</f>
        <v>189899</v>
      </c>
      <c r="C1127" s="2" t="s">
        <v>593</v>
      </c>
      <c r="D1127" s="2" t="str">
        <f t="shared" si="16"/>
        <v>Error?</v>
      </c>
    </row>
    <row r="1128" spans="1:4" x14ac:dyDescent="0.2">
      <c r="A1128" s="5">
        <v>1067</v>
      </c>
      <c r="B1128" s="138">
        <f>'Expenditures 15-22'!K61</f>
        <v>15687</v>
      </c>
      <c r="C1128" s="2" t="s">
        <v>593</v>
      </c>
      <c r="D1128" s="2" t="str">
        <f t="shared" si="16"/>
        <v>Error?</v>
      </c>
    </row>
    <row r="1129" spans="1:4" x14ac:dyDescent="0.2">
      <c r="A1129" s="5">
        <v>1068</v>
      </c>
      <c r="B1129" s="138">
        <f>'Expenditures 15-22'!K62</f>
        <v>78875</v>
      </c>
      <c r="C1129" s="2" t="s">
        <v>593</v>
      </c>
      <c r="D1129" s="2" t="str">
        <f t="shared" si="16"/>
        <v>Error?</v>
      </c>
    </row>
    <row r="1130" spans="1:4" x14ac:dyDescent="0.2">
      <c r="A1130" s="5">
        <v>1069</v>
      </c>
      <c r="B1130" s="138">
        <f>'Expenditures 15-22'!K63</f>
        <v>2912611</v>
      </c>
      <c r="C1130" s="2" t="s">
        <v>593</v>
      </c>
      <c r="D1130" s="2" t="str">
        <f t="shared" si="16"/>
        <v>Error?</v>
      </c>
    </row>
    <row r="1131" spans="1:4" x14ac:dyDescent="0.2">
      <c r="A1131" s="5">
        <v>1070</v>
      </c>
      <c r="B1131" s="138">
        <f>'Expenditures 15-22'!K64</f>
        <v>67206</v>
      </c>
      <c r="C1131" s="2" t="s">
        <v>593</v>
      </c>
      <c r="D1131" s="2" t="str">
        <f t="shared" si="16"/>
        <v>Error?</v>
      </c>
    </row>
    <row r="1132" spans="1:4" x14ac:dyDescent="0.2">
      <c r="A1132" s="10">
        <v>1071</v>
      </c>
      <c r="D1132" s="2" t="str">
        <f t="shared" si="16"/>
        <v>OK</v>
      </c>
    </row>
    <row r="1133" spans="1:4" x14ac:dyDescent="0.2">
      <c r="A1133" s="5">
        <v>1072</v>
      </c>
      <c r="B1133" s="138">
        <f>'Expenditures 15-22'!K65</f>
        <v>3345322</v>
      </c>
      <c r="C1133" s="2" t="s">
        <v>593</v>
      </c>
      <c r="D1133" s="2" t="str">
        <f t="shared" si="16"/>
        <v>Error?</v>
      </c>
    </row>
    <row r="1134" spans="1:4" x14ac:dyDescent="0.2">
      <c r="A1134" s="5">
        <v>1073</v>
      </c>
      <c r="B1134" s="138">
        <f>'Expenditures 15-22'!K67</f>
        <v>155875</v>
      </c>
      <c r="C1134" s="2" t="s">
        <v>593</v>
      </c>
      <c r="D1134" s="2" t="str">
        <f t="shared" si="16"/>
        <v>Error?</v>
      </c>
    </row>
    <row r="1135" spans="1:4" x14ac:dyDescent="0.2">
      <c r="A1135" s="5">
        <v>1074</v>
      </c>
      <c r="B1135" s="138">
        <f>'Expenditures 15-22'!K68</f>
        <v>110677</v>
      </c>
      <c r="C1135" s="2" t="s">
        <v>593</v>
      </c>
      <c r="D1135" s="2" t="str">
        <f t="shared" si="16"/>
        <v>Error?</v>
      </c>
    </row>
    <row r="1136" spans="1:4" x14ac:dyDescent="0.2">
      <c r="A1136" s="5">
        <v>1075</v>
      </c>
      <c r="B1136" s="138">
        <f>'Expenditures 15-22'!K69</f>
        <v>40531</v>
      </c>
      <c r="C1136" s="2" t="s">
        <v>593</v>
      </c>
      <c r="D1136" s="2" t="str">
        <f t="shared" si="16"/>
        <v>Error?</v>
      </c>
    </row>
    <row r="1137" spans="1:4" x14ac:dyDescent="0.2">
      <c r="A1137" s="5">
        <v>1076</v>
      </c>
      <c r="B1137" s="138">
        <f>'Expenditures 15-22'!K70</f>
        <v>304272</v>
      </c>
      <c r="C1137" s="2" t="s">
        <v>593</v>
      </c>
      <c r="D1137" s="2" t="str">
        <f t="shared" si="16"/>
        <v>Error?</v>
      </c>
    </row>
    <row r="1138" spans="1:4" x14ac:dyDescent="0.2">
      <c r="A1138" s="10">
        <v>1077</v>
      </c>
      <c r="D1138" s="2" t="str">
        <f t="shared" si="16"/>
        <v>OK</v>
      </c>
    </row>
    <row r="1139" spans="1:4" x14ac:dyDescent="0.2">
      <c r="A1139" s="5">
        <v>1078</v>
      </c>
      <c r="B1139" s="138">
        <f>'Expenditures 15-22'!K71</f>
        <v>174230</v>
      </c>
      <c r="C1139" s="2" t="s">
        <v>593</v>
      </c>
      <c r="D1139" s="2" t="str">
        <f t="shared" si="16"/>
        <v>Error?</v>
      </c>
    </row>
    <row r="1140" spans="1:4" x14ac:dyDescent="0.2">
      <c r="A1140" s="10">
        <v>1079</v>
      </c>
      <c r="D1140" s="2" t="str">
        <f t="shared" si="16"/>
        <v>OK</v>
      </c>
    </row>
    <row r="1141" spans="1:4" x14ac:dyDescent="0.2">
      <c r="A1141" s="5">
        <v>1080</v>
      </c>
      <c r="B1141" s="138">
        <f>'Expenditures 15-22'!K72</f>
        <v>785585</v>
      </c>
      <c r="C1141" s="2" t="s">
        <v>593</v>
      </c>
      <c r="D1141" s="2" t="str">
        <f t="shared" si="16"/>
        <v>Error?</v>
      </c>
    </row>
    <row r="1142" spans="1:4" x14ac:dyDescent="0.2">
      <c r="A1142" s="5">
        <v>1081</v>
      </c>
      <c r="B1142" s="138">
        <f>'Expenditures 15-22'!K73</f>
        <v>64812</v>
      </c>
      <c r="C1142" s="2" t="s">
        <v>593</v>
      </c>
      <c r="D1142" s="2" t="str">
        <f t="shared" si="16"/>
        <v>Error?</v>
      </c>
    </row>
    <row r="1143" spans="1:4" x14ac:dyDescent="0.2">
      <c r="A1143" s="5">
        <v>1082</v>
      </c>
      <c r="B1143" s="138">
        <f>'Expenditures 15-22'!K74</f>
        <v>12916440</v>
      </c>
      <c r="C1143" s="2" t="s">
        <v>593</v>
      </c>
      <c r="D1143" s="2" t="str">
        <f t="shared" si="16"/>
        <v>Error?</v>
      </c>
    </row>
    <row r="1144" spans="1:4" x14ac:dyDescent="0.2">
      <c r="A1144" s="5">
        <v>1083</v>
      </c>
      <c r="B1144" s="138">
        <f>'Expenditures 15-22'!K75</f>
        <v>210669</v>
      </c>
      <c r="C1144" s="2" t="s">
        <v>593</v>
      </c>
      <c r="D1144" s="2" t="str">
        <f t="shared" si="16"/>
        <v>Error?</v>
      </c>
    </row>
    <row r="1145" spans="1:4" x14ac:dyDescent="0.2">
      <c r="A1145" s="5">
        <v>1084</v>
      </c>
      <c r="B1145" s="138">
        <f>'Expenditures 15-22'!K102</f>
        <v>539866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49833987</v>
      </c>
      <c r="C1152" s="2" t="s">
        <v>593</v>
      </c>
      <c r="D1152" s="2" t="str">
        <f t="shared" si="17"/>
        <v>Error?</v>
      </c>
    </row>
    <row r="1153" spans="1:4" x14ac:dyDescent="0.2">
      <c r="A1153" s="5">
        <v>1092</v>
      </c>
      <c r="B1153" s="138">
        <f>'Expenditures 15-22'!K115</f>
        <v>2473808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2648820</v>
      </c>
      <c r="D1221" s="2" t="str">
        <f t="shared" si="18"/>
        <v>Error?</v>
      </c>
    </row>
    <row r="1222" spans="1:4" x14ac:dyDescent="0.2">
      <c r="A1222" s="10">
        <v>1161</v>
      </c>
      <c r="D1222" s="2" t="str">
        <f t="shared" si="18"/>
        <v>OK</v>
      </c>
    </row>
    <row r="1223" spans="1:4" x14ac:dyDescent="0.2">
      <c r="A1223" s="5">
        <v>1162</v>
      </c>
      <c r="B1223" s="138">
        <f>'Expenditures 15-22'!C127</f>
        <v>2648820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2648820</v>
      </c>
      <c r="C1225" s="2" t="s">
        <v>593</v>
      </c>
      <c r="D1225" s="2" t="str">
        <f t="shared" si="18"/>
        <v>Error?</v>
      </c>
    </row>
    <row r="1226" spans="1:4" x14ac:dyDescent="0.2">
      <c r="A1226" s="5">
        <v>1165</v>
      </c>
      <c r="B1226" s="138">
        <f>'Expenditures 15-22'!C151</f>
        <v>2648820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519287</v>
      </c>
      <c r="D1229" s="2" t="str">
        <f t="shared" si="18"/>
        <v>Error?</v>
      </c>
    </row>
    <row r="1230" spans="1:4" x14ac:dyDescent="0.2">
      <c r="A1230" s="10">
        <v>1169</v>
      </c>
      <c r="D1230" s="2" t="str">
        <f t="shared" si="18"/>
        <v>OK</v>
      </c>
    </row>
    <row r="1231" spans="1:4" x14ac:dyDescent="0.2">
      <c r="A1231" s="5">
        <v>1170</v>
      </c>
      <c r="B1231" s="138">
        <f>'Expenditures 15-22'!D127</f>
        <v>519287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519287</v>
      </c>
      <c r="C1233" s="2" t="s">
        <v>593</v>
      </c>
      <c r="D1233" s="2" t="str">
        <f t="shared" si="18"/>
        <v>Error?</v>
      </c>
    </row>
    <row r="1234" spans="1:4" x14ac:dyDescent="0.2">
      <c r="A1234" s="5">
        <v>1173</v>
      </c>
      <c r="B1234" s="138">
        <f>'Expenditures 15-22'!D151</f>
        <v>519287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11700</v>
      </c>
      <c r="D1236" s="2" t="str">
        <f t="shared" si="18"/>
        <v>Error?</v>
      </c>
    </row>
    <row r="1237" spans="1:4" x14ac:dyDescent="0.2">
      <c r="A1237" s="5">
        <v>1176</v>
      </c>
      <c r="B1237" s="138">
        <f>'Expenditures 15-22'!E124</f>
        <v>1410335</v>
      </c>
      <c r="D1237" s="2" t="str">
        <f t="shared" si="18"/>
        <v>Error?</v>
      </c>
    </row>
    <row r="1238" spans="1:4" x14ac:dyDescent="0.2">
      <c r="A1238" s="10">
        <v>1177</v>
      </c>
      <c r="D1238" s="2" t="str">
        <f t="shared" si="18"/>
        <v>OK</v>
      </c>
    </row>
    <row r="1239" spans="1:4" x14ac:dyDescent="0.2">
      <c r="A1239" s="5">
        <v>1178</v>
      </c>
      <c r="B1239" s="138">
        <f>'Expenditures 15-22'!E127</f>
        <v>1422035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1422035</v>
      </c>
      <c r="C1241" s="2" t="s">
        <v>593</v>
      </c>
      <c r="D1241" s="2" t="str">
        <f t="shared" si="18"/>
        <v>Error?</v>
      </c>
    </row>
    <row r="1242" spans="1:4" x14ac:dyDescent="0.2">
      <c r="A1242" s="5">
        <v>1181</v>
      </c>
      <c r="B1242" s="138">
        <f>'Expenditures 15-22'!E151</f>
        <v>1422035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432137</v>
      </c>
      <c r="D1245" s="2" t="str">
        <f t="shared" si="18"/>
        <v>Error?</v>
      </c>
    </row>
    <row r="1246" spans="1:4" x14ac:dyDescent="0.2">
      <c r="A1246" s="10">
        <v>1185</v>
      </c>
      <c r="D1246" s="2" t="str">
        <f t="shared" si="18"/>
        <v>OK</v>
      </c>
    </row>
    <row r="1247" spans="1:4" x14ac:dyDescent="0.2">
      <c r="A1247" s="5">
        <v>1186</v>
      </c>
      <c r="B1247" s="138">
        <f>'Expenditures 15-22'!F127</f>
        <v>432137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432137</v>
      </c>
      <c r="C1249" s="2" t="s">
        <v>593</v>
      </c>
      <c r="D1249" s="2" t="str">
        <f t="shared" si="18"/>
        <v>Error?</v>
      </c>
    </row>
    <row r="1250" spans="1:4" x14ac:dyDescent="0.2">
      <c r="A1250" s="5">
        <v>1189</v>
      </c>
      <c r="B1250" s="138">
        <f>'Expenditures 15-22'!F151</f>
        <v>432137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48217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48217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48217</v>
      </c>
      <c r="C1258" s="2" t="s">
        <v>593</v>
      </c>
      <c r="D1258" s="2" t="str">
        <f t="shared" si="18"/>
        <v>Error?</v>
      </c>
    </row>
    <row r="1259" spans="1:4" x14ac:dyDescent="0.2">
      <c r="A1259" s="5">
        <v>1198</v>
      </c>
      <c r="B1259" s="138">
        <f>'Expenditures 15-22'!G151</f>
        <v>48217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685</v>
      </c>
      <c r="D1262" s="2" t="str">
        <f t="shared" si="18"/>
        <v>Error?</v>
      </c>
    </row>
    <row r="1263" spans="1:4" x14ac:dyDescent="0.2">
      <c r="A1263" s="10">
        <v>1202</v>
      </c>
      <c r="D1263" s="2" t="str">
        <f t="shared" si="18"/>
        <v>OK</v>
      </c>
    </row>
    <row r="1264" spans="1:4" x14ac:dyDescent="0.2">
      <c r="A1264" s="5">
        <v>1203</v>
      </c>
      <c r="B1264" s="138">
        <f>'Expenditures 15-22'!H127</f>
        <v>685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685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685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11700</v>
      </c>
      <c r="C1275" s="2" t="s">
        <v>593</v>
      </c>
      <c r="D1275" s="2" t="str">
        <f t="shared" si="18"/>
        <v>Error?</v>
      </c>
    </row>
    <row r="1276" spans="1:4" x14ac:dyDescent="0.2">
      <c r="A1276" s="5">
        <v>1215</v>
      </c>
      <c r="B1276" s="138">
        <f>'Expenditures 15-22'!K124</f>
        <v>5059890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5071590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5071590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5071590</v>
      </c>
      <c r="C1288" s="2" t="s">
        <v>593</v>
      </c>
      <c r="D1288" s="2" t="str">
        <f t="shared" si="19"/>
        <v>Error?</v>
      </c>
    </row>
    <row r="1289" spans="1:4" x14ac:dyDescent="0.2">
      <c r="A1289" s="5">
        <v>1228</v>
      </c>
      <c r="B1289" s="138">
        <f>'Expenditures 15-22'!K152</f>
        <v>531819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2507640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3510000</v>
      </c>
      <c r="D1315" s="2" t="str">
        <f t="shared" si="19"/>
        <v>Error?</v>
      </c>
    </row>
    <row r="1316" spans="1:4" x14ac:dyDescent="0.2">
      <c r="A1316" s="5">
        <v>1255</v>
      </c>
      <c r="B1316" s="138">
        <f>'Expenditures 15-22'!H171</f>
        <v>369863</v>
      </c>
      <c r="D1316" s="2" t="str">
        <f t="shared" si="19"/>
        <v>Error?</v>
      </c>
    </row>
    <row r="1317" spans="1:4" x14ac:dyDescent="0.2">
      <c r="A1317" s="5">
        <v>1256</v>
      </c>
      <c r="B1317" s="138">
        <f>'Expenditures 15-22'!H172</f>
        <v>6387503</v>
      </c>
      <c r="C1317" s="2" t="s">
        <v>593</v>
      </c>
      <c r="D1317" s="2" t="str">
        <f t="shared" si="19"/>
        <v>Error?</v>
      </c>
    </row>
    <row r="1318" spans="1:4" x14ac:dyDescent="0.2">
      <c r="A1318" s="5">
        <v>1257</v>
      </c>
      <c r="B1318" s="138">
        <f>'Expenditures 15-22'!H174</f>
        <v>6387503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2507640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3510000</v>
      </c>
      <c r="C1329" s="2" t="s">
        <v>593</v>
      </c>
      <c r="D1329" s="2" t="str">
        <f t="shared" si="19"/>
        <v>Error?</v>
      </c>
    </row>
    <row r="1330" spans="1:4" x14ac:dyDescent="0.2">
      <c r="A1330" s="5">
        <v>1269</v>
      </c>
      <c r="B1330" s="138">
        <f>'Expenditures 15-22'!K171</f>
        <v>369863</v>
      </c>
      <c r="C1330" s="2" t="s">
        <v>593</v>
      </c>
      <c r="D1330" s="2" t="str">
        <f t="shared" si="19"/>
        <v>Error?</v>
      </c>
    </row>
    <row r="1331" spans="1:4" x14ac:dyDescent="0.2">
      <c r="A1331" s="5">
        <v>1270</v>
      </c>
      <c r="B1331" s="138">
        <f>'Expenditures 15-22'!K172</f>
        <v>6387503</v>
      </c>
      <c r="C1331" s="2" t="s">
        <v>593</v>
      </c>
      <c r="D1331" s="2" t="str">
        <f t="shared" si="19"/>
        <v>Error?</v>
      </c>
    </row>
    <row r="1332" spans="1:4" x14ac:dyDescent="0.2">
      <c r="A1332" s="5">
        <v>1271</v>
      </c>
      <c r="B1332" s="138">
        <f>'Expenditures 15-22'!K174</f>
        <v>6387503</v>
      </c>
      <c r="C1332" s="2" t="s">
        <v>593</v>
      </c>
      <c r="D1332" s="2" t="str">
        <f t="shared" si="19"/>
        <v>Error?</v>
      </c>
    </row>
    <row r="1333" spans="1:4" x14ac:dyDescent="0.2">
      <c r="A1333" s="5">
        <v>1272</v>
      </c>
      <c r="B1333" s="138">
        <f>'Expenditures 15-22'!K175</f>
        <v>-788758</v>
      </c>
      <c r="C1333" s="2" t="s">
        <v>593</v>
      </c>
      <c r="D1333" s="2" t="str">
        <f t="shared" si="19"/>
        <v>Error?</v>
      </c>
    </row>
    <row r="1334" spans="1:4" x14ac:dyDescent="0.2">
      <c r="A1334" s="10">
        <v>1273</v>
      </c>
      <c r="D1334" s="2" t="str">
        <f t="shared" si="19"/>
        <v>OK</v>
      </c>
    </row>
    <row r="1335" spans="1:4" x14ac:dyDescent="0.2">
      <c r="A1335" s="5">
        <v>1274</v>
      </c>
      <c r="B1335" s="138">
        <f>'Expenditures 15-22'!C182</f>
        <v>1878536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1878536</v>
      </c>
      <c r="C1339" s="2" t="s">
        <v>593</v>
      </c>
      <c r="D1339" s="2" t="str">
        <f t="shared" si="19"/>
        <v>Error?</v>
      </c>
    </row>
    <row r="1340" spans="1:4" x14ac:dyDescent="0.2">
      <c r="A1340" s="5">
        <v>1279</v>
      </c>
      <c r="B1340" s="138">
        <f>'Expenditures 15-22'!C210</f>
        <v>1878536</v>
      </c>
      <c r="C1340" s="2" t="s">
        <v>593</v>
      </c>
      <c r="D1340" s="2" t="str">
        <f t="shared" si="19"/>
        <v>Error?</v>
      </c>
    </row>
    <row r="1341" spans="1:4" x14ac:dyDescent="0.2">
      <c r="A1341" s="5">
        <v>1280</v>
      </c>
      <c r="B1341" s="138">
        <f>'Expenditures 15-22'!D182</f>
        <v>447122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447122</v>
      </c>
      <c r="C1345" s="2" t="s">
        <v>593</v>
      </c>
      <c r="D1345" s="2" t="str">
        <f t="shared" si="20"/>
        <v>Error?</v>
      </c>
    </row>
    <row r="1346" spans="1:4" x14ac:dyDescent="0.2">
      <c r="A1346" s="5">
        <v>1285</v>
      </c>
      <c r="B1346" s="138">
        <f>'Expenditures 15-22'!D210</f>
        <v>447122</v>
      </c>
      <c r="C1346" s="2" t="s">
        <v>593</v>
      </c>
      <c r="D1346" s="2" t="str">
        <f t="shared" si="20"/>
        <v>Error?</v>
      </c>
    </row>
    <row r="1347" spans="1:4" x14ac:dyDescent="0.2">
      <c r="A1347" s="5">
        <v>1286</v>
      </c>
      <c r="B1347" s="138">
        <f>'Expenditures 15-22'!E182</f>
        <v>849427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18549</v>
      </c>
      <c r="D1350" s="2" t="str">
        <f t="shared" si="20"/>
        <v>Error?</v>
      </c>
    </row>
    <row r="1351" spans="1:4" x14ac:dyDescent="0.2">
      <c r="A1351" s="5">
        <v>1290</v>
      </c>
      <c r="B1351" s="138">
        <f>'Expenditures 15-22'!E184</f>
        <v>867976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867976</v>
      </c>
      <c r="C1353" s="2" t="s">
        <v>593</v>
      </c>
      <c r="D1353" s="2" t="str">
        <f t="shared" si="20"/>
        <v>Error?</v>
      </c>
    </row>
    <row r="1354" spans="1:4" x14ac:dyDescent="0.2">
      <c r="A1354" s="5">
        <v>1293</v>
      </c>
      <c r="B1354" s="138">
        <f>'Expenditures 15-22'!F182</f>
        <v>421950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421950</v>
      </c>
      <c r="C1358" s="2" t="s">
        <v>593</v>
      </c>
      <c r="D1358" s="2" t="str">
        <f t="shared" si="20"/>
        <v>Error?</v>
      </c>
    </row>
    <row r="1359" spans="1:4" x14ac:dyDescent="0.2">
      <c r="A1359" s="5">
        <v>1298</v>
      </c>
      <c r="B1359" s="138">
        <f>'Expenditures 15-22'!F210</f>
        <v>421950</v>
      </c>
      <c r="C1359" s="2" t="s">
        <v>593</v>
      </c>
      <c r="D1359" s="2" t="str">
        <f t="shared" si="20"/>
        <v>Error?</v>
      </c>
    </row>
    <row r="1360" spans="1:4" x14ac:dyDescent="0.2">
      <c r="A1360" s="5">
        <v>1299</v>
      </c>
      <c r="B1360" s="138">
        <f>'Expenditures 15-22'!G182</f>
        <v>36572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36572</v>
      </c>
      <c r="C1364" s="2" t="s">
        <v>593</v>
      </c>
      <c r="D1364" s="2" t="str">
        <f t="shared" si="20"/>
        <v>Error?</v>
      </c>
    </row>
    <row r="1365" spans="1:4" x14ac:dyDescent="0.2">
      <c r="A1365" s="5">
        <v>1304</v>
      </c>
      <c r="B1365" s="138">
        <f>'Expenditures 15-22'!G210</f>
        <v>36572</v>
      </c>
      <c r="C1365" s="2" t="s">
        <v>593</v>
      </c>
      <c r="D1365" s="2" t="str">
        <f t="shared" si="20"/>
        <v>Error?</v>
      </c>
    </row>
    <row r="1366" spans="1:4" x14ac:dyDescent="0.2">
      <c r="A1366" s="5">
        <v>1305</v>
      </c>
      <c r="B1366" s="138">
        <f>'Expenditures 15-22'!H182</f>
        <v>890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890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890</v>
      </c>
      <c r="C1376" s="2" t="s">
        <v>593</v>
      </c>
      <c r="D1376" s="2" t="str">
        <f t="shared" si="20"/>
        <v>Error?</v>
      </c>
    </row>
    <row r="1377" spans="1:4" x14ac:dyDescent="0.2">
      <c r="A1377" s="5">
        <v>1316</v>
      </c>
      <c r="B1377" s="138">
        <f>'Expenditures 15-22'!K182</f>
        <v>3634497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18549</v>
      </c>
      <c r="C1380" s="2" t="s">
        <v>593</v>
      </c>
      <c r="D1380" s="2" t="str">
        <f t="shared" si="20"/>
        <v>Error?</v>
      </c>
    </row>
    <row r="1381" spans="1:4" x14ac:dyDescent="0.2">
      <c r="A1381" s="5">
        <v>1320</v>
      </c>
      <c r="B1381" s="138">
        <f>'Expenditures 15-22'!K184</f>
        <v>3653046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3653046</v>
      </c>
      <c r="C1388" s="2" t="s">
        <v>593</v>
      </c>
      <c r="D1388" s="2" t="str">
        <f t="shared" si="20"/>
        <v>Error?</v>
      </c>
    </row>
    <row r="1389" spans="1:4" x14ac:dyDescent="0.2">
      <c r="A1389" s="5">
        <v>1328</v>
      </c>
      <c r="B1389" s="138">
        <f>'Expenditures 15-22'!K211</f>
        <v>582625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351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49</v>
      </c>
      <c r="D1406" s="2" t="str">
        <f t="shared" si="20"/>
        <v>Error?</v>
      </c>
    </row>
    <row r="1407" spans="1:4" x14ac:dyDescent="0.2">
      <c r="A1407" s="5">
        <v>1346</v>
      </c>
      <c r="B1407" s="138">
        <f>'Expenditures 15-22'!D222</f>
        <v>8382</v>
      </c>
      <c r="D1407" s="2" t="str">
        <f t="shared" ref="D1407:D1470" si="21">IF(ISBLANK(B1407),"OK",IF(A1407-B1407=0,"OK","Error?"))</f>
        <v>Error?</v>
      </c>
    </row>
    <row r="1408" spans="1:4" x14ac:dyDescent="0.2">
      <c r="A1408" s="5">
        <v>1347</v>
      </c>
      <c r="B1408" s="138">
        <f>'Expenditures 15-22'!D223</f>
        <v>25780</v>
      </c>
      <c r="D1408" s="2" t="str">
        <f t="shared" si="21"/>
        <v>Error?</v>
      </c>
    </row>
    <row r="1409" spans="1:4" x14ac:dyDescent="0.2">
      <c r="A1409" s="5">
        <v>1348</v>
      </c>
      <c r="B1409" s="138">
        <f>'Expenditures 15-22'!D224</f>
        <v>8438</v>
      </c>
      <c r="D1409" s="2" t="str">
        <f t="shared" si="21"/>
        <v>Error?</v>
      </c>
    </row>
    <row r="1410" spans="1:4" x14ac:dyDescent="0.2">
      <c r="A1410" s="5">
        <v>1349</v>
      </c>
      <c r="B1410" s="138">
        <f>'Expenditures 15-22'!D229</f>
        <v>1217846</v>
      </c>
      <c r="C1410" s="2" t="s">
        <v>593</v>
      </c>
      <c r="D1410" s="2" t="str">
        <f t="shared" si="21"/>
        <v>Error?</v>
      </c>
    </row>
    <row r="1411" spans="1:4" x14ac:dyDescent="0.2">
      <c r="A1411" s="5">
        <v>1350</v>
      </c>
      <c r="B1411" s="138">
        <f>'Expenditures 15-22'!D232</f>
        <v>34236</v>
      </c>
      <c r="D1411" s="2" t="str">
        <f t="shared" si="21"/>
        <v>Error?</v>
      </c>
    </row>
    <row r="1412" spans="1:4" x14ac:dyDescent="0.2">
      <c r="A1412" s="5">
        <v>1351</v>
      </c>
      <c r="B1412" s="138">
        <f>'Expenditures 15-22'!D233</f>
        <v>29182</v>
      </c>
      <c r="D1412" s="2" t="str">
        <f t="shared" si="21"/>
        <v>Error?</v>
      </c>
    </row>
    <row r="1413" spans="1:4" x14ac:dyDescent="0.2">
      <c r="A1413" s="5">
        <v>1352</v>
      </c>
      <c r="B1413" s="138">
        <f>'Expenditures 15-22'!D234</f>
        <v>125079</v>
      </c>
      <c r="D1413" s="2" t="str">
        <f t="shared" si="21"/>
        <v>Error?</v>
      </c>
    </row>
    <row r="1414" spans="1:4" x14ac:dyDescent="0.2">
      <c r="A1414" s="5">
        <v>1353</v>
      </c>
      <c r="B1414" s="138">
        <f>'Expenditures 15-22'!D235</f>
        <v>4813</v>
      </c>
      <c r="D1414" s="2" t="str">
        <f t="shared" si="21"/>
        <v>Error?</v>
      </c>
    </row>
    <row r="1415" spans="1:4" x14ac:dyDescent="0.2">
      <c r="A1415" s="5">
        <v>1354</v>
      </c>
      <c r="B1415" s="138">
        <f>'Expenditures 15-22'!D236</f>
        <v>1148</v>
      </c>
      <c r="D1415" s="2" t="str">
        <f t="shared" si="21"/>
        <v>Error?</v>
      </c>
    </row>
    <row r="1416" spans="1:4" x14ac:dyDescent="0.2">
      <c r="A1416" s="5">
        <v>1355</v>
      </c>
      <c r="B1416" s="138">
        <f>'Expenditures 15-22'!D237</f>
        <v>7764</v>
      </c>
      <c r="D1416" s="2" t="str">
        <f t="shared" si="21"/>
        <v>Error?</v>
      </c>
    </row>
    <row r="1417" spans="1:4" x14ac:dyDescent="0.2">
      <c r="A1417" s="5">
        <v>1356</v>
      </c>
      <c r="B1417" s="138">
        <f>'Expenditures 15-22'!D238</f>
        <v>202222</v>
      </c>
      <c r="C1417" s="2" t="s">
        <v>593</v>
      </c>
      <c r="D1417" s="2" t="str">
        <f t="shared" si="21"/>
        <v>Error?</v>
      </c>
    </row>
    <row r="1418" spans="1:4" x14ac:dyDescent="0.2">
      <c r="A1418" s="5">
        <v>1357</v>
      </c>
      <c r="B1418" s="138">
        <f>'Expenditures 15-22'!D240</f>
        <v>75030</v>
      </c>
      <c r="D1418" s="2" t="str">
        <f t="shared" si="21"/>
        <v>Error?</v>
      </c>
    </row>
    <row r="1419" spans="1:4" x14ac:dyDescent="0.2">
      <c r="A1419" s="5">
        <v>1358</v>
      </c>
      <c r="B1419" s="138">
        <f>'Expenditures 15-22'!D241</f>
        <v>18241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93271</v>
      </c>
      <c r="C1421" s="2" t="s">
        <v>593</v>
      </c>
      <c r="D1421" s="2" t="str">
        <f t="shared" si="21"/>
        <v>Error?</v>
      </c>
    </row>
    <row r="1422" spans="1:4" x14ac:dyDescent="0.2">
      <c r="A1422" s="5">
        <v>1361</v>
      </c>
      <c r="B1422" s="138">
        <f>'Expenditures 15-22'!D245</f>
        <v>28052</v>
      </c>
      <c r="D1422" s="2" t="str">
        <f t="shared" si="21"/>
        <v>Error?</v>
      </c>
    </row>
    <row r="1423" spans="1:4" x14ac:dyDescent="0.2">
      <c r="A1423" s="5">
        <v>1362</v>
      </c>
      <c r="B1423" s="138">
        <f>'Expenditures 15-22'!D246</f>
        <v>3311</v>
      </c>
      <c r="D1423" s="2" t="str">
        <f t="shared" si="21"/>
        <v>Error?</v>
      </c>
    </row>
    <row r="1424" spans="1:4" x14ac:dyDescent="0.2">
      <c r="A1424" s="5">
        <v>1363</v>
      </c>
      <c r="B1424" s="138">
        <f>'Expenditures 15-22'!D257</f>
        <v>63971</v>
      </c>
      <c r="C1424" s="2" t="s">
        <v>593</v>
      </c>
      <c r="D1424" s="2" t="str">
        <f t="shared" si="21"/>
        <v>Error?</v>
      </c>
    </row>
    <row r="1425" spans="1:4" x14ac:dyDescent="0.2">
      <c r="A1425" s="5">
        <v>1364</v>
      </c>
      <c r="B1425" s="138">
        <f>'Expenditures 15-22'!D259</f>
        <v>194938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194938</v>
      </c>
      <c r="C1427" s="2" t="s">
        <v>593</v>
      </c>
      <c r="D1427" s="2" t="str">
        <f t="shared" si="21"/>
        <v>Error?</v>
      </c>
    </row>
    <row r="1428" spans="1:4" x14ac:dyDescent="0.2">
      <c r="A1428" s="5">
        <v>1367</v>
      </c>
      <c r="B1428" s="138">
        <f>'Expenditures 15-22'!D263</f>
        <v>19202</v>
      </c>
      <c r="D1428" s="2" t="str">
        <f t="shared" si="21"/>
        <v>Error?</v>
      </c>
    </row>
    <row r="1429" spans="1:4" x14ac:dyDescent="0.2">
      <c r="A1429" s="5">
        <v>1368</v>
      </c>
      <c r="B1429" s="138">
        <f>'Expenditures 15-22'!D264</f>
        <v>21656</v>
      </c>
      <c r="D1429" s="2" t="str">
        <f t="shared" si="21"/>
        <v>Error?</v>
      </c>
    </row>
    <row r="1430" spans="1:4" x14ac:dyDescent="0.2">
      <c r="A1430" s="5">
        <v>1369</v>
      </c>
      <c r="B1430" s="138">
        <f>'Expenditures 15-22'!D265</f>
        <v>13324</v>
      </c>
      <c r="D1430" s="2" t="str">
        <f t="shared" si="21"/>
        <v>Error?</v>
      </c>
    </row>
    <row r="1431" spans="1:4" x14ac:dyDescent="0.2">
      <c r="A1431" s="5">
        <v>1370</v>
      </c>
      <c r="B1431" s="138">
        <f>'Expenditures 15-22'!D266</f>
        <v>676152</v>
      </c>
      <c r="D1431" s="2" t="str">
        <f t="shared" si="21"/>
        <v>Error?</v>
      </c>
    </row>
    <row r="1432" spans="1:4" x14ac:dyDescent="0.2">
      <c r="A1432" s="5">
        <v>1371</v>
      </c>
      <c r="B1432" s="138">
        <f>'Expenditures 15-22'!D267</f>
        <v>347550</v>
      </c>
      <c r="D1432" s="2" t="str">
        <f t="shared" si="21"/>
        <v>Error?</v>
      </c>
    </row>
    <row r="1433" spans="1:4" x14ac:dyDescent="0.2">
      <c r="A1433" s="5">
        <v>1372</v>
      </c>
      <c r="B1433" s="138">
        <f>'Expenditures 15-22'!D268</f>
        <v>219165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1297049</v>
      </c>
      <c r="C1436" s="2" t="s">
        <v>593</v>
      </c>
      <c r="D1436" s="2" t="str">
        <f t="shared" si="21"/>
        <v>Error?</v>
      </c>
    </row>
    <row r="1437" spans="1:4" x14ac:dyDescent="0.2">
      <c r="A1437" s="5">
        <v>1376</v>
      </c>
      <c r="B1437" s="138">
        <f>'Expenditures 15-22'!D272</f>
        <v>1525</v>
      </c>
      <c r="D1437" s="2" t="str">
        <f t="shared" si="21"/>
        <v>Error?</v>
      </c>
    </row>
    <row r="1438" spans="1:4" x14ac:dyDescent="0.2">
      <c r="A1438" s="5">
        <v>1377</v>
      </c>
      <c r="B1438" s="138">
        <f>'Expenditures 15-22'!D273</f>
        <v>1100</v>
      </c>
      <c r="D1438" s="2" t="str">
        <f t="shared" si="21"/>
        <v>Error?</v>
      </c>
    </row>
    <row r="1439" spans="1:4" x14ac:dyDescent="0.2">
      <c r="A1439" s="5">
        <v>1378</v>
      </c>
      <c r="B1439" s="138">
        <f>'Expenditures 15-22'!D274</f>
        <v>4787</v>
      </c>
      <c r="D1439" s="2" t="str">
        <f t="shared" si="21"/>
        <v>Error?</v>
      </c>
    </row>
    <row r="1440" spans="1:4" x14ac:dyDescent="0.2">
      <c r="A1440" s="5">
        <v>1379</v>
      </c>
      <c r="B1440" s="138">
        <f>'Expenditures 15-22'!D275</f>
        <v>42936</v>
      </c>
      <c r="D1440" s="2" t="str">
        <f t="shared" si="21"/>
        <v>Error?</v>
      </c>
    </row>
    <row r="1441" spans="1:4" x14ac:dyDescent="0.2">
      <c r="A1441" s="10">
        <v>1380</v>
      </c>
      <c r="D1441" s="2" t="str">
        <f t="shared" si="21"/>
        <v>OK</v>
      </c>
    </row>
    <row r="1442" spans="1:4" x14ac:dyDescent="0.2">
      <c r="A1442" s="5">
        <v>1381</v>
      </c>
      <c r="B1442" s="138">
        <f>'Expenditures 15-22'!D276</f>
        <v>29484</v>
      </c>
      <c r="D1442" s="2" t="str">
        <f t="shared" si="21"/>
        <v>Error?</v>
      </c>
    </row>
    <row r="1443" spans="1:4" x14ac:dyDescent="0.2">
      <c r="A1443" s="10">
        <v>1382</v>
      </c>
      <c r="D1443" s="2" t="str">
        <f t="shared" si="21"/>
        <v>OK</v>
      </c>
    </row>
    <row r="1444" spans="1:4" x14ac:dyDescent="0.2">
      <c r="A1444" s="5">
        <v>1383</v>
      </c>
      <c r="B1444" s="138">
        <f>'Expenditures 15-22'!D277</f>
        <v>79832</v>
      </c>
      <c r="C1444" s="2" t="s">
        <v>593</v>
      </c>
      <c r="D1444" s="2" t="str">
        <f t="shared" si="21"/>
        <v>Error?</v>
      </c>
    </row>
    <row r="1445" spans="1:4" x14ac:dyDescent="0.2">
      <c r="A1445" s="5">
        <v>1384</v>
      </c>
      <c r="B1445" s="138">
        <f>'Expenditures 15-22'!D278</f>
        <v>6046</v>
      </c>
      <c r="D1445" s="2" t="str">
        <f t="shared" si="21"/>
        <v>Error?</v>
      </c>
    </row>
    <row r="1446" spans="1:4" x14ac:dyDescent="0.2">
      <c r="A1446" s="5">
        <v>1385</v>
      </c>
      <c r="B1446" s="138">
        <f>'Expenditures 15-22'!D279</f>
        <v>1937329</v>
      </c>
      <c r="C1446" s="2" t="s">
        <v>593</v>
      </c>
      <c r="D1446" s="2" t="str">
        <f t="shared" si="21"/>
        <v>Error?</v>
      </c>
    </row>
    <row r="1447" spans="1:4" x14ac:dyDescent="0.2">
      <c r="A1447" s="5">
        <v>1386</v>
      </c>
      <c r="B1447" s="138">
        <f>'Expenditures 15-22'!D280</f>
        <v>14319</v>
      </c>
      <c r="D1447" s="2" t="str">
        <f t="shared" si="21"/>
        <v>Error?</v>
      </c>
    </row>
    <row r="1448" spans="1:4" x14ac:dyDescent="0.2">
      <c r="A1448" s="5">
        <v>1387</v>
      </c>
      <c r="B1448" s="138">
        <f>'Expenditures 15-22'!D295</f>
        <v>3169494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351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49</v>
      </c>
      <c r="C1470" s="2" t="s">
        <v>593</v>
      </c>
      <c r="D1470" s="2" t="str">
        <f t="shared" si="21"/>
        <v>Error?</v>
      </c>
    </row>
    <row r="1471" spans="1:4" x14ac:dyDescent="0.2">
      <c r="A1471" s="5">
        <v>1410</v>
      </c>
      <c r="B1471" s="138">
        <f>'Expenditures 15-22'!K222</f>
        <v>8382</v>
      </c>
      <c r="C1471" s="2" t="s">
        <v>593</v>
      </c>
      <c r="D1471" s="2" t="str">
        <f t="shared" ref="D1471:D1534" si="22">IF(ISBLANK(B1471),"OK",IF(A1471-B1471=0,"OK","Error?"))</f>
        <v>Error?</v>
      </c>
    </row>
    <row r="1472" spans="1:4" x14ac:dyDescent="0.2">
      <c r="A1472" s="5">
        <v>1411</v>
      </c>
      <c r="B1472" s="138">
        <f>'Expenditures 15-22'!K223</f>
        <v>25780</v>
      </c>
      <c r="C1472" s="2" t="s">
        <v>593</v>
      </c>
      <c r="D1472" s="2" t="str">
        <f t="shared" si="22"/>
        <v>Error?</v>
      </c>
    </row>
    <row r="1473" spans="1:4" x14ac:dyDescent="0.2">
      <c r="A1473" s="5">
        <v>1412</v>
      </c>
      <c r="B1473" s="138">
        <f>'Expenditures 15-22'!K224</f>
        <v>8438</v>
      </c>
      <c r="C1473" s="2" t="s">
        <v>593</v>
      </c>
      <c r="D1473" s="2" t="str">
        <f t="shared" si="22"/>
        <v>Error?</v>
      </c>
    </row>
    <row r="1474" spans="1:4" x14ac:dyDescent="0.2">
      <c r="A1474" s="5">
        <v>1413</v>
      </c>
      <c r="B1474" s="138">
        <f>'Expenditures 15-22'!K229</f>
        <v>1217846</v>
      </c>
      <c r="C1474" s="2" t="s">
        <v>593</v>
      </c>
      <c r="D1474" s="2" t="str">
        <f t="shared" si="22"/>
        <v>Error?</v>
      </c>
    </row>
    <row r="1475" spans="1:4" x14ac:dyDescent="0.2">
      <c r="A1475" s="5">
        <v>1414</v>
      </c>
      <c r="B1475" s="138">
        <f>'Expenditures 15-22'!K232</f>
        <v>34236</v>
      </c>
      <c r="C1475" s="2" t="s">
        <v>593</v>
      </c>
      <c r="D1475" s="2" t="str">
        <f t="shared" si="22"/>
        <v>Error?</v>
      </c>
    </row>
    <row r="1476" spans="1:4" x14ac:dyDescent="0.2">
      <c r="A1476" s="5">
        <v>1415</v>
      </c>
      <c r="B1476" s="138">
        <f>'Expenditures 15-22'!K233</f>
        <v>29182</v>
      </c>
      <c r="C1476" s="2" t="s">
        <v>593</v>
      </c>
      <c r="D1476" s="2" t="str">
        <f t="shared" si="22"/>
        <v>Error?</v>
      </c>
    </row>
    <row r="1477" spans="1:4" x14ac:dyDescent="0.2">
      <c r="A1477" s="5">
        <v>1416</v>
      </c>
      <c r="B1477" s="138">
        <f>'Expenditures 15-22'!K234</f>
        <v>125079</v>
      </c>
      <c r="C1477" s="2" t="s">
        <v>593</v>
      </c>
      <c r="D1477" s="2" t="str">
        <f t="shared" si="22"/>
        <v>Error?</v>
      </c>
    </row>
    <row r="1478" spans="1:4" x14ac:dyDescent="0.2">
      <c r="A1478" s="5">
        <v>1417</v>
      </c>
      <c r="B1478" s="138">
        <f>'Expenditures 15-22'!K235</f>
        <v>4813</v>
      </c>
      <c r="C1478" s="2" t="s">
        <v>593</v>
      </c>
      <c r="D1478" s="2" t="str">
        <f t="shared" si="22"/>
        <v>Error?</v>
      </c>
    </row>
    <row r="1479" spans="1:4" x14ac:dyDescent="0.2">
      <c r="A1479" s="5">
        <v>1418</v>
      </c>
      <c r="B1479" s="138">
        <f>'Expenditures 15-22'!K236</f>
        <v>1148</v>
      </c>
      <c r="C1479" s="2" t="s">
        <v>593</v>
      </c>
      <c r="D1479" s="2" t="str">
        <f t="shared" si="22"/>
        <v>Error?</v>
      </c>
    </row>
    <row r="1480" spans="1:4" x14ac:dyDescent="0.2">
      <c r="A1480" s="5">
        <v>1419</v>
      </c>
      <c r="B1480" s="138">
        <f>'Expenditures 15-22'!K237</f>
        <v>7764</v>
      </c>
      <c r="C1480" s="2" t="s">
        <v>593</v>
      </c>
      <c r="D1480" s="2" t="str">
        <f t="shared" si="22"/>
        <v>Error?</v>
      </c>
    </row>
    <row r="1481" spans="1:4" x14ac:dyDescent="0.2">
      <c r="A1481" s="5">
        <v>1420</v>
      </c>
      <c r="B1481" s="138">
        <f>'Expenditures 15-22'!K238</f>
        <v>202222</v>
      </c>
      <c r="C1481" s="2" t="s">
        <v>593</v>
      </c>
      <c r="D1481" s="2" t="str">
        <f t="shared" si="22"/>
        <v>Error?</v>
      </c>
    </row>
    <row r="1482" spans="1:4" x14ac:dyDescent="0.2">
      <c r="A1482" s="5">
        <v>1421</v>
      </c>
      <c r="B1482" s="138">
        <f>'Expenditures 15-22'!K240</f>
        <v>75030</v>
      </c>
      <c r="C1482" s="2" t="s">
        <v>593</v>
      </c>
      <c r="D1482" s="2" t="str">
        <f t="shared" si="22"/>
        <v>Error?</v>
      </c>
    </row>
    <row r="1483" spans="1:4" x14ac:dyDescent="0.2">
      <c r="A1483" s="5">
        <v>1422</v>
      </c>
      <c r="B1483" s="138">
        <f>'Expenditures 15-22'!K241</f>
        <v>18241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93271</v>
      </c>
      <c r="C1485" s="2" t="s">
        <v>593</v>
      </c>
      <c r="D1485" s="2" t="str">
        <f t="shared" si="22"/>
        <v>Error?</v>
      </c>
    </row>
    <row r="1486" spans="1:4" x14ac:dyDescent="0.2">
      <c r="A1486" s="5">
        <v>1425</v>
      </c>
      <c r="B1486" s="138">
        <f>'Expenditures 15-22'!K245</f>
        <v>28052</v>
      </c>
      <c r="C1486" s="2" t="s">
        <v>593</v>
      </c>
      <c r="D1486" s="2" t="str">
        <f t="shared" si="22"/>
        <v>Error?</v>
      </c>
    </row>
    <row r="1487" spans="1:4" x14ac:dyDescent="0.2">
      <c r="A1487" s="5">
        <v>1426</v>
      </c>
      <c r="B1487" s="138">
        <f>'Expenditures 15-22'!K246</f>
        <v>3311</v>
      </c>
      <c r="C1487" s="2" t="s">
        <v>593</v>
      </c>
      <c r="D1487" s="2" t="str">
        <f t="shared" si="22"/>
        <v>Error?</v>
      </c>
    </row>
    <row r="1488" spans="1:4" x14ac:dyDescent="0.2">
      <c r="A1488" s="5">
        <v>1427</v>
      </c>
      <c r="B1488" s="138">
        <f>'Expenditures 15-22'!K257</f>
        <v>63971</v>
      </c>
      <c r="C1488" s="2" t="s">
        <v>593</v>
      </c>
      <c r="D1488" s="2" t="str">
        <f t="shared" si="22"/>
        <v>Error?</v>
      </c>
    </row>
    <row r="1489" spans="1:4" x14ac:dyDescent="0.2">
      <c r="A1489" s="5">
        <v>1428</v>
      </c>
      <c r="B1489" s="138">
        <f>'Expenditures 15-22'!K259</f>
        <v>194938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194938</v>
      </c>
      <c r="C1491" s="2" t="s">
        <v>593</v>
      </c>
      <c r="D1491" s="2" t="str">
        <f t="shared" si="22"/>
        <v>Error?</v>
      </c>
    </row>
    <row r="1492" spans="1:4" x14ac:dyDescent="0.2">
      <c r="A1492" s="5">
        <v>1431</v>
      </c>
      <c r="B1492" s="138">
        <f>'Expenditures 15-22'!K263</f>
        <v>19202</v>
      </c>
      <c r="C1492" s="2" t="s">
        <v>593</v>
      </c>
      <c r="D1492" s="2" t="str">
        <f t="shared" si="22"/>
        <v>Error?</v>
      </c>
    </row>
    <row r="1493" spans="1:4" x14ac:dyDescent="0.2">
      <c r="A1493" s="5">
        <v>1432</v>
      </c>
      <c r="B1493" s="138">
        <f>'Expenditures 15-22'!K264</f>
        <v>21656</v>
      </c>
      <c r="C1493" s="2" t="s">
        <v>593</v>
      </c>
      <c r="D1493" s="2" t="str">
        <f t="shared" si="22"/>
        <v>Error?</v>
      </c>
    </row>
    <row r="1494" spans="1:4" x14ac:dyDescent="0.2">
      <c r="A1494" s="5">
        <v>1433</v>
      </c>
      <c r="B1494" s="138">
        <f>'Expenditures 15-22'!K265</f>
        <v>13324</v>
      </c>
      <c r="C1494" s="2" t="s">
        <v>593</v>
      </c>
      <c r="D1494" s="2" t="str">
        <f t="shared" si="22"/>
        <v>Error?</v>
      </c>
    </row>
    <row r="1495" spans="1:4" x14ac:dyDescent="0.2">
      <c r="A1495" s="5">
        <v>1434</v>
      </c>
      <c r="B1495" s="138">
        <f>'Expenditures 15-22'!K266</f>
        <v>676152</v>
      </c>
      <c r="C1495" s="2" t="s">
        <v>593</v>
      </c>
      <c r="D1495" s="2" t="str">
        <f t="shared" si="22"/>
        <v>Error?</v>
      </c>
    </row>
    <row r="1496" spans="1:4" x14ac:dyDescent="0.2">
      <c r="A1496" s="5">
        <v>1435</v>
      </c>
      <c r="B1496" s="138">
        <f>'Expenditures 15-22'!K267</f>
        <v>347550</v>
      </c>
      <c r="C1496" s="2" t="s">
        <v>593</v>
      </c>
      <c r="D1496" s="2" t="str">
        <f t="shared" si="22"/>
        <v>Error?</v>
      </c>
    </row>
    <row r="1497" spans="1:4" x14ac:dyDescent="0.2">
      <c r="A1497" s="5">
        <v>1436</v>
      </c>
      <c r="B1497" s="138">
        <f>'Expenditures 15-22'!K268</f>
        <v>219165</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1297049</v>
      </c>
      <c r="C1500" s="2" t="s">
        <v>593</v>
      </c>
      <c r="D1500" s="2" t="str">
        <f t="shared" si="22"/>
        <v>Error?</v>
      </c>
    </row>
    <row r="1501" spans="1:4" x14ac:dyDescent="0.2">
      <c r="A1501" s="5">
        <v>1440</v>
      </c>
      <c r="B1501" s="138">
        <f>'Expenditures 15-22'!K272</f>
        <v>1525</v>
      </c>
      <c r="C1501" s="2" t="s">
        <v>593</v>
      </c>
      <c r="D1501" s="2" t="str">
        <f t="shared" si="22"/>
        <v>Error?</v>
      </c>
    </row>
    <row r="1502" spans="1:4" x14ac:dyDescent="0.2">
      <c r="A1502" s="5">
        <v>1441</v>
      </c>
      <c r="B1502" s="138">
        <f>'Expenditures 15-22'!K273</f>
        <v>1100</v>
      </c>
      <c r="C1502" s="2" t="s">
        <v>593</v>
      </c>
      <c r="D1502" s="2" t="str">
        <f t="shared" si="22"/>
        <v>Error?</v>
      </c>
    </row>
    <row r="1503" spans="1:4" x14ac:dyDescent="0.2">
      <c r="A1503" s="5">
        <v>1442</v>
      </c>
      <c r="B1503" s="138">
        <f>'Expenditures 15-22'!K274</f>
        <v>4787</v>
      </c>
      <c r="C1503" s="2" t="s">
        <v>593</v>
      </c>
      <c r="D1503" s="2" t="str">
        <f t="shared" si="22"/>
        <v>Error?</v>
      </c>
    </row>
    <row r="1504" spans="1:4" x14ac:dyDescent="0.2">
      <c r="A1504" s="5">
        <v>1443</v>
      </c>
      <c r="B1504" s="138">
        <f>'Expenditures 15-22'!K275</f>
        <v>42936</v>
      </c>
      <c r="C1504" s="2" t="s">
        <v>593</v>
      </c>
      <c r="D1504" s="2" t="str">
        <f t="shared" si="22"/>
        <v>Error?</v>
      </c>
    </row>
    <row r="1505" spans="1:4" x14ac:dyDescent="0.2">
      <c r="A1505" s="10">
        <v>1444</v>
      </c>
      <c r="D1505" s="2" t="str">
        <f t="shared" si="22"/>
        <v>OK</v>
      </c>
    </row>
    <row r="1506" spans="1:4" x14ac:dyDescent="0.2">
      <c r="A1506" s="5">
        <v>1445</v>
      </c>
      <c r="B1506" s="138">
        <f>'Expenditures 15-22'!K276</f>
        <v>29484</v>
      </c>
      <c r="C1506" s="2" t="s">
        <v>593</v>
      </c>
      <c r="D1506" s="2" t="str">
        <f t="shared" si="22"/>
        <v>Error?</v>
      </c>
    </row>
    <row r="1507" spans="1:4" x14ac:dyDescent="0.2">
      <c r="A1507" s="10">
        <v>1446</v>
      </c>
      <c r="D1507" s="2" t="str">
        <f t="shared" si="22"/>
        <v>OK</v>
      </c>
    </row>
    <row r="1508" spans="1:4" x14ac:dyDescent="0.2">
      <c r="A1508" s="5">
        <v>1447</v>
      </c>
      <c r="B1508" s="138">
        <f>'Expenditures 15-22'!K277</f>
        <v>79832</v>
      </c>
      <c r="C1508" s="2" t="s">
        <v>593</v>
      </c>
      <c r="D1508" s="2" t="str">
        <f t="shared" si="22"/>
        <v>Error?</v>
      </c>
    </row>
    <row r="1509" spans="1:4" x14ac:dyDescent="0.2">
      <c r="A1509" s="5">
        <v>1448</v>
      </c>
      <c r="B1509" s="138">
        <f>'Expenditures 15-22'!K278</f>
        <v>6046</v>
      </c>
      <c r="C1509" s="2" t="s">
        <v>593</v>
      </c>
      <c r="D1509" s="2" t="str">
        <f t="shared" si="22"/>
        <v>Error?</v>
      </c>
    </row>
    <row r="1510" spans="1:4" x14ac:dyDescent="0.2">
      <c r="A1510" s="5">
        <v>1449</v>
      </c>
      <c r="B1510" s="138">
        <f>'Expenditures 15-22'!K279</f>
        <v>1937329</v>
      </c>
      <c r="C1510" s="2" t="s">
        <v>593</v>
      </c>
      <c r="D1510" s="2" t="str">
        <f t="shared" si="22"/>
        <v>Error?</v>
      </c>
    </row>
    <row r="1511" spans="1:4" x14ac:dyDescent="0.2">
      <c r="A1511" s="5">
        <v>1450</v>
      </c>
      <c r="B1511" s="138">
        <f>'Expenditures 15-22'!K280</f>
        <v>14319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3169494</v>
      </c>
      <c r="C1517" s="2" t="s">
        <v>593</v>
      </c>
      <c r="D1517" s="2" t="str">
        <f t="shared" si="22"/>
        <v>Error?</v>
      </c>
    </row>
    <row r="1518" spans="1:4" x14ac:dyDescent="0.2">
      <c r="A1518" s="5">
        <v>1457</v>
      </c>
      <c r="B1518" s="138">
        <f>'Expenditures 15-22'!K296</f>
        <v>370857</v>
      </c>
      <c r="C1518" s="2" t="s">
        <v>593</v>
      </c>
      <c r="D1518" s="2" t="str">
        <f t="shared" si="22"/>
        <v>Error?</v>
      </c>
    </row>
    <row r="1519" spans="1:4" x14ac:dyDescent="0.2">
      <c r="A1519" s="5">
        <v>1458</v>
      </c>
      <c r="B1519" s="138">
        <f>'Expenditures 15-22'!C301</f>
        <v>56400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56400</v>
      </c>
      <c r="C1523" s="2" t="s">
        <v>593</v>
      </c>
      <c r="D1523" s="2" t="str">
        <f t="shared" si="22"/>
        <v>Error?</v>
      </c>
    </row>
    <row r="1524" spans="1:4" x14ac:dyDescent="0.2">
      <c r="A1524" s="5">
        <v>1463</v>
      </c>
      <c r="B1524" s="138">
        <f>'Expenditures 15-22'!C312</f>
        <v>56400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61564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61564</v>
      </c>
      <c r="C1535" s="2" t="s">
        <v>593</v>
      </c>
      <c r="D1535" s="2" t="str">
        <f t="shared" ref="D1535:D1598" si="23">IF(ISBLANK(B1535),"OK",IF(A1535-B1535=0,"OK","Error?"))</f>
        <v>Error?</v>
      </c>
    </row>
    <row r="1536" spans="1:4" x14ac:dyDescent="0.2">
      <c r="A1536" s="5">
        <v>1475</v>
      </c>
      <c r="B1536" s="138">
        <f>'Expenditures 15-22'!E312</f>
        <v>61564</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27345889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27345889</v>
      </c>
      <c r="C1547" s="2" t="s">
        <v>593</v>
      </c>
      <c r="D1547" s="2" t="str">
        <f t="shared" si="23"/>
        <v>Error?</v>
      </c>
    </row>
    <row r="1548" spans="1:4" x14ac:dyDescent="0.2">
      <c r="A1548" s="5">
        <v>1487</v>
      </c>
      <c r="B1548" s="138">
        <f>'Expenditures 15-22'!G312</f>
        <v>27345889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27463953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27463953</v>
      </c>
      <c r="C1559" s="2" t="s">
        <v>593</v>
      </c>
      <c r="D1559" s="2" t="str">
        <f t="shared" si="23"/>
        <v>Error?</v>
      </c>
    </row>
    <row r="1560" spans="1:4" x14ac:dyDescent="0.2">
      <c r="A1560" s="5">
        <v>1499</v>
      </c>
      <c r="B1560" s="138">
        <f>'Expenditures 15-22'!K312</f>
        <v>27463953</v>
      </c>
      <c r="C1560" s="2" t="s">
        <v>593</v>
      </c>
      <c r="D1560" s="2" t="str">
        <f t="shared" si="23"/>
        <v>Error?</v>
      </c>
    </row>
    <row r="1561" spans="1:4" x14ac:dyDescent="0.2">
      <c r="A1561" s="5">
        <v>1500</v>
      </c>
      <c r="B1561" s="138">
        <f>'Expenditures 15-22'!K313</f>
        <v>-27288544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478351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3391420</v>
      </c>
      <c r="C1630" s="2" t="s">
        <v>593</v>
      </c>
      <c r="D1630" s="2" t="str">
        <f t="shared" si="24"/>
        <v>Error?</v>
      </c>
    </row>
    <row r="1631" spans="1:4" x14ac:dyDescent="0.2">
      <c r="A1631" s="5">
        <v>1570</v>
      </c>
      <c r="B1631" s="138">
        <f>'Acct Summary 7-8'!D79</f>
        <v>-38510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493309</v>
      </c>
      <c r="C1644" s="2" t="s">
        <v>593</v>
      </c>
      <c r="D1644" s="2" t="str">
        <f t="shared" si="24"/>
        <v>Error?</v>
      </c>
    </row>
    <row r="1645" spans="1:4" x14ac:dyDescent="0.2">
      <c r="A1645" s="5">
        <v>1584</v>
      </c>
      <c r="B1645" s="138">
        <f>'Acct Summary 7-8'!E79</f>
        <v>987829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1123849</v>
      </c>
      <c r="C1658" s="2" t="s">
        <v>593</v>
      </c>
      <c r="D1658" s="2" t="str">
        <f t="shared" si="24"/>
        <v>Error?</v>
      </c>
    </row>
    <row r="1659" spans="1:4" x14ac:dyDescent="0.2">
      <c r="A1659" s="5">
        <v>1598</v>
      </c>
      <c r="B1659" s="138">
        <f>'Acct Summary 7-8'!F79</f>
        <v>-174451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408174</v>
      </c>
      <c r="C1672" s="2" t="s">
        <v>593</v>
      </c>
      <c r="D1672" s="2" t="str">
        <f t="shared" si="25"/>
        <v>Error?</v>
      </c>
    </row>
    <row r="1673" spans="1:4" x14ac:dyDescent="0.2">
      <c r="A1673" s="5">
        <v>1612</v>
      </c>
      <c r="B1673" s="138">
        <f>'Acct Summary 7-8'!G79</f>
        <v>3593430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3964287</v>
      </c>
      <c r="C1686" s="2" t="s">
        <v>593</v>
      </c>
      <c r="D1686" s="2" t="str">
        <f t="shared" si="25"/>
        <v>Error?</v>
      </c>
    </row>
    <row r="1687" spans="1:4" x14ac:dyDescent="0.2">
      <c r="A1687" s="5">
        <v>1626</v>
      </c>
      <c r="B1687" s="138">
        <f>'Acct Summary 7-8'!H79</f>
        <v>36008481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26974603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16164836</v>
      </c>
      <c r="C1744" s="2" t="s">
        <v>593</v>
      </c>
      <c r="D1744" s="2" t="str">
        <f t="shared" si="26"/>
        <v>Error?</v>
      </c>
    </row>
    <row r="1745" spans="1:5" x14ac:dyDescent="0.2">
      <c r="A1745" s="5">
        <v>1684</v>
      </c>
      <c r="B1745" s="138">
        <f>'Tax Sched 23'!B5</f>
        <v>4392609</v>
      </c>
      <c r="C1745" s="2" t="s">
        <v>593</v>
      </c>
      <c r="D1745" s="2" t="str">
        <f t="shared" si="26"/>
        <v>Error?</v>
      </c>
    </row>
    <row r="1746" spans="1:5" x14ac:dyDescent="0.2">
      <c r="A1746" s="5">
        <v>1685</v>
      </c>
      <c r="B1746" s="138">
        <f>'Tax Sched 23'!B6</f>
        <v>5575076</v>
      </c>
      <c r="C1746" s="2" t="s">
        <v>593</v>
      </c>
      <c r="D1746" s="2" t="str">
        <f t="shared" si="26"/>
        <v>Error?</v>
      </c>
    </row>
    <row r="1747" spans="1:5" x14ac:dyDescent="0.2">
      <c r="A1747" s="5">
        <v>1686</v>
      </c>
      <c r="B1747" s="138">
        <f>'Tax Sched 23'!B7</f>
        <v>1757044</v>
      </c>
      <c r="C1747" s="2" t="s">
        <v>593</v>
      </c>
      <c r="D1747" s="2" t="str">
        <f t="shared" si="26"/>
        <v>Error?</v>
      </c>
    </row>
    <row r="1748" spans="1:5" x14ac:dyDescent="0.2">
      <c r="A1748" s="5">
        <v>1687</v>
      </c>
      <c r="B1748" s="138">
        <f>'Tax Sched 23'!B8</f>
        <v>1417481</v>
      </c>
      <c r="C1748" s="2" t="s">
        <v>593</v>
      </c>
      <c r="D1748" s="2" t="str">
        <f t="shared" si="26"/>
        <v>Error?</v>
      </c>
    </row>
    <row r="1749" spans="1:5" x14ac:dyDescent="0.2">
      <c r="A1749" s="5">
        <v>1688</v>
      </c>
      <c r="B1749" s="138">
        <f>'Tax Sched 23'!B10</f>
        <v>439261</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2125156</v>
      </c>
      <c r="C1752" s="2" t="s">
        <v>593</v>
      </c>
      <c r="D1752" s="2" t="str">
        <f t="shared" si="26"/>
        <v>Error?</v>
      </c>
    </row>
    <row r="1753" spans="1:5" x14ac:dyDescent="0.2">
      <c r="A1753" s="5">
        <v>1692</v>
      </c>
      <c r="B1753" s="138">
        <f>'Tax Sched 23'!B12</f>
        <v>439261</v>
      </c>
      <c r="C1753" s="2" t="s">
        <v>593</v>
      </c>
      <c r="D1753" s="2" t="str">
        <f t="shared" si="26"/>
        <v>Error?</v>
      </c>
    </row>
    <row r="1754" spans="1:5" x14ac:dyDescent="0.2">
      <c r="A1754" s="5">
        <v>1693</v>
      </c>
      <c r="B1754" s="138">
        <f>'Tax Sched 23'!B14</f>
        <v>351409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34951287</v>
      </c>
      <c r="C1759" s="2" t="s">
        <v>593</v>
      </c>
      <c r="D1759" s="2" t="str">
        <f t="shared" si="26"/>
        <v>Error?</v>
      </c>
    </row>
    <row r="1760" spans="1:5" x14ac:dyDescent="0.2">
      <c r="A1760" s="5">
        <v>1699</v>
      </c>
      <c r="B1760" s="138">
        <f>'Tax Sched 23'!D4</f>
        <v>16164836</v>
      </c>
      <c r="C1760" s="2" t="s">
        <v>593</v>
      </c>
      <c r="D1760" s="2" t="str">
        <f t="shared" si="26"/>
        <v>Error?</v>
      </c>
    </row>
    <row r="1761" spans="1:5" x14ac:dyDescent="0.2">
      <c r="A1761" s="5">
        <v>1700</v>
      </c>
      <c r="B1761" s="138">
        <f>'Tax Sched 23'!D5</f>
        <v>4392609</v>
      </c>
      <c r="C1761" s="2" t="s">
        <v>593</v>
      </c>
      <c r="D1761" s="2" t="str">
        <f t="shared" si="26"/>
        <v>Error?</v>
      </c>
    </row>
    <row r="1762" spans="1:5" s="8" customFormat="1" x14ac:dyDescent="0.2">
      <c r="A1762" s="5">
        <v>1701</v>
      </c>
      <c r="B1762" s="138">
        <f>'Tax Sched 23'!D6</f>
        <v>5575076</v>
      </c>
      <c r="C1762" s="2" t="s">
        <v>593</v>
      </c>
      <c r="D1762" s="2" t="str">
        <f t="shared" si="26"/>
        <v>Error?</v>
      </c>
      <c r="E1762" s="9"/>
    </row>
    <row r="1763" spans="1:5" x14ac:dyDescent="0.2">
      <c r="A1763" s="5">
        <v>1702</v>
      </c>
      <c r="B1763" s="138">
        <f>'Tax Sched 23'!D7</f>
        <v>1757044</v>
      </c>
      <c r="C1763" s="2" t="s">
        <v>593</v>
      </c>
      <c r="D1763" s="2" t="str">
        <f t="shared" si="26"/>
        <v>Error?</v>
      </c>
    </row>
    <row r="1764" spans="1:5" x14ac:dyDescent="0.2">
      <c r="A1764" s="5">
        <v>1703</v>
      </c>
      <c r="B1764" s="138">
        <f>'Tax Sched 23'!D8</f>
        <v>1417481</v>
      </c>
      <c r="C1764" s="2" t="s">
        <v>593</v>
      </c>
      <c r="D1764" s="2" t="str">
        <f t="shared" si="26"/>
        <v>Error?</v>
      </c>
    </row>
    <row r="1765" spans="1:5" x14ac:dyDescent="0.2">
      <c r="A1765" s="5">
        <v>1704</v>
      </c>
      <c r="B1765" s="138">
        <f>'Tax Sched 23'!D10</f>
        <v>439261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2125156</v>
      </c>
      <c r="C1768" s="2" t="s">
        <v>593</v>
      </c>
      <c r="D1768" s="2" t="str">
        <f t="shared" si="26"/>
        <v>Error?</v>
      </c>
    </row>
    <row r="1769" spans="1:5" x14ac:dyDescent="0.2">
      <c r="A1769" s="5">
        <v>1708</v>
      </c>
      <c r="B1769" s="138">
        <f>'Tax Sched 23'!D12</f>
        <v>439261</v>
      </c>
      <c r="C1769" s="2" t="s">
        <v>593</v>
      </c>
      <c r="D1769" s="2" t="str">
        <f t="shared" si="26"/>
        <v>Error?</v>
      </c>
    </row>
    <row r="1770" spans="1:5" x14ac:dyDescent="0.2">
      <c r="A1770" s="5">
        <v>1709</v>
      </c>
      <c r="B1770" s="138">
        <f>'Tax Sched 23'!D14</f>
        <v>351409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34951287</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16712545</v>
      </c>
      <c r="C1792" s="2" t="s">
        <v>593</v>
      </c>
      <c r="D1792" s="2" t="str">
        <f t="shared" si="27"/>
        <v>Error?</v>
      </c>
    </row>
    <row r="1793" spans="1:4" x14ac:dyDescent="0.2">
      <c r="A1793" s="5">
        <v>1732</v>
      </c>
      <c r="B1793" s="138">
        <f>'Tax Sched 23'!F5</f>
        <v>4541452</v>
      </c>
      <c r="C1793" s="2" t="s">
        <v>593</v>
      </c>
      <c r="D1793" s="2" t="str">
        <f t="shared" si="27"/>
        <v>Error?</v>
      </c>
    </row>
    <row r="1794" spans="1:4" x14ac:dyDescent="0.2">
      <c r="A1794" s="5">
        <v>1733</v>
      </c>
      <c r="B1794" s="138">
        <f>'Tax Sched 23'!F6</f>
        <v>5661466</v>
      </c>
      <c r="C1794" s="2" t="s">
        <v>593</v>
      </c>
      <c r="D1794" s="2" t="str">
        <f t="shared" si="27"/>
        <v>Error?</v>
      </c>
    </row>
    <row r="1795" spans="1:4" x14ac:dyDescent="0.2">
      <c r="A1795" s="5">
        <v>1734</v>
      </c>
      <c r="B1795" s="138">
        <f>'Tax Sched 23'!F7</f>
        <v>1816581</v>
      </c>
      <c r="C1795" s="2" t="s">
        <v>593</v>
      </c>
      <c r="D1795" s="2" t="str">
        <f t="shared" si="27"/>
        <v>Error?</v>
      </c>
    </row>
    <row r="1796" spans="1:4" x14ac:dyDescent="0.2">
      <c r="A1796" s="5">
        <v>1735</v>
      </c>
      <c r="B1796" s="138">
        <f>'Tax Sched 23'!F8</f>
        <v>1471976</v>
      </c>
      <c r="C1796" s="2" t="s">
        <v>593</v>
      </c>
      <c r="D1796" s="2" t="str">
        <f t="shared" si="27"/>
        <v>Error?</v>
      </c>
    </row>
    <row r="1797" spans="1:4" x14ac:dyDescent="0.2">
      <c r="A1797" s="5">
        <v>1736</v>
      </c>
      <c r="B1797" s="138">
        <f>'Tax Sched 23'!F10</f>
        <v>454145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2238573</v>
      </c>
      <c r="C1800" s="2" t="s">
        <v>593</v>
      </c>
      <c r="D1800" s="2" t="str">
        <f t="shared" si="27"/>
        <v>Error?</v>
      </c>
    </row>
    <row r="1801" spans="1:4" x14ac:dyDescent="0.2">
      <c r="A1801" s="5">
        <v>1740</v>
      </c>
      <c r="B1801" s="138">
        <f>'Tax Sched 23'!F12</f>
        <v>454145</v>
      </c>
      <c r="C1801" s="2" t="s">
        <v>593</v>
      </c>
      <c r="D1801" s="2" t="str">
        <f t="shared" si="27"/>
        <v>Error?</v>
      </c>
    </row>
    <row r="1802" spans="1:4" x14ac:dyDescent="0.2">
      <c r="A1802" s="5">
        <v>1741</v>
      </c>
      <c r="B1802" s="138">
        <f>'Tax Sched 23'!F14</f>
        <v>363316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36116990</v>
      </c>
      <c r="C1807" s="2" t="s">
        <v>593</v>
      </c>
      <c r="D1807" s="2" t="str">
        <f t="shared" si="27"/>
        <v>Error?</v>
      </c>
    </row>
    <row r="1808" spans="1:4" x14ac:dyDescent="0.2">
      <c r="A1808" s="5">
        <v>1747</v>
      </c>
      <c r="B1808" s="138">
        <f>'Tax Sched 23'!E4</f>
        <v>16712545</v>
      </c>
      <c r="D1808" s="2" t="str">
        <f t="shared" si="27"/>
        <v>Error?</v>
      </c>
    </row>
    <row r="1809" spans="1:4" x14ac:dyDescent="0.2">
      <c r="A1809" s="5">
        <v>1748</v>
      </c>
      <c r="B1809" s="138">
        <f>'Tax Sched 23'!E5</f>
        <v>4541452</v>
      </c>
      <c r="D1809" s="2" t="str">
        <f t="shared" si="27"/>
        <v>Error?</v>
      </c>
    </row>
    <row r="1810" spans="1:4" x14ac:dyDescent="0.2">
      <c r="A1810" s="5">
        <v>1749</v>
      </c>
      <c r="B1810" s="138">
        <f>'Tax Sched 23'!E6</f>
        <v>5661466</v>
      </c>
      <c r="D1810" s="2" t="str">
        <f t="shared" si="27"/>
        <v>Error?</v>
      </c>
    </row>
    <row r="1811" spans="1:4" x14ac:dyDescent="0.2">
      <c r="A1811" s="5">
        <v>1750</v>
      </c>
      <c r="B1811" s="138">
        <f>'Tax Sched 23'!E7</f>
        <v>1816581</v>
      </c>
      <c r="D1811" s="2" t="str">
        <f t="shared" si="27"/>
        <v>Error?</v>
      </c>
    </row>
    <row r="1812" spans="1:4" x14ac:dyDescent="0.2">
      <c r="A1812" s="5">
        <v>1751</v>
      </c>
      <c r="B1812" s="138">
        <f>'Tax Sched 23'!E8</f>
        <v>1471976</v>
      </c>
      <c r="D1812" s="2" t="str">
        <f t="shared" si="27"/>
        <v>Error?</v>
      </c>
    </row>
    <row r="1813" spans="1:4" x14ac:dyDescent="0.2">
      <c r="A1813" s="5">
        <v>1752</v>
      </c>
      <c r="B1813" s="138">
        <f>'Tax Sched 23'!E10</f>
        <v>454145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2238573</v>
      </c>
      <c r="D1816" s="2" t="str">
        <f t="shared" si="27"/>
        <v>Error?</v>
      </c>
    </row>
    <row r="1817" spans="1:4" x14ac:dyDescent="0.2">
      <c r="A1817" s="5">
        <v>1756</v>
      </c>
      <c r="B1817" s="138">
        <f>'Tax Sched 23'!E12</f>
        <v>454145</v>
      </c>
      <c r="D1817" s="2" t="str">
        <f t="shared" si="27"/>
        <v>Error?</v>
      </c>
    </row>
    <row r="1818" spans="1:4" x14ac:dyDescent="0.2">
      <c r="A1818" s="5">
        <v>1757</v>
      </c>
      <c r="B1818" s="138">
        <f>'Tax Sched 23'!E14</f>
        <v>363316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36116990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75580535</v>
      </c>
      <c r="C1939" s="2" t="s">
        <v>593</v>
      </c>
      <c r="D1939" s="2" t="str">
        <f t="shared" si="29"/>
        <v>Error?</v>
      </c>
    </row>
    <row r="1940" spans="1:5" x14ac:dyDescent="0.2">
      <c r="A1940" s="5">
        <v>1879</v>
      </c>
      <c r="B1940" s="138">
        <f>'Short-Term Long-Term Debt 24'!F49</f>
        <v>21510000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351409</v>
      </c>
      <c r="D1972" s="2" t="str">
        <f t="shared" si="29"/>
        <v>Error?</v>
      </c>
    </row>
    <row r="1973" spans="1:5" x14ac:dyDescent="0.2">
      <c r="A1973" s="5">
        <v>1912</v>
      </c>
      <c r="B1973" s="138">
        <f>'Rest Tax Levies-Tort Im 25'!H6</f>
        <v>165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351574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351574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3237685</v>
      </c>
      <c r="D2008" s="2" t="str">
        <f t="shared" si="30"/>
        <v>Error?</v>
      </c>
    </row>
    <row r="2009" spans="1:4" x14ac:dyDescent="0.2">
      <c r="A2009" s="5">
        <v>1948</v>
      </c>
      <c r="B2009" s="138">
        <f>'Cap Outlay Deprec 26'!C8</f>
        <v>67618941</v>
      </c>
      <c r="D2009" s="2" t="str">
        <f t="shared" si="30"/>
        <v>Error?</v>
      </c>
    </row>
    <row r="2010" spans="1:4" x14ac:dyDescent="0.2">
      <c r="A2010" s="5">
        <v>1949</v>
      </c>
      <c r="B2010" s="138">
        <f>'Cap Outlay Deprec 26'!C10</f>
        <v>6483279</v>
      </c>
      <c r="D2010" s="2" t="str">
        <f t="shared" si="30"/>
        <v>Error?</v>
      </c>
    </row>
    <row r="2011" spans="1:4" x14ac:dyDescent="0.2">
      <c r="A2011" s="5">
        <v>1950</v>
      </c>
      <c r="B2011" s="138">
        <f>'Cap Outlay Deprec 26'!C12</f>
        <v>6891445</v>
      </c>
      <c r="D2011" s="2" t="str">
        <f t="shared" si="30"/>
        <v>Error?</v>
      </c>
    </row>
    <row r="2012" spans="1:4" x14ac:dyDescent="0.2">
      <c r="A2012" s="5">
        <v>1951</v>
      </c>
      <c r="B2012" s="138">
        <f>'Cap Outlay Deprec 26'!C13</f>
        <v>24304</v>
      </c>
      <c r="D2012" s="2" t="str">
        <f t="shared" si="30"/>
        <v>Error?</v>
      </c>
    </row>
    <row r="2013" spans="1:4" x14ac:dyDescent="0.2">
      <c r="A2013" s="5">
        <v>1952</v>
      </c>
      <c r="B2013" s="138">
        <f>'Cap Outlay Deprec 26'!C16</f>
        <v>103605825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14305217</v>
      </c>
      <c r="D2015" s="2" t="str">
        <f t="shared" si="30"/>
        <v>Error?</v>
      </c>
    </row>
    <row r="2016" spans="1:4" x14ac:dyDescent="0.2">
      <c r="A2016" s="5">
        <v>1955</v>
      </c>
      <c r="B2016" s="138">
        <f>'Cap Outlay Deprec 26'!D10</f>
        <v>3872</v>
      </c>
      <c r="D2016" s="2" t="str">
        <f t="shared" si="30"/>
        <v>Error?</v>
      </c>
    </row>
    <row r="2017" spans="1:4" x14ac:dyDescent="0.2">
      <c r="A2017" s="5">
        <v>1956</v>
      </c>
      <c r="B2017" s="138">
        <f>'Cap Outlay Deprec 26'!D12</f>
        <v>2472851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41186236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363795</v>
      </c>
      <c r="D2023" s="2" t="str">
        <f t="shared" si="30"/>
        <v>Error?</v>
      </c>
    </row>
    <row r="2024" spans="1:4" x14ac:dyDescent="0.2">
      <c r="A2024" s="5">
        <v>1963</v>
      </c>
      <c r="B2024" s="138">
        <f>'Cap Outlay Deprec 26'!E13</f>
        <v>24304</v>
      </c>
      <c r="D2024" s="2" t="str">
        <f t="shared" si="30"/>
        <v>Error?</v>
      </c>
    </row>
    <row r="2025" spans="1:4" x14ac:dyDescent="0.2">
      <c r="A2025" s="5">
        <v>1964</v>
      </c>
      <c r="B2025" s="138">
        <f>'Cap Outlay Deprec 26'!E16</f>
        <v>12755034</v>
      </c>
      <c r="C2025" s="2" t="s">
        <v>593</v>
      </c>
      <c r="D2025" s="2" t="str">
        <f t="shared" si="30"/>
        <v>Error?</v>
      </c>
    </row>
    <row r="2026" spans="1:4" x14ac:dyDescent="0.2">
      <c r="A2026" s="5">
        <v>1965</v>
      </c>
      <c r="B2026" s="138">
        <f>'Cap Outlay Deprec 26'!F5</f>
        <v>3237685</v>
      </c>
      <c r="C2026" s="2" t="s">
        <v>593</v>
      </c>
      <c r="D2026" s="2" t="str">
        <f t="shared" si="30"/>
        <v>Error?</v>
      </c>
    </row>
    <row r="2027" spans="1:4" x14ac:dyDescent="0.2">
      <c r="A2027" s="5">
        <v>1966</v>
      </c>
      <c r="B2027" s="138">
        <f>'Cap Outlay Deprec 26'!F8</f>
        <v>81924158</v>
      </c>
      <c r="C2027" s="2" t="s">
        <v>593</v>
      </c>
      <c r="D2027" s="2" t="str">
        <f t="shared" si="30"/>
        <v>Error?</v>
      </c>
    </row>
    <row r="2028" spans="1:4" x14ac:dyDescent="0.2">
      <c r="A2028" s="5">
        <v>1967</v>
      </c>
      <c r="B2028" s="138">
        <f>'Cap Outlay Deprec 26'!F10</f>
        <v>6487151</v>
      </c>
      <c r="C2028" s="2" t="s">
        <v>593</v>
      </c>
      <c r="D2028" s="2" t="str">
        <f t="shared" si="30"/>
        <v>Error?</v>
      </c>
    </row>
    <row r="2029" spans="1:4" x14ac:dyDescent="0.2">
      <c r="A2029" s="5">
        <v>1968</v>
      </c>
      <c r="B2029" s="138">
        <f>'Cap Outlay Deprec 26'!F12</f>
        <v>9000501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132037027</v>
      </c>
      <c r="C2031" s="2" t="s">
        <v>593</v>
      </c>
      <c r="D2031" s="2" t="str">
        <f t="shared" si="30"/>
        <v>Error?</v>
      </c>
    </row>
    <row r="2032" spans="1:4" x14ac:dyDescent="0.2">
      <c r="A2032" s="10">
        <v>1971</v>
      </c>
      <c r="D2032" s="2" t="str">
        <f t="shared" si="30"/>
        <v>OK</v>
      </c>
    </row>
    <row r="2033" spans="1:4" x14ac:dyDescent="0.2">
      <c r="A2033" s="5">
        <v>1972</v>
      </c>
      <c r="B2033" s="138">
        <f>'Cap Outlay Deprec 26'!H8</f>
        <v>30588398</v>
      </c>
      <c r="D2033" s="2" t="str">
        <f t="shared" si="30"/>
        <v>Error?</v>
      </c>
    </row>
    <row r="2034" spans="1:4" x14ac:dyDescent="0.2">
      <c r="A2034" s="5">
        <v>1973</v>
      </c>
      <c r="B2034" s="138">
        <f>'Cap Outlay Deprec 26'!H10</f>
        <v>1762792</v>
      </c>
      <c r="D2034" s="2" t="str">
        <f t="shared" si="30"/>
        <v>Error?</v>
      </c>
    </row>
    <row r="2035" spans="1:4" x14ac:dyDescent="0.2">
      <c r="A2035" s="5">
        <v>1974</v>
      </c>
      <c r="B2035" s="138">
        <f>'Cap Outlay Deprec 26'!H12</f>
        <v>3137514</v>
      </c>
      <c r="D2035" s="2" t="str">
        <f t="shared" si="30"/>
        <v>Error?</v>
      </c>
    </row>
    <row r="2036" spans="1:4" x14ac:dyDescent="0.2">
      <c r="A2036" s="5">
        <v>1975</v>
      </c>
      <c r="B2036" s="138">
        <f>'Cap Outlay Deprec 26'!H13</f>
        <v>24304</v>
      </c>
      <c r="D2036" s="2" t="str">
        <f t="shared" si="30"/>
        <v>Error?</v>
      </c>
    </row>
    <row r="2037" spans="1:4" x14ac:dyDescent="0.2">
      <c r="A2037" s="5">
        <v>1976</v>
      </c>
      <c r="B2037" s="138">
        <f>'Cap Outlay Deprec 26'!H16</f>
        <v>35513008</v>
      </c>
      <c r="C2037" s="2" t="s">
        <v>593</v>
      </c>
      <c r="D2037" s="2" t="str">
        <f t="shared" si="30"/>
        <v>Error?</v>
      </c>
    </row>
    <row r="2038" spans="1:4" x14ac:dyDescent="0.2">
      <c r="A2038" s="10">
        <v>1977</v>
      </c>
      <c r="D2038" s="2" t="str">
        <f t="shared" si="30"/>
        <v>OK</v>
      </c>
    </row>
    <row r="2039" spans="1:4" x14ac:dyDescent="0.2">
      <c r="A2039" s="5">
        <v>1978</v>
      </c>
      <c r="B2039" s="138">
        <f>'Cap Outlay Deprec 26'!I8</f>
        <v>1495430</v>
      </c>
      <c r="D2039" s="2" t="str">
        <f t="shared" si="30"/>
        <v>Error?</v>
      </c>
    </row>
    <row r="2040" spans="1:4" x14ac:dyDescent="0.2">
      <c r="A2040" s="5">
        <v>1979</v>
      </c>
      <c r="B2040" s="138">
        <f>'Cap Outlay Deprec 26'!I10</f>
        <v>324261</v>
      </c>
      <c r="D2040" s="2" t="str">
        <f t="shared" si="30"/>
        <v>Error?</v>
      </c>
    </row>
    <row r="2041" spans="1:4" x14ac:dyDescent="0.2">
      <c r="A2041" s="5">
        <v>1980</v>
      </c>
      <c r="B2041" s="138">
        <f>'Cap Outlay Deprec 26'!I12</f>
        <v>726295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2546807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363795</v>
      </c>
      <c r="D2047" s="2" t="str">
        <f t="shared" ref="D2047:D2110" si="31">IF(ISBLANK(B2047),"OK",IF(A2047-B2047=0,"OK","Error?"))</f>
        <v>Error?</v>
      </c>
    </row>
    <row r="2048" spans="1:4" x14ac:dyDescent="0.2">
      <c r="A2048" s="5">
        <v>1987</v>
      </c>
      <c r="B2048" s="138">
        <f>'Cap Outlay Deprec 26'!J13</f>
        <v>24304</v>
      </c>
      <c r="D2048" s="2" t="str">
        <f t="shared" si="31"/>
        <v>Error?</v>
      </c>
    </row>
    <row r="2049" spans="1:4" x14ac:dyDescent="0.2">
      <c r="A2049" s="5">
        <v>1988</v>
      </c>
      <c r="B2049" s="138">
        <f>'Cap Outlay Deprec 26'!J16</f>
        <v>388099</v>
      </c>
      <c r="C2049" s="2" t="s">
        <v>593</v>
      </c>
      <c r="D2049" s="2" t="str">
        <f t="shared" si="31"/>
        <v>Error?</v>
      </c>
    </row>
    <row r="2050" spans="1:4" x14ac:dyDescent="0.2">
      <c r="A2050" s="10">
        <v>1989</v>
      </c>
      <c r="D2050" s="2" t="str">
        <f t="shared" si="31"/>
        <v>OK</v>
      </c>
    </row>
    <row r="2051" spans="1:4" x14ac:dyDescent="0.2">
      <c r="A2051" s="5">
        <v>1990</v>
      </c>
      <c r="B2051" s="138">
        <f>'Cap Outlay Deprec 26'!K8</f>
        <v>32083828</v>
      </c>
      <c r="C2051" s="2" t="s">
        <v>593</v>
      </c>
      <c r="D2051" s="2" t="str">
        <f t="shared" si="31"/>
        <v>Error?</v>
      </c>
    </row>
    <row r="2052" spans="1:4" x14ac:dyDescent="0.2">
      <c r="A2052" s="5">
        <v>1991</v>
      </c>
      <c r="B2052" s="138">
        <f>'Cap Outlay Deprec 26'!K10</f>
        <v>2087053</v>
      </c>
      <c r="C2052" s="2" t="s">
        <v>593</v>
      </c>
      <c r="D2052" s="2" t="str">
        <f t="shared" si="31"/>
        <v>Error?</v>
      </c>
    </row>
    <row r="2053" spans="1:4" x14ac:dyDescent="0.2">
      <c r="A2053" s="5">
        <v>1992</v>
      </c>
      <c r="B2053" s="138">
        <f>'Cap Outlay Deprec 26'!K12</f>
        <v>3500014</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37671716</v>
      </c>
      <c r="C2055" s="2" t="s">
        <v>593</v>
      </c>
      <c r="D2055" s="2" t="str">
        <f t="shared" si="31"/>
        <v>Error?</v>
      </c>
    </row>
    <row r="2056" spans="1:4" x14ac:dyDescent="0.2">
      <c r="A2056" s="5">
        <v>1995</v>
      </c>
      <c r="B2056" s="138">
        <f>'Cap Outlay Deprec 26'!L5</f>
        <v>3237685</v>
      </c>
      <c r="C2056" s="2" t="s">
        <v>593</v>
      </c>
      <c r="D2056" s="2" t="str">
        <f t="shared" si="31"/>
        <v>Error?</v>
      </c>
    </row>
    <row r="2057" spans="1:4" x14ac:dyDescent="0.2">
      <c r="A2057" s="5">
        <v>1996</v>
      </c>
      <c r="B2057" s="138">
        <f>'Cap Outlay Deprec 26'!L8</f>
        <v>49840330</v>
      </c>
      <c r="C2057" s="2" t="s">
        <v>593</v>
      </c>
      <c r="D2057" s="2" t="str">
        <f t="shared" si="31"/>
        <v>Error?</v>
      </c>
    </row>
    <row r="2058" spans="1:4" x14ac:dyDescent="0.2">
      <c r="A2058" s="5">
        <v>1997</v>
      </c>
      <c r="B2058" s="138">
        <f>'Cap Outlay Deprec 26'!L10</f>
        <v>4400098</v>
      </c>
      <c r="C2058" s="2" t="s">
        <v>593</v>
      </c>
      <c r="D2058" s="2" t="str">
        <f t="shared" si="31"/>
        <v>Error?</v>
      </c>
    </row>
    <row r="2059" spans="1:4" x14ac:dyDescent="0.2">
      <c r="A2059" s="5">
        <v>1998</v>
      </c>
      <c r="B2059" s="138">
        <f>'Cap Outlay Deprec 26'!L12</f>
        <v>5500487</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94365311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79736</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79736</v>
      </c>
      <c r="C2088" s="2" t="s">
        <v>593</v>
      </c>
      <c r="D2088" s="2" t="str">
        <f t="shared" si="31"/>
        <v>Error?</v>
      </c>
    </row>
    <row r="2089" spans="1:4" x14ac:dyDescent="0.2">
      <c r="A2089" s="5">
        <v>2028</v>
      </c>
      <c r="B2089" s="138">
        <f>'Expenditures 15-22'!K92</f>
        <v>460130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439261</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133205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747241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23796945</v>
      </c>
      <c r="C2551" s="2" t="s">
        <v>593</v>
      </c>
      <c r="D2551" s="2" t="str">
        <f t="shared" si="38"/>
        <v>Error?</v>
      </c>
    </row>
    <row r="2552" spans="1:4" x14ac:dyDescent="0.2">
      <c r="A2552" s="10">
        <v>2491</v>
      </c>
      <c r="D2552" s="2" t="str">
        <f t="shared" si="38"/>
        <v>OK</v>
      </c>
    </row>
    <row r="2553" spans="1:4" x14ac:dyDescent="0.2">
      <c r="A2553" s="5">
        <v>2492</v>
      </c>
      <c r="B2553" s="138">
        <f>'Acct Summary 7-8'!C6</f>
        <v>19539404</v>
      </c>
      <c r="C2553" s="2" t="s">
        <v>593</v>
      </c>
      <c r="D2553" s="2" t="str">
        <f t="shared" si="38"/>
        <v>Error?</v>
      </c>
    </row>
    <row r="2554" spans="1:4" x14ac:dyDescent="0.2">
      <c r="A2554" s="5">
        <v>2493</v>
      </c>
      <c r="B2554" s="138">
        <f>'Acct Summary 7-8'!C7</f>
        <v>8971446</v>
      </c>
      <c r="C2554" s="2" t="s">
        <v>593</v>
      </c>
      <c r="D2554" s="2" t="str">
        <f t="shared" si="38"/>
        <v>Error?</v>
      </c>
    </row>
    <row r="2555" spans="1:4" x14ac:dyDescent="0.2">
      <c r="A2555" s="5">
        <v>2494</v>
      </c>
      <c r="B2555" s="138">
        <f>'Acct Summary 7-8'!C8</f>
        <v>52307795</v>
      </c>
      <c r="C2555" s="2" t="s">
        <v>593</v>
      </c>
      <c r="D2555" s="2" t="str">
        <f t="shared" si="38"/>
        <v>Error?</v>
      </c>
    </row>
    <row r="2556" spans="1:4" x14ac:dyDescent="0.2">
      <c r="A2556" s="5">
        <v>2495</v>
      </c>
      <c r="B2556" s="138">
        <f>'Acct Summary 7-8'!C12</f>
        <v>36167012</v>
      </c>
      <c r="C2556" s="2" t="s">
        <v>593</v>
      </c>
      <c r="D2556" s="2" t="str">
        <f t="shared" si="38"/>
        <v>Error?</v>
      </c>
    </row>
    <row r="2557" spans="1:4" x14ac:dyDescent="0.2">
      <c r="A2557" s="5">
        <v>2496</v>
      </c>
      <c r="B2557" s="138">
        <f>'Acct Summary 7-8'!C13</f>
        <v>12916440</v>
      </c>
      <c r="C2557" s="2" t="s">
        <v>593</v>
      </c>
      <c r="D2557" s="2" t="str">
        <f t="shared" si="38"/>
        <v>Error?</v>
      </c>
    </row>
    <row r="2558" spans="1:4" x14ac:dyDescent="0.2">
      <c r="A2558" s="5">
        <v>2497</v>
      </c>
      <c r="B2558" s="138">
        <f>'Acct Summary 7-8'!C14</f>
        <v>210669</v>
      </c>
      <c r="C2558" s="2" t="s">
        <v>593</v>
      </c>
      <c r="D2558" s="2" t="str">
        <f t="shared" si="38"/>
        <v>Error?</v>
      </c>
    </row>
    <row r="2559" spans="1:4" x14ac:dyDescent="0.2">
      <c r="A2559" s="5">
        <v>2498</v>
      </c>
      <c r="B2559" s="138">
        <f>'Acct Summary 7-8'!C15</f>
        <v>539866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49833987</v>
      </c>
      <c r="C2561" s="2" t="s">
        <v>593</v>
      </c>
      <c r="D2561" s="2" t="str">
        <f t="shared" si="39"/>
        <v>Error?</v>
      </c>
    </row>
    <row r="2562" spans="1:4" x14ac:dyDescent="0.2">
      <c r="A2562" s="5">
        <v>2501</v>
      </c>
      <c r="B2562" s="138">
        <f>'Acct Summary 7-8'!C20</f>
        <v>2473808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5503409</v>
      </c>
      <c r="C2564" s="2" t="s">
        <v>593</v>
      </c>
      <c r="D2564" s="2" t="str">
        <f t="shared" si="39"/>
        <v>Error?</v>
      </c>
    </row>
    <row r="2565" spans="1:4" x14ac:dyDescent="0.2">
      <c r="A2565" s="10">
        <v>2504</v>
      </c>
      <c r="D2565" s="2" t="str">
        <f t="shared" si="39"/>
        <v>OK</v>
      </c>
    </row>
    <row r="2566" spans="1:4" x14ac:dyDescent="0.2">
      <c r="A2566" s="5">
        <v>2505</v>
      </c>
      <c r="B2566" s="138">
        <f>'Acct Summary 7-8'!D6</f>
        <v>100000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5603409</v>
      </c>
      <c r="C2568" s="2" t="s">
        <v>593</v>
      </c>
      <c r="D2568" s="2" t="str">
        <f t="shared" si="39"/>
        <v>Error?</v>
      </c>
    </row>
    <row r="2569" spans="1:4" x14ac:dyDescent="0.2">
      <c r="A2569" s="5">
        <v>2508</v>
      </c>
      <c r="B2569" s="138">
        <f>'Acct Summary 7-8'!D13</f>
        <v>5071590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5071590</v>
      </c>
      <c r="C2573" s="2" t="s">
        <v>593</v>
      </c>
      <c r="D2573" s="2" t="str">
        <f t="shared" si="39"/>
        <v>Error?</v>
      </c>
    </row>
    <row r="2574" spans="1:4" x14ac:dyDescent="0.2">
      <c r="A2574" s="5">
        <v>2513</v>
      </c>
      <c r="B2574" s="138">
        <f>'Acct Summary 7-8'!D20</f>
        <v>531819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2057500</v>
      </c>
      <c r="C2591" s="2" t="s">
        <v>593</v>
      </c>
      <c r="D2591" s="2" t="str">
        <f t="shared" si="39"/>
        <v>Error?</v>
      </c>
    </row>
    <row r="2592" spans="1:4" x14ac:dyDescent="0.2">
      <c r="A2592" s="10">
        <v>2531</v>
      </c>
      <c r="D2592" s="2" t="str">
        <f t="shared" si="39"/>
        <v>OK</v>
      </c>
    </row>
    <row r="2593" spans="1:4" x14ac:dyDescent="0.2">
      <c r="A2593" s="5">
        <v>2532</v>
      </c>
      <c r="B2593" s="138">
        <f>'Acct Summary 7-8'!F6</f>
        <v>2178171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4235671</v>
      </c>
      <c r="C2595" s="2" t="s">
        <v>593</v>
      </c>
      <c r="D2595" s="2" t="str">
        <f t="shared" si="39"/>
        <v>Error?</v>
      </c>
    </row>
    <row r="2596" spans="1:4" x14ac:dyDescent="0.2">
      <c r="A2596" s="5">
        <v>2535</v>
      </c>
      <c r="B2596" s="138">
        <f>'Acct Summary 7-8'!F13</f>
        <v>3653046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3653046</v>
      </c>
      <c r="C2600" s="2" t="s">
        <v>593</v>
      </c>
      <c r="D2600" s="2" t="str">
        <f t="shared" si="39"/>
        <v>Error?</v>
      </c>
    </row>
    <row r="2601" spans="1:4" x14ac:dyDescent="0.2">
      <c r="A2601" s="5">
        <v>2540</v>
      </c>
      <c r="B2601" s="138">
        <f>'Acct Summary 7-8'!F20</f>
        <v>582625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3540351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3540351</v>
      </c>
      <c r="C2606" s="2" t="s">
        <v>593</v>
      </c>
      <c r="D2606" s="2" t="str">
        <f t="shared" si="39"/>
        <v>Error?</v>
      </c>
    </row>
    <row r="2607" spans="1:4" x14ac:dyDescent="0.2">
      <c r="A2607" s="5">
        <v>2546</v>
      </c>
      <c r="B2607" s="138">
        <f>'Acct Summary 7-8'!G12</f>
        <v>1217846</v>
      </c>
      <c r="C2607" s="2" t="s">
        <v>593</v>
      </c>
      <c r="D2607" s="2" t="str">
        <f t="shared" si="39"/>
        <v>Error?</v>
      </c>
    </row>
    <row r="2608" spans="1:4" x14ac:dyDescent="0.2">
      <c r="A2608" s="5">
        <v>2547</v>
      </c>
      <c r="B2608" s="138">
        <f>'Acct Summary 7-8'!G13</f>
        <v>1937329</v>
      </c>
      <c r="C2608" s="2" t="s">
        <v>593</v>
      </c>
      <c r="D2608" s="2" t="str">
        <f t="shared" si="39"/>
        <v>Error?</v>
      </c>
    </row>
    <row r="2609" spans="1:4" x14ac:dyDescent="0.2">
      <c r="A2609" s="5">
        <v>2548</v>
      </c>
      <c r="B2609" s="138">
        <f>'Acct Summary 7-8'!G14</f>
        <v>14319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3169494</v>
      </c>
      <c r="C2612" s="2" t="s">
        <v>593</v>
      </c>
      <c r="D2612" s="2" t="str">
        <f t="shared" si="39"/>
        <v>Error?</v>
      </c>
    </row>
    <row r="2613" spans="1:4" x14ac:dyDescent="0.2">
      <c r="A2613" s="5">
        <v>2552</v>
      </c>
      <c r="B2613" s="138">
        <f>'Acct Summary 7-8'!G20</f>
        <v>370857</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5598745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5598745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6387503</v>
      </c>
      <c r="C2634" s="2" t="s">
        <v>593</v>
      </c>
      <c r="D2634" s="2" t="str">
        <f t="shared" si="40"/>
        <v>Error?</v>
      </c>
    </row>
    <row r="2635" spans="1:4" x14ac:dyDescent="0.2">
      <c r="A2635" s="5">
        <v>2574</v>
      </c>
      <c r="B2635" s="138">
        <f>'Acct Summary 7-8'!E17</f>
        <v>6387503</v>
      </c>
      <c r="C2635" s="2" t="s">
        <v>593</v>
      </c>
      <c r="D2635" s="2" t="str">
        <f t="shared" si="40"/>
        <v>Error?</v>
      </c>
    </row>
    <row r="2636" spans="1:4" x14ac:dyDescent="0.2">
      <c r="A2636" s="5">
        <v>2575</v>
      </c>
      <c r="B2636" s="138">
        <f>'Acct Summary 7-8'!E20</f>
        <v>-788758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175409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175409</v>
      </c>
      <c r="C2658" s="2" t="s">
        <v>593</v>
      </c>
      <c r="D2658" s="2" t="str">
        <f t="shared" si="40"/>
        <v>Error?</v>
      </c>
    </row>
    <row r="2659" spans="1:4" x14ac:dyDescent="0.2">
      <c r="A2659" s="5">
        <v>2598</v>
      </c>
      <c r="B2659" s="138">
        <f>'Acct Summary 7-8'!H13</f>
        <v>27463953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27463953</v>
      </c>
      <c r="C2661" s="2" t="s">
        <v>593</v>
      </c>
      <c r="D2661" s="2" t="str">
        <f t="shared" si="40"/>
        <v>Error?</v>
      </c>
    </row>
    <row r="2662" spans="1:4" x14ac:dyDescent="0.2">
      <c r="A2662" s="5">
        <v>2601</v>
      </c>
      <c r="B2662" s="138">
        <f>'Acct Summary 7-8'!H20</f>
        <v>-27288544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126811</v>
      </c>
      <c r="D2718" s="2" t="str">
        <f t="shared" si="41"/>
        <v>Error?</v>
      </c>
    </row>
    <row r="2719" spans="1:4" x14ac:dyDescent="0.2">
      <c r="A2719" s="5">
        <v>2658</v>
      </c>
      <c r="B2719" s="138">
        <f>'Expenditures 15-22'!D51</f>
        <v>10090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2343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139244</v>
      </c>
      <c r="C2724" s="2" t="s">
        <v>593</v>
      </c>
      <c r="D2724" s="2" t="str">
        <f t="shared" si="41"/>
        <v>Error?</v>
      </c>
    </row>
    <row r="2725" spans="1:4" x14ac:dyDescent="0.2">
      <c r="A2725" s="5">
        <v>2664</v>
      </c>
      <c r="B2725" s="138">
        <f>'Expenditures 15-22'!D247</f>
        <v>27904</v>
      </c>
      <c r="D2725" s="2" t="str">
        <f t="shared" si="41"/>
        <v>Error?</v>
      </c>
    </row>
    <row r="2726" spans="1:4" x14ac:dyDescent="0.2">
      <c r="A2726" s="5">
        <v>2665</v>
      </c>
      <c r="B2726" s="138">
        <f>'Expenditures 15-22'!K247</f>
        <v>27904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2100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15200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31382607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4507122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538594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836229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4507122</v>
      </c>
      <c r="D2912" s="2" t="str">
        <f t="shared" si="44"/>
        <v>Error?</v>
      </c>
    </row>
    <row r="2913" spans="1:4" x14ac:dyDescent="0.2">
      <c r="A2913" s="5">
        <v>2852</v>
      </c>
      <c r="B2913" s="138">
        <f>'Assets-Liab 5-6'!I41</f>
        <v>4507122</v>
      </c>
      <c r="C2913" s="2" t="s">
        <v>593</v>
      </c>
      <c r="D2913" s="2" t="str">
        <f t="shared" si="44"/>
        <v>Error?</v>
      </c>
    </row>
    <row r="2914" spans="1:4" x14ac:dyDescent="0.2">
      <c r="A2914" s="5">
        <v>2853</v>
      </c>
      <c r="B2914" s="138">
        <f>'Assets-Liab 5-6'!L33</f>
        <v>741300</v>
      </c>
      <c r="D2914" s="2" t="str">
        <f t="shared" si="44"/>
        <v>Error?</v>
      </c>
    </row>
    <row r="2915" spans="1:4" x14ac:dyDescent="0.2">
      <c r="A2915" s="10">
        <v>2854</v>
      </c>
      <c r="D2915" s="2" t="str">
        <f t="shared" si="44"/>
        <v>OK</v>
      </c>
    </row>
    <row r="2916" spans="1:4" x14ac:dyDescent="0.2">
      <c r="A2916" s="5">
        <v>2855</v>
      </c>
      <c r="B2916" s="138">
        <f>'Assets-Liab 5-6'!L34</f>
        <v>741300</v>
      </c>
      <c r="C2916" s="2" t="s">
        <v>593</v>
      </c>
      <c r="D2916" s="2" t="str">
        <f t="shared" si="44"/>
        <v>Error?</v>
      </c>
    </row>
    <row r="2917" spans="1:4" x14ac:dyDescent="0.2">
      <c r="A2917" s="5">
        <v>2856</v>
      </c>
      <c r="B2917" s="138">
        <f>'Assets-Liab 5-6'!L41</f>
        <v>836229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79736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79736</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861718</v>
      </c>
      <c r="D3055" s="2" t="str">
        <f t="shared" si="46"/>
        <v>Error?</v>
      </c>
    </row>
    <row r="3056" spans="1:4" x14ac:dyDescent="0.2">
      <c r="A3056" s="5">
        <v>2995</v>
      </c>
      <c r="B3056" s="138">
        <f>'Expenditures 15-22'!D10</f>
        <v>249864</v>
      </c>
      <c r="D3056" s="2" t="str">
        <f t="shared" si="46"/>
        <v>Error?</v>
      </c>
    </row>
    <row r="3057" spans="1:4" x14ac:dyDescent="0.2">
      <c r="A3057" s="5">
        <v>2996</v>
      </c>
      <c r="B3057" s="138">
        <f>'Expenditures 15-22'!E10</f>
        <v>6646</v>
      </c>
      <c r="D3057" s="2" t="str">
        <f t="shared" si="46"/>
        <v>Error?</v>
      </c>
    </row>
    <row r="3058" spans="1:4" x14ac:dyDescent="0.2">
      <c r="A3058" s="5">
        <v>2997</v>
      </c>
      <c r="B3058" s="138">
        <f>'Expenditures 15-22'!F10</f>
        <v>117050</v>
      </c>
      <c r="D3058" s="2" t="str">
        <f t="shared" si="46"/>
        <v>Error?</v>
      </c>
    </row>
    <row r="3059" spans="1:4" x14ac:dyDescent="0.2">
      <c r="A3059" s="5">
        <v>2998</v>
      </c>
      <c r="B3059" s="138">
        <f>'Expenditures 15-22'!G10</f>
        <v>341162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1576440</v>
      </c>
      <c r="C3062" s="2" t="s">
        <v>593</v>
      </c>
      <c r="D3062" s="2" t="str">
        <f t="shared" si="46"/>
        <v>Error?</v>
      </c>
    </row>
    <row r="3063" spans="1:4" x14ac:dyDescent="0.2">
      <c r="A3063" s="10">
        <v>3002</v>
      </c>
      <c r="D3063" s="2" t="str">
        <f t="shared" si="46"/>
        <v>OK</v>
      </c>
    </row>
    <row r="3064" spans="1:4" x14ac:dyDescent="0.2">
      <c r="A3064" s="5">
        <v>3003</v>
      </c>
      <c r="B3064" s="138">
        <f>'Expenditures 15-22'!D219</f>
        <v>12287</v>
      </c>
      <c r="D3064" s="2" t="str">
        <f t="shared" si="46"/>
        <v>Error?</v>
      </c>
    </row>
    <row r="3065" spans="1:4" x14ac:dyDescent="0.2">
      <c r="A3065" s="5">
        <v>3004</v>
      </c>
      <c r="B3065" s="138">
        <f>'Expenditures 15-22'!K219</f>
        <v>12287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94929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471937</v>
      </c>
      <c r="C3225" s="2" t="s">
        <v>593</v>
      </c>
      <c r="D3225" s="2" t="str">
        <f t="shared" si="49"/>
        <v>Error?</v>
      </c>
    </row>
    <row r="3226" spans="1:4" x14ac:dyDescent="0.2">
      <c r="A3226" s="5">
        <v>3165</v>
      </c>
      <c r="B3226" s="138">
        <f>'Acct Summary 7-8'!I8</f>
        <v>471937</v>
      </c>
      <c r="C3226" s="2" t="s">
        <v>593</v>
      </c>
      <c r="D3226" s="2" t="str">
        <f t="shared" si="49"/>
        <v>Error?</v>
      </c>
    </row>
    <row r="3227" spans="1:4" x14ac:dyDescent="0.2">
      <c r="A3227" s="5">
        <v>3166</v>
      </c>
      <c r="B3227" s="138">
        <f>'Acct Summary 7-8'!I20</f>
        <v>471937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439261</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439261</v>
      </c>
      <c r="C3232" s="2" t="s">
        <v>593</v>
      </c>
      <c r="D3232" s="2" t="str">
        <f t="shared" si="49"/>
        <v>Error?</v>
      </c>
    </row>
    <row r="3233" spans="1:4" x14ac:dyDescent="0.2">
      <c r="A3233" s="5">
        <v>3172</v>
      </c>
      <c r="B3233" s="138">
        <f>'Acct Summary 7-8'!C78</f>
        <v>2913069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531819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582625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370857</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924778</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924778</v>
      </c>
      <c r="C3277" s="2" t="s">
        <v>593</v>
      </c>
      <c r="D3277" s="2" t="str">
        <f t="shared" si="50"/>
        <v>Error?</v>
      </c>
    </row>
    <row r="3278" spans="1:4" x14ac:dyDescent="0.2">
      <c r="A3278" s="5">
        <v>3217</v>
      </c>
      <c r="B3278" s="138">
        <f>'Acct Summary 7-8'!E78</f>
        <v>136020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18254666</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18254666</v>
      </c>
      <c r="C3299" s="2" t="s">
        <v>593</v>
      </c>
      <c r="D3299" s="2" t="str">
        <f t="shared" si="50"/>
        <v>Error?</v>
      </c>
    </row>
    <row r="3300" spans="1:4" x14ac:dyDescent="0.2">
      <c r="A3300" s="5">
        <v>3239</v>
      </c>
      <c r="B3300" s="138">
        <f>'Acct Summary 7-8'!H78</f>
        <v>-9033878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439261</v>
      </c>
      <c r="C3318" s="2" t="s">
        <v>593</v>
      </c>
      <c r="D3318" s="2" t="str">
        <f t="shared" si="50"/>
        <v>Error?</v>
      </c>
    </row>
    <row r="3319" spans="1:4" x14ac:dyDescent="0.2">
      <c r="A3319" s="5">
        <v>3258</v>
      </c>
      <c r="B3319" s="138">
        <f>'Acct Summary 7-8'!I77</f>
        <v>-439261</v>
      </c>
      <c r="C3319" s="2" t="s">
        <v>593</v>
      </c>
      <c r="D3319" s="2" t="str">
        <f t="shared" si="50"/>
        <v>Error?</v>
      </c>
    </row>
    <row r="3320" spans="1:4" x14ac:dyDescent="0.2">
      <c r="A3320" s="5">
        <v>3259</v>
      </c>
      <c r="B3320" s="138">
        <f>'Acct Summary 7-8'!I78</f>
        <v>32676</v>
      </c>
      <c r="C3320" s="2" t="s">
        <v>593</v>
      </c>
      <c r="D3320" s="2" t="str">
        <f t="shared" si="50"/>
        <v>Error?</v>
      </c>
    </row>
    <row r="3321" spans="1:4" x14ac:dyDescent="0.2">
      <c r="A3321" s="5">
        <v>3260</v>
      </c>
      <c r="B3321" s="138">
        <f>'Acct Summary 7-8'!I79</f>
        <v>4474446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4507122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7702296</v>
      </c>
      <c r="D3366" s="2" t="str">
        <f t="shared" si="51"/>
        <v>Error?</v>
      </c>
    </row>
    <row r="3367" spans="1:4" x14ac:dyDescent="0.2">
      <c r="A3367" s="5">
        <v>3306</v>
      </c>
      <c r="B3367" s="138">
        <f>'Expenditures 15-22'!C19</f>
        <v>39516</v>
      </c>
      <c r="D3367" s="2" t="str">
        <f t="shared" si="51"/>
        <v>Error?</v>
      </c>
    </row>
    <row r="3368" spans="1:4" x14ac:dyDescent="0.2">
      <c r="A3368" s="5">
        <v>3307</v>
      </c>
      <c r="B3368" s="138">
        <f>'Expenditures 15-22'!D8</f>
        <v>2016344</v>
      </c>
      <c r="D3368" s="2" t="str">
        <f t="shared" si="51"/>
        <v>Error?</v>
      </c>
    </row>
    <row r="3369" spans="1:4" x14ac:dyDescent="0.2">
      <c r="A3369" s="5">
        <v>3308</v>
      </c>
      <c r="B3369" s="138">
        <f>'Expenditures 15-22'!D19</f>
        <v>3789</v>
      </c>
      <c r="D3369" s="2" t="str">
        <f t="shared" si="51"/>
        <v>Error?</v>
      </c>
    </row>
    <row r="3370" spans="1:4" x14ac:dyDescent="0.2">
      <c r="A3370" s="5">
        <v>3309</v>
      </c>
      <c r="B3370" s="138">
        <f>'Expenditures 15-22'!E8</f>
        <v>204541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62775</v>
      </c>
      <c r="D3372" s="2" t="str">
        <f t="shared" si="51"/>
        <v>Error?</v>
      </c>
    </row>
    <row r="3373" spans="1:4" x14ac:dyDescent="0.2">
      <c r="A3373" s="5">
        <v>3312</v>
      </c>
      <c r="B3373" s="138">
        <f>'Expenditures 15-22'!F19</f>
        <v>3450</v>
      </c>
      <c r="D3373" s="2" t="str">
        <f t="shared" si="51"/>
        <v>Error?</v>
      </c>
    </row>
    <row r="3374" spans="1:4" x14ac:dyDescent="0.2">
      <c r="A3374" s="5">
        <v>3313</v>
      </c>
      <c r="B3374" s="138">
        <f>'Expenditures 15-22'!G8</f>
        <v>20492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10006448</v>
      </c>
      <c r="C3380" s="2" t="s">
        <v>593</v>
      </c>
      <c r="D3380" s="2" t="str">
        <f t="shared" si="51"/>
        <v>Error?</v>
      </c>
    </row>
    <row r="3381" spans="1:4" x14ac:dyDescent="0.2">
      <c r="A3381" s="5">
        <v>3320</v>
      </c>
      <c r="B3381" s="138">
        <f>'Expenditures 15-22'!K19</f>
        <v>46755</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529870</v>
      </c>
      <c r="D3387" s="2" t="str">
        <f t="shared" si="51"/>
        <v>Error?</v>
      </c>
    </row>
    <row r="3388" spans="1:4" x14ac:dyDescent="0.2">
      <c r="A3388" s="5">
        <v>3327</v>
      </c>
      <c r="B3388" s="138">
        <f>'Expenditures 15-22'!D217</f>
        <v>589473</v>
      </c>
      <c r="D3388" s="2" t="str">
        <f t="shared" si="51"/>
        <v>Error?</v>
      </c>
    </row>
    <row r="3389" spans="1:4" x14ac:dyDescent="0.2">
      <c r="A3389" s="5">
        <v>3328</v>
      </c>
      <c r="B3389" s="138">
        <f>'Expenditures 15-22'!D228</f>
        <v>4746</v>
      </c>
      <c r="D3389" s="2" t="str">
        <f t="shared" si="51"/>
        <v>Error?</v>
      </c>
    </row>
    <row r="3390" spans="1:4" x14ac:dyDescent="0.2">
      <c r="A3390" s="5">
        <v>3329</v>
      </c>
      <c r="B3390" s="138">
        <f>'Expenditures 15-22'!K215</f>
        <v>529870</v>
      </c>
      <c r="C3390" s="2" t="s">
        <v>593</v>
      </c>
      <c r="D3390" s="2" t="str">
        <f t="shared" si="51"/>
        <v>Error?</v>
      </c>
    </row>
    <row r="3391" spans="1:4" x14ac:dyDescent="0.2">
      <c r="A3391" s="5">
        <v>3330</v>
      </c>
      <c r="B3391" s="138">
        <f>'Expenditures 15-22'!K217</f>
        <v>589473</v>
      </c>
      <c r="C3391" s="2" t="s">
        <v>593</v>
      </c>
      <c r="D3391" s="2" t="str">
        <f t="shared" ref="D3391:D3454" si="52">IF(ISBLANK(B3391),"OK",IF(A3391-B3391=0,"OK","Error?"))</f>
        <v>Error?</v>
      </c>
    </row>
    <row r="3392" spans="1:4" x14ac:dyDescent="0.2">
      <c r="A3392" s="5">
        <v>3331</v>
      </c>
      <c r="B3392" s="138">
        <f>'Expenditures 15-22'!K228</f>
        <v>4746</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3391420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493309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1123849</v>
      </c>
      <c r="D3417" s="2" t="str">
        <f t="shared" si="52"/>
        <v>Error?</v>
      </c>
    </row>
    <row r="3418" spans="1:4" x14ac:dyDescent="0.2">
      <c r="A3418" s="10">
        <v>3357</v>
      </c>
      <c r="D3418" s="2" t="str">
        <f t="shared" si="52"/>
        <v>OK</v>
      </c>
    </row>
    <row r="3419" spans="1:4" x14ac:dyDescent="0.2">
      <c r="A3419" s="5">
        <v>3358</v>
      </c>
      <c r="B3419" s="138">
        <f>'Assets-Liab 5-6'!F4</f>
        <v>408180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2582937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26974603</v>
      </c>
      <c r="D3425" s="2" t="str">
        <f t="shared" si="52"/>
        <v>Error?</v>
      </c>
    </row>
    <row r="3426" spans="1:4" x14ac:dyDescent="0.2">
      <c r="A3426" s="10">
        <v>3365</v>
      </c>
      <c r="D3426" s="2" t="str">
        <f t="shared" si="52"/>
        <v>OK</v>
      </c>
    </row>
    <row r="3427" spans="1:4" x14ac:dyDescent="0.2">
      <c r="A3427" s="5">
        <v>3366</v>
      </c>
      <c r="B3427" s="138">
        <f>'Assets-Liab 5-6'!I4</f>
        <v>4507122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297635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1849893</v>
      </c>
      <c r="C3446" s="2" t="s">
        <v>593</v>
      </c>
      <c r="D3446" s="2" t="str">
        <f t="shared" si="52"/>
        <v>Error?</v>
      </c>
    </row>
    <row r="3447" spans="1:4" x14ac:dyDescent="0.2">
      <c r="A3447" s="5">
        <v>3386</v>
      </c>
      <c r="B3447" s="138">
        <f>'Tax Sched 23'!D16</f>
        <v>1849893</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1948646</v>
      </c>
      <c r="C3449" s="2" t="s">
        <v>593</v>
      </c>
      <c r="D3449" s="2" t="str">
        <f t="shared" si="52"/>
        <v>Error?</v>
      </c>
    </row>
    <row r="3450" spans="1:4" x14ac:dyDescent="0.2">
      <c r="A3450" s="5">
        <v>3389</v>
      </c>
      <c r="B3450" s="138">
        <f>'Tax Sched 23'!E16</f>
        <v>1948646</v>
      </c>
      <c r="D3450" s="2" t="str">
        <f t="shared" si="52"/>
        <v>Error?</v>
      </c>
    </row>
    <row r="3451" spans="1:4" x14ac:dyDescent="0.2">
      <c r="A3451" s="5">
        <v>3390</v>
      </c>
      <c r="B3451" s="138">
        <f>'Cap Outlay Deprec 26'!C15</f>
        <v>19350171</v>
      </c>
      <c r="D3451" s="2" t="str">
        <f t="shared" si="52"/>
        <v>Error?</v>
      </c>
    </row>
    <row r="3452" spans="1:4" x14ac:dyDescent="0.2">
      <c r="A3452" s="5">
        <v>3391</v>
      </c>
      <c r="B3452" s="138">
        <f>'Cap Outlay Deprec 26'!D15</f>
        <v>24399371</v>
      </c>
      <c r="D3452" s="2" t="str">
        <f t="shared" si="52"/>
        <v>Error?</v>
      </c>
    </row>
    <row r="3453" spans="1:4" x14ac:dyDescent="0.2">
      <c r="A3453" s="5">
        <v>3392</v>
      </c>
      <c r="B3453" s="138">
        <f>'Cap Outlay Deprec 26'!E15</f>
        <v>12366935</v>
      </c>
      <c r="D3453" s="2" t="str">
        <f t="shared" si="52"/>
        <v>Error?</v>
      </c>
    </row>
    <row r="3454" spans="1:4" x14ac:dyDescent="0.2">
      <c r="A3454" s="5">
        <v>3393</v>
      </c>
      <c r="B3454" s="138">
        <f>'Cap Outlay Deprec 26'!F15</f>
        <v>31382607</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31382607</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3632480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510914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4143394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4143394</v>
      </c>
      <c r="D3567" s="2" t="str">
        <f t="shared" si="54"/>
        <v>Error?</v>
      </c>
    </row>
    <row r="3568" spans="1:4" x14ac:dyDescent="0.2">
      <c r="A3568" s="5">
        <v>3507</v>
      </c>
      <c r="B3568" s="138">
        <f>'Assets-Liab 5-6'!K41</f>
        <v>4143394</v>
      </c>
      <c r="C3568" s="2" t="s">
        <v>593</v>
      </c>
      <c r="D3568" s="2" t="str">
        <f t="shared" si="54"/>
        <v>Error?</v>
      </c>
    </row>
    <row r="3569" spans="1:4" x14ac:dyDescent="0.2">
      <c r="A3569" s="5">
        <v>3508</v>
      </c>
      <c r="B3569" s="138">
        <f>'Acct Summary 7-8'!K4</f>
        <v>452383</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452383</v>
      </c>
      <c r="C3571" s="2" t="s">
        <v>593</v>
      </c>
      <c r="D3571" s="2" t="str">
        <f t="shared" si="54"/>
        <v>Error?</v>
      </c>
    </row>
    <row r="3572" spans="1:4" x14ac:dyDescent="0.2">
      <c r="A3572" s="5">
        <v>3511</v>
      </c>
      <c r="B3572" s="138">
        <f>'Acct Summary 7-8'!K13</f>
        <v>879482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879482</v>
      </c>
      <c r="C3575" s="2" t="s">
        <v>593</v>
      </c>
      <c r="D3575" s="2" t="str">
        <f t="shared" si="54"/>
        <v>Error?</v>
      </c>
    </row>
    <row r="3576" spans="1:4" x14ac:dyDescent="0.2">
      <c r="A3576" s="5">
        <v>3515</v>
      </c>
      <c r="B3576" s="138">
        <f>'Acct Summary 7-8'!K20</f>
        <v>-427099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3325000</v>
      </c>
      <c r="D3579" s="2" t="str">
        <f t="shared" si="54"/>
        <v>Error?</v>
      </c>
    </row>
    <row r="3580" spans="1:4" x14ac:dyDescent="0.2">
      <c r="A3580" s="5">
        <v>3519</v>
      </c>
      <c r="B3580" s="138">
        <f>'Acct Summary 7-8'!K34</f>
        <v>417</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3325417</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3325417</v>
      </c>
      <c r="C3587" s="2" t="s">
        <v>593</v>
      </c>
      <c r="D3587" s="2" t="str">
        <f t="shared" si="55"/>
        <v>Error?</v>
      </c>
    </row>
    <row r="3588" spans="1:4" x14ac:dyDescent="0.2">
      <c r="A3588" s="5">
        <v>3527</v>
      </c>
      <c r="B3588" s="138">
        <f>'Acct Summary 7-8'!K78</f>
        <v>2898318</v>
      </c>
      <c r="C3588" s="2" t="s">
        <v>593</v>
      </c>
      <c r="D3588" s="2" t="str">
        <f t="shared" si="55"/>
        <v>Error?</v>
      </c>
    </row>
    <row r="3589" spans="1:4" x14ac:dyDescent="0.2">
      <c r="A3589" s="5">
        <v>3528</v>
      </c>
      <c r="B3589" s="138">
        <f>'Acct Summary 7-8'!K79</f>
        <v>1245076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4143394</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279949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279949</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279949</v>
      </c>
      <c r="C3635" s="2" t="s">
        <v>593</v>
      </c>
      <c r="D3635" s="2" t="str">
        <f t="shared" si="55"/>
        <v>Error?</v>
      </c>
    </row>
    <row r="3636" spans="1:4" x14ac:dyDescent="0.2">
      <c r="A3636" s="5">
        <v>3575</v>
      </c>
      <c r="B3636" s="138">
        <f>'Expenditures 15-22'!E367</f>
        <v>279949</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599533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599533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599533</v>
      </c>
      <c r="C3649" s="2" t="s">
        <v>593</v>
      </c>
      <c r="D3649" s="2" t="str">
        <f t="shared" si="56"/>
        <v>Error?</v>
      </c>
    </row>
    <row r="3650" spans="1:4" x14ac:dyDescent="0.2">
      <c r="A3650" s="5">
        <v>3589</v>
      </c>
      <c r="B3650" s="138">
        <f>'Expenditures 15-22'!G367</f>
        <v>599533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879482</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879482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879482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879482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-427099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439261</v>
      </c>
      <c r="C3725" s="2" t="s">
        <v>593</v>
      </c>
      <c r="D3725" s="2" t="str">
        <f t="shared" si="57"/>
        <v>Error?</v>
      </c>
    </row>
    <row r="3726" spans="1:4" x14ac:dyDescent="0.2">
      <c r="A3726" s="5">
        <v>3665</v>
      </c>
      <c r="B3726" s="138">
        <f>'Tax Sched 23'!D13</f>
        <v>439261</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454145</v>
      </c>
      <c r="C3728" s="2" t="s">
        <v>593</v>
      </c>
      <c r="D3728" s="2" t="str">
        <f t="shared" si="57"/>
        <v>Error?</v>
      </c>
    </row>
    <row r="3729" spans="1:4" x14ac:dyDescent="0.2">
      <c r="A3729" s="5">
        <v>3668</v>
      </c>
      <c r="B3729" s="138">
        <f>'Tax Sched 23'!E13</f>
        <v>454145</v>
      </c>
      <c r="D3729" s="2" t="str">
        <f t="shared" si="57"/>
        <v>Error?</v>
      </c>
    </row>
    <row r="3730" spans="1:4" x14ac:dyDescent="0.2">
      <c r="A3730" s="5">
        <v>3669</v>
      </c>
      <c r="B3730" s="138">
        <f>'ICR Computation 30'!E10</f>
        <v>1253279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19032643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71340438</v>
      </c>
      <c r="C4122" s="2" t="s">
        <v>593</v>
      </c>
      <c r="D4122" s="2" t="str">
        <f t="shared" si="63"/>
        <v>Error?</v>
      </c>
    </row>
    <row r="4123" spans="1:4" x14ac:dyDescent="0.2">
      <c r="A4123" s="5">
        <v>4062</v>
      </c>
      <c r="B4123" s="138">
        <f>'Acct Summary 7-8'!D10</f>
        <v>5603409</v>
      </c>
      <c r="C4123" s="2" t="s">
        <v>593</v>
      </c>
      <c r="D4123" s="2" t="str">
        <f t="shared" si="63"/>
        <v>Error?</v>
      </c>
    </row>
    <row r="4124" spans="1:4" x14ac:dyDescent="0.2">
      <c r="A4124" s="5">
        <v>4063</v>
      </c>
      <c r="B4124" s="138">
        <f>'Acct Summary 7-8'!E10</f>
        <v>5598745</v>
      </c>
      <c r="C4124" s="2" t="s">
        <v>593</v>
      </c>
      <c r="D4124" s="2" t="str">
        <f t="shared" si="63"/>
        <v>Error?</v>
      </c>
    </row>
    <row r="4125" spans="1:4" x14ac:dyDescent="0.2">
      <c r="A4125" s="5">
        <v>4064</v>
      </c>
      <c r="B4125" s="138">
        <f>'Acct Summary 7-8'!F10</f>
        <v>4235671</v>
      </c>
      <c r="C4125" s="2" t="s">
        <v>593</v>
      </c>
      <c r="D4125" s="2" t="str">
        <f t="shared" si="63"/>
        <v>Error?</v>
      </c>
    </row>
    <row r="4126" spans="1:4" x14ac:dyDescent="0.2">
      <c r="A4126" s="5">
        <v>4065</v>
      </c>
      <c r="B4126" s="138">
        <f>'Acct Summary 7-8'!G10</f>
        <v>3540351</v>
      </c>
      <c r="C4126" s="2" t="s">
        <v>593</v>
      </c>
      <c r="D4126" s="2" t="str">
        <f t="shared" si="63"/>
        <v>Error?</v>
      </c>
    </row>
    <row r="4127" spans="1:4" x14ac:dyDescent="0.2">
      <c r="A4127" s="5">
        <v>4066</v>
      </c>
      <c r="B4127" s="138">
        <f>'Acct Summary 7-8'!H10</f>
        <v>175409</v>
      </c>
      <c r="C4127" s="2" t="s">
        <v>593</v>
      </c>
      <c r="D4127" s="2" t="str">
        <f t="shared" si="63"/>
        <v>Error?</v>
      </c>
    </row>
    <row r="4128" spans="1:4" x14ac:dyDescent="0.2">
      <c r="A4128" s="5">
        <v>4067</v>
      </c>
      <c r="B4128" s="138">
        <f>'Acct Summary 7-8'!I10</f>
        <v>471937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452383</v>
      </c>
      <c r="C4130" s="2" t="s">
        <v>593</v>
      </c>
      <c r="D4130" s="2" t="str">
        <f t="shared" si="63"/>
        <v>Error?</v>
      </c>
    </row>
    <row r="4131" spans="1:4" x14ac:dyDescent="0.2">
      <c r="A4131" s="5">
        <v>4070</v>
      </c>
      <c r="B4131" s="138">
        <f>'Acct Summary 7-8'!C18</f>
        <v>19032643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68866630</v>
      </c>
      <c r="C4136" s="2" t="s">
        <v>593</v>
      </c>
      <c r="D4136" s="2" t="str">
        <f t="shared" si="63"/>
        <v>Error?</v>
      </c>
    </row>
    <row r="4137" spans="1:4" x14ac:dyDescent="0.2">
      <c r="A4137" s="5">
        <v>4076</v>
      </c>
      <c r="B4137" s="138">
        <f>'Acct Summary 7-8'!D19</f>
        <v>5071590</v>
      </c>
      <c r="C4137" s="2" t="s">
        <v>593</v>
      </c>
      <c r="D4137" s="2" t="str">
        <f t="shared" si="63"/>
        <v>Error?</v>
      </c>
    </row>
    <row r="4138" spans="1:4" x14ac:dyDescent="0.2">
      <c r="A4138" s="5">
        <v>4077</v>
      </c>
      <c r="B4138" s="138">
        <f>'Acct Summary 7-8'!E19</f>
        <v>6387503</v>
      </c>
      <c r="C4138" s="2" t="s">
        <v>593</v>
      </c>
      <c r="D4138" s="2" t="str">
        <f t="shared" si="63"/>
        <v>Error?</v>
      </c>
    </row>
    <row r="4139" spans="1:4" x14ac:dyDescent="0.2">
      <c r="A4139" s="5">
        <v>4078</v>
      </c>
      <c r="B4139" s="138">
        <f>'Acct Summary 7-8'!F19</f>
        <v>3653046</v>
      </c>
      <c r="C4139" s="2" t="s">
        <v>593</v>
      </c>
      <c r="D4139" s="2" t="str">
        <f t="shared" si="63"/>
        <v>Error?</v>
      </c>
    </row>
    <row r="4140" spans="1:4" x14ac:dyDescent="0.2">
      <c r="A4140" s="5">
        <v>4079</v>
      </c>
      <c r="B4140" s="138">
        <f>'Acct Summary 7-8'!G19</f>
        <v>3169494</v>
      </c>
      <c r="C4140" s="2" t="s">
        <v>593</v>
      </c>
      <c r="D4140" s="2" t="str">
        <f t="shared" si="63"/>
        <v>Error?</v>
      </c>
    </row>
    <row r="4141" spans="1:4" x14ac:dyDescent="0.2">
      <c r="A4141" s="5">
        <v>4080</v>
      </c>
      <c r="B4141" s="138">
        <f>'Acct Summary 7-8'!H19</f>
        <v>27463953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879482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93414892</v>
      </c>
      <c r="C4171" s="2" t="s">
        <v>593</v>
      </c>
      <c r="D4171" s="2" t="str">
        <f t="shared" si="64"/>
        <v>Error?</v>
      </c>
    </row>
    <row r="4172" spans="1:4" x14ac:dyDescent="0.2">
      <c r="A4172" s="5">
        <v>4111</v>
      </c>
      <c r="B4172" s="138">
        <f>'Short-Term Long-Term Debt 24'!J49</f>
        <v>92291043</v>
      </c>
      <c r="C4172" s="2" t="s">
        <v>593</v>
      </c>
      <c r="D4172" s="2" t="str">
        <f t="shared" si="64"/>
        <v>Error?</v>
      </c>
    </row>
    <row r="4173" spans="1:4" x14ac:dyDescent="0.2">
      <c r="A4173" s="5">
        <v>4112</v>
      </c>
      <c r="B4173" s="138">
        <f>'Short-Term Long-Term Debt 24'!H49</f>
        <v>3675643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2540</v>
      </c>
      <c r="C4268" s="2" t="s">
        <v>593</v>
      </c>
      <c r="D4268" s="2" t="str">
        <f t="shared" si="65"/>
        <v>Error?</v>
      </c>
    </row>
    <row r="4269" spans="1:5" x14ac:dyDescent="0.2">
      <c r="A4269" s="12">
        <v>4208</v>
      </c>
      <c r="B4269" s="138">
        <f>'FP Info 3'!J16</f>
        <v>8800025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5978</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54304</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240483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788902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262521</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262521</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3495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155547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118738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285932</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908290482</v>
      </c>
      <c r="D4995" s="2" t="str">
        <f t="shared" si="77"/>
        <v>Error?</v>
      </c>
    </row>
    <row r="4996" spans="1:4" x14ac:dyDescent="0.2">
      <c r="A4996" s="12">
        <v>4935</v>
      </c>
      <c r="B4996" s="138">
        <f>'FP Info 3'!H31</f>
        <v>125344086.51600002</v>
      </c>
      <c r="D4996" s="2" t="str">
        <f t="shared" si="77"/>
        <v>Error?</v>
      </c>
    </row>
    <row r="4997" spans="1:4" x14ac:dyDescent="0.2">
      <c r="A4997" s="12">
        <v>4936</v>
      </c>
      <c r="B4997" s="138">
        <f>'FP Info 3'!H37</f>
        <v>93414892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263557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16164836</v>
      </c>
      <c r="D5061" s="2" t="str">
        <f t="shared" si="78"/>
        <v>Error?</v>
      </c>
    </row>
    <row r="5062" spans="1:4" x14ac:dyDescent="0.2">
      <c r="A5062" s="10">
        <v>5001</v>
      </c>
      <c r="D5062" s="2" t="str">
        <f t="shared" si="78"/>
        <v>OK</v>
      </c>
    </row>
    <row r="5063" spans="1:4" x14ac:dyDescent="0.2">
      <c r="A5063" s="5">
        <v>5002</v>
      </c>
      <c r="B5063" s="138">
        <f>'Revenues 9-14'!C7</f>
        <v>351409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16779802</v>
      </c>
      <c r="C5066" s="2" t="s">
        <v>593</v>
      </c>
      <c r="D5066" s="2" t="str">
        <f t="shared" si="78"/>
        <v>Error?</v>
      </c>
    </row>
    <row r="5067" spans="1:4" x14ac:dyDescent="0.2">
      <c r="A5067" s="5">
        <v>5006</v>
      </c>
      <c r="B5067" s="138">
        <f>'Revenues 9-14'!C14</f>
        <v>20115</v>
      </c>
      <c r="D5067" s="2" t="str">
        <f t="shared" si="78"/>
        <v>Error?</v>
      </c>
    </row>
    <row r="5068" spans="1:4" x14ac:dyDescent="0.2">
      <c r="A5068" s="5">
        <v>5007</v>
      </c>
      <c r="B5068" s="138">
        <f>'Revenues 9-14'!C15</f>
        <v>11498</v>
      </c>
      <c r="D5068" s="2" t="str">
        <f t="shared" si="78"/>
        <v>Error?</v>
      </c>
    </row>
    <row r="5069" spans="1:4" x14ac:dyDescent="0.2">
      <c r="A5069" s="5">
        <v>5008</v>
      </c>
      <c r="B5069" s="138">
        <f>'Revenues 9-14'!C16</f>
        <v>3614727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3646340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20852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104942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13590</v>
      </c>
      <c r="D5086" s="2" t="str">
        <f t="shared" si="78"/>
        <v>Error?</v>
      </c>
    </row>
    <row r="5087" spans="1:4" x14ac:dyDescent="0.2">
      <c r="A5087" s="5">
        <v>5026</v>
      </c>
      <c r="B5087" s="138">
        <f>'Revenues 9-14'!C40</f>
        <v>139384</v>
      </c>
      <c r="C5087" s="2" t="s">
        <v>593</v>
      </c>
      <c r="D5087" s="2" t="str">
        <f t="shared" si="78"/>
        <v>Error?</v>
      </c>
    </row>
    <row r="5088" spans="1:4" x14ac:dyDescent="0.2">
      <c r="A5088" s="5">
        <v>5027</v>
      </c>
      <c r="B5088" s="138">
        <f>'Revenues 9-14'!C65</f>
        <v>50722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50722</v>
      </c>
      <c r="C5090" s="2" t="s">
        <v>593</v>
      </c>
      <c r="D5090" s="2" t="str">
        <f t="shared" si="78"/>
        <v>Error?</v>
      </c>
    </row>
    <row r="5091" spans="1:4" x14ac:dyDescent="0.2">
      <c r="A5091" s="5">
        <v>5030</v>
      </c>
      <c r="B5091" s="138">
        <f>'Revenues 9-14'!C70</f>
        <v>48328</v>
      </c>
      <c r="D5091" s="2" t="str">
        <f t="shared" si="78"/>
        <v>Error?</v>
      </c>
    </row>
    <row r="5092" spans="1:4" x14ac:dyDescent="0.2">
      <c r="A5092" s="5">
        <v>5031</v>
      </c>
      <c r="B5092" s="138">
        <f>'Revenues 9-14'!C71</f>
        <v>445602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36123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1012944</v>
      </c>
      <c r="C5096" s="2" t="s">
        <v>593</v>
      </c>
      <c r="D5096" s="2" t="str">
        <f t="shared" si="78"/>
        <v>Error?</v>
      </c>
    </row>
    <row r="5097" spans="1:4" x14ac:dyDescent="0.2">
      <c r="A5097" s="5">
        <v>5036</v>
      </c>
      <c r="B5097" s="138">
        <f>'Revenues 9-14'!C77</f>
        <v>176624</v>
      </c>
      <c r="D5097" s="2" t="str">
        <f t="shared" si="78"/>
        <v>Error?</v>
      </c>
    </row>
    <row r="5098" spans="1:4" x14ac:dyDescent="0.2">
      <c r="A5098" s="5">
        <v>5037</v>
      </c>
      <c r="B5098" s="138">
        <f>'Revenues 9-14'!C78</f>
        <v>46000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57319</v>
      </c>
      <c r="D5101" s="2" t="str">
        <f t="shared" si="78"/>
        <v>Error?</v>
      </c>
    </row>
    <row r="5102" spans="1:4" x14ac:dyDescent="0.2">
      <c r="A5102" s="5">
        <v>5041</v>
      </c>
      <c r="B5102" s="138">
        <f>'Revenues 9-14'!C82</f>
        <v>279943</v>
      </c>
      <c r="C5102" s="2" t="s">
        <v>593</v>
      </c>
      <c r="D5102" s="2" t="str">
        <f t="shared" si="78"/>
        <v>Error?</v>
      </c>
    </row>
    <row r="5103" spans="1:4" x14ac:dyDescent="0.2">
      <c r="A5103" s="5">
        <v>5042</v>
      </c>
      <c r="B5103" s="138">
        <f>'Revenues 9-14'!C84</f>
        <v>226790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226790</v>
      </c>
      <c r="C5112" s="2" t="s">
        <v>593</v>
      </c>
      <c r="D5112" s="2" t="str">
        <f t="shared" si="78"/>
        <v>Error?</v>
      </c>
    </row>
    <row r="5113" spans="1:4" x14ac:dyDescent="0.2">
      <c r="A5113" s="5">
        <v>5052</v>
      </c>
      <c r="B5113" s="138">
        <f>'Revenues 9-14'!C95</f>
        <v>4570</v>
      </c>
      <c r="D5113" s="2" t="str">
        <f t="shared" si="78"/>
        <v>Error?</v>
      </c>
    </row>
    <row r="5114" spans="1:4" x14ac:dyDescent="0.2">
      <c r="A5114" s="5">
        <v>5053</v>
      </c>
      <c r="B5114" s="138">
        <f>'Revenues 9-14'!C96</f>
        <v>888361</v>
      </c>
      <c r="D5114" s="2" t="str">
        <f t="shared" si="78"/>
        <v>Error?</v>
      </c>
    </row>
    <row r="5115" spans="1:4" x14ac:dyDescent="0.2">
      <c r="A5115" s="5">
        <v>5054</v>
      </c>
      <c r="B5115" s="138">
        <f>'Revenues 9-14'!C98</f>
        <v>67945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83</v>
      </c>
      <c r="D5118" s="2" t="str">
        <f t="shared" si="78"/>
        <v>Error?</v>
      </c>
    </row>
    <row r="5119" spans="1:4" x14ac:dyDescent="0.2">
      <c r="A5119" s="5">
        <v>5058</v>
      </c>
      <c r="B5119" s="138">
        <f>'Revenues 9-14'!C107</f>
        <v>641294</v>
      </c>
      <c r="D5119" s="2" t="str">
        <f t="shared" ref="D5119:D5182" si="79">IF(ISBLANK(B5119),"OK",IF(A5119-B5119=0,"OK","Error?"))</f>
        <v>Error?</v>
      </c>
    </row>
    <row r="5120" spans="1:4" x14ac:dyDescent="0.2">
      <c r="A5120" s="5">
        <v>5059</v>
      </c>
      <c r="B5120" s="138">
        <f>'Revenues 9-14'!C108</f>
        <v>1661020</v>
      </c>
      <c r="C5120" s="2" t="s">
        <v>593</v>
      </c>
      <c r="D5120" s="2" t="str">
        <f t="shared" si="79"/>
        <v>Error?</v>
      </c>
    </row>
    <row r="5121" spans="1:4" x14ac:dyDescent="0.2">
      <c r="A5121" s="5">
        <v>5060</v>
      </c>
      <c r="B5121" s="138">
        <f>'Revenues 9-14'!C109</f>
        <v>23796945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15204795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15490727</v>
      </c>
      <c r="C5132" s="2" t="s">
        <v>593</v>
      </c>
      <c r="D5132" s="2" t="str">
        <f t="shared" si="79"/>
        <v>Error?</v>
      </c>
    </row>
    <row r="5133" spans="1:4" x14ac:dyDescent="0.2">
      <c r="A5133" s="5">
        <v>5072</v>
      </c>
      <c r="B5133" s="138">
        <f>'Revenues 9-14'!C124</f>
        <v>1256985</v>
      </c>
      <c r="D5133" s="2" t="str">
        <f t="shared" si="79"/>
        <v>Error?</v>
      </c>
    </row>
    <row r="5134" spans="1:4" x14ac:dyDescent="0.2">
      <c r="A5134" s="5">
        <v>5073</v>
      </c>
      <c r="B5134" s="138">
        <f>'Revenues 9-14'!C125</f>
        <v>442799</v>
      </c>
      <c r="D5134" s="2" t="str">
        <f t="shared" si="79"/>
        <v>Error?</v>
      </c>
    </row>
    <row r="5135" spans="1:4" x14ac:dyDescent="0.2">
      <c r="A5135" s="5">
        <v>5074</v>
      </c>
      <c r="B5135" s="138">
        <f>'Revenues 9-14'!C126</f>
        <v>699317</v>
      </c>
      <c r="D5135" s="2" t="str">
        <f t="shared" si="79"/>
        <v>Error?</v>
      </c>
    </row>
    <row r="5136" spans="1:4" x14ac:dyDescent="0.2">
      <c r="A5136" s="10">
        <v>5075</v>
      </c>
      <c r="D5136" s="2" t="str">
        <f t="shared" si="79"/>
        <v>OK</v>
      </c>
    </row>
    <row r="5137" spans="1:4" x14ac:dyDescent="0.2">
      <c r="A5137" s="5">
        <v>5076</v>
      </c>
      <c r="B5137" s="138">
        <f>'Revenues 9-14'!C127</f>
        <v>326314</v>
      </c>
      <c r="D5137" s="2" t="str">
        <f t="shared" si="79"/>
        <v>Error?</v>
      </c>
    </row>
    <row r="5138" spans="1:4" x14ac:dyDescent="0.2">
      <c r="A5138" s="10">
        <v>5077</v>
      </c>
      <c r="D5138" s="2" t="str">
        <f t="shared" si="79"/>
        <v>OK</v>
      </c>
    </row>
    <row r="5139" spans="1:4" x14ac:dyDescent="0.2">
      <c r="A5139" s="5">
        <v>5078</v>
      </c>
      <c r="B5139" s="138">
        <f>'Revenues 9-14'!C128</f>
        <v>75137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6495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2813025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5000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34605</v>
      </c>
      <c r="D5167" s="2" t="str">
        <f t="shared" si="79"/>
        <v>Error?</v>
      </c>
    </row>
    <row r="5168" spans="1:4" x14ac:dyDescent="0.2">
      <c r="A5168" s="5">
        <v>5107</v>
      </c>
      <c r="B5168" s="138">
        <f>'Revenues 9-14'!C147</f>
        <v>75733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127257</v>
      </c>
      <c r="D5194" s="2" t="str">
        <f t="shared" si="80"/>
        <v>Error?</v>
      </c>
    </row>
    <row r="5195" spans="1:4" x14ac:dyDescent="0.2">
      <c r="A5195" s="10">
        <v>5134</v>
      </c>
      <c r="D5195" s="2" t="str">
        <f t="shared" si="80"/>
        <v>OK</v>
      </c>
    </row>
    <row r="5196" spans="1:4" x14ac:dyDescent="0.2">
      <c r="A5196" s="5">
        <v>5135</v>
      </c>
      <c r="B5196" s="138">
        <f>'Revenues 9-14'!C158</f>
        <v>837510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4048677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19539404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1909675</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1909675</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1682620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544599</v>
      </c>
      <c r="D5241" s="2" t="str">
        <f t="shared" si="80"/>
        <v>Error?</v>
      </c>
    </row>
    <row r="5242" spans="1:4" x14ac:dyDescent="0.2">
      <c r="A5242" s="5">
        <v>5181</v>
      </c>
      <c r="B5242" s="138">
        <f>'Revenues 9-14'!C197</f>
        <v>64823</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2292042</v>
      </c>
      <c r="C5246" s="2" t="s">
        <v>593</v>
      </c>
      <c r="D5246" s="2" t="str">
        <f t="shared" si="80"/>
        <v>Error?</v>
      </c>
    </row>
    <row r="5247" spans="1:4" x14ac:dyDescent="0.2">
      <c r="A5247" s="5">
        <v>5186</v>
      </c>
      <c r="B5247" s="138">
        <f>'Revenues 9-14'!C203</f>
        <v>1893299</v>
      </c>
      <c r="D5247" s="2" t="str">
        <f t="shared" ref="D5247:D5310" si="81">IF(ISBLANK(B5247),"OK",IF(A5247-B5247=0,"OK","Error?"))</f>
        <v>Error?</v>
      </c>
    </row>
    <row r="5248" spans="1:4" x14ac:dyDescent="0.2">
      <c r="A5248" s="5">
        <v>5187</v>
      </c>
      <c r="B5248" s="138">
        <f>'Revenues 9-14'!C204</f>
        <v>61706</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2009309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95486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948555</v>
      </c>
      <c r="D5278" s="2" t="str">
        <f t="shared" si="81"/>
        <v>Error?</v>
      </c>
    </row>
    <row r="5279" spans="1:4" x14ac:dyDescent="0.2">
      <c r="A5279" s="5">
        <v>5218</v>
      </c>
      <c r="B5279" s="138">
        <f>'Revenues 9-14'!C221</f>
        <v>302240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1346281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7061771</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8971446</v>
      </c>
      <c r="C5326" s="2" t="s">
        <v>593</v>
      </c>
      <c r="D5326" s="2" t="str">
        <f t="shared" si="82"/>
        <v>Error?</v>
      </c>
    </row>
    <row r="5327" spans="1:4" x14ac:dyDescent="0.2">
      <c r="A5327" s="5">
        <v>5266</v>
      </c>
      <c r="B5327" s="138">
        <f>'Revenues 9-14'!C275</f>
        <v>52307795</v>
      </c>
      <c r="C5327" s="2" t="s">
        <v>593</v>
      </c>
      <c r="D5327" s="2" t="str">
        <f t="shared" si="82"/>
        <v>Error?</v>
      </c>
    </row>
    <row r="5328" spans="1:4" x14ac:dyDescent="0.2">
      <c r="A5328" s="5">
        <v>5267</v>
      </c>
      <c r="B5328" s="138">
        <f>'Revenues 9-14'!D5</f>
        <v>4392609</v>
      </c>
      <c r="D5328" s="2" t="str">
        <f t="shared" si="82"/>
        <v>Error?</v>
      </c>
    </row>
    <row r="5329" spans="1:4" x14ac:dyDescent="0.2">
      <c r="A5329" s="10">
        <v>5268</v>
      </c>
      <c r="D5329" s="2" t="str">
        <f t="shared" si="82"/>
        <v>OK</v>
      </c>
    </row>
    <row r="5330" spans="1:4" x14ac:dyDescent="0.2">
      <c r="A5330" s="5">
        <v>5269</v>
      </c>
      <c r="B5330" s="138">
        <f>'Revenues 9-14'!D6</f>
        <v>175704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4568313</v>
      </c>
      <c r="C5334" s="2" t="s">
        <v>593</v>
      </c>
      <c r="D5334" s="2" t="str">
        <f t="shared" si="82"/>
        <v>Error?</v>
      </c>
    </row>
    <row r="5335" spans="1:4" x14ac:dyDescent="0.2">
      <c r="A5335" s="5">
        <v>5274</v>
      </c>
      <c r="B5335" s="138">
        <f>'Revenues 9-14'!D14</f>
        <v>5211</v>
      </c>
      <c r="D5335" s="2" t="str">
        <f t="shared" si="82"/>
        <v>Error?</v>
      </c>
    </row>
    <row r="5336" spans="1:4" x14ac:dyDescent="0.2">
      <c r="A5336" s="5">
        <v>5275</v>
      </c>
      <c r="B5336" s="138">
        <f>'Revenues 9-14'!D15</f>
        <v>3131</v>
      </c>
      <c r="D5336" s="2" t="str">
        <f t="shared" si="82"/>
        <v>Error?</v>
      </c>
    </row>
    <row r="5337" spans="1:4" x14ac:dyDescent="0.2">
      <c r="A5337" s="5">
        <v>5276</v>
      </c>
      <c r="B5337" s="138">
        <f>'Revenues 9-14'!D16</f>
        <v>677761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686103</v>
      </c>
      <c r="C5339" s="2" t="s">
        <v>593</v>
      </c>
      <c r="D5339" s="2" t="str">
        <f t="shared" si="82"/>
        <v>Error?</v>
      </c>
    </row>
    <row r="5340" spans="1:4" x14ac:dyDescent="0.2">
      <c r="A5340" s="5">
        <v>5279</v>
      </c>
      <c r="B5340" s="138">
        <f>'Revenues 9-14'!D65</f>
        <v>14275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14275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31828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202890</v>
      </c>
      <c r="D5354" s="2" t="str">
        <f t="shared" si="82"/>
        <v>Error?</v>
      </c>
    </row>
    <row r="5355" spans="1:4" x14ac:dyDescent="0.2">
      <c r="A5355" s="5">
        <v>5294</v>
      </c>
      <c r="B5355" s="138">
        <f>'Revenues 9-14'!D108</f>
        <v>234718</v>
      </c>
      <c r="C5355" s="2" t="s">
        <v>593</v>
      </c>
      <c r="D5355" s="2" t="str">
        <f t="shared" si="82"/>
        <v>Error?</v>
      </c>
    </row>
    <row r="5356" spans="1:4" x14ac:dyDescent="0.2">
      <c r="A5356" s="5">
        <v>5295</v>
      </c>
      <c r="B5356" s="138">
        <f>'Revenues 9-14'!D109</f>
        <v>5503409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5603409</v>
      </c>
      <c r="C5508" s="2" t="s">
        <v>593</v>
      </c>
      <c r="D5508" s="2" t="str">
        <f t="shared" si="85"/>
        <v>Error?</v>
      </c>
    </row>
    <row r="5509" spans="1:4" x14ac:dyDescent="0.2">
      <c r="A5509" s="5">
        <v>5448</v>
      </c>
      <c r="B5509" s="138">
        <f>'Revenues 9-14'!E5</f>
        <v>5575076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5575076</v>
      </c>
      <c r="C5513" s="2" t="s">
        <v>593</v>
      </c>
      <c r="D5513" s="2" t="str">
        <f t="shared" si="85"/>
        <v>Error?</v>
      </c>
    </row>
    <row r="5514" spans="1:4" x14ac:dyDescent="0.2">
      <c r="A5514" s="5">
        <v>5453</v>
      </c>
      <c r="B5514" s="138">
        <f>'Revenues 9-14'!E14</f>
        <v>500</v>
      </c>
      <c r="D5514" s="2" t="str">
        <f t="shared" si="85"/>
        <v>Error?</v>
      </c>
    </row>
    <row r="5515" spans="1:4" x14ac:dyDescent="0.2">
      <c r="A5515" s="5">
        <v>5454</v>
      </c>
      <c r="B5515" s="138">
        <f>'Revenues 9-14'!E15</f>
        <v>3816</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4316</v>
      </c>
      <c r="C5518" s="2" t="s">
        <v>593</v>
      </c>
      <c r="D5518" s="2" t="str">
        <f t="shared" si="85"/>
        <v>Error?</v>
      </c>
    </row>
    <row r="5519" spans="1:4" x14ac:dyDescent="0.2">
      <c r="A5519" s="5">
        <v>5458</v>
      </c>
      <c r="B5519" s="138">
        <f>'Revenues 9-14'!E65</f>
        <v>19353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19353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5598745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5598745</v>
      </c>
      <c r="C5552" s="2" t="s">
        <v>593</v>
      </c>
      <c r="D5552" s="2" t="str">
        <f t="shared" si="85"/>
        <v>Error?</v>
      </c>
    </row>
    <row r="5553" spans="1:4" x14ac:dyDescent="0.2">
      <c r="A5553" s="5">
        <v>5492</v>
      </c>
      <c r="B5553" s="138">
        <f>'Revenues 9-14'!F5</f>
        <v>1757044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1757044</v>
      </c>
      <c r="C5557" s="2" t="s">
        <v>593</v>
      </c>
      <c r="D5557" s="2" t="str">
        <f t="shared" si="85"/>
        <v>Error?</v>
      </c>
    </row>
    <row r="5558" spans="1:4" x14ac:dyDescent="0.2">
      <c r="A5558" s="5">
        <v>5497</v>
      </c>
      <c r="B5558" s="138">
        <f>'Revenues 9-14'!F14</f>
        <v>2084</v>
      </c>
      <c r="D5558" s="2" t="str">
        <f t="shared" si="85"/>
        <v>Error?</v>
      </c>
    </row>
    <row r="5559" spans="1:4" x14ac:dyDescent="0.2">
      <c r="A5559" s="5">
        <v>5498</v>
      </c>
      <c r="B5559" s="138">
        <f>'Revenues 9-14'!F15</f>
        <v>1204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3288</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159187</v>
      </c>
      <c r="D5565" s="2" t="str">
        <f t="shared" si="85"/>
        <v>Error?</v>
      </c>
    </row>
    <row r="5566" spans="1:4" x14ac:dyDescent="0.2">
      <c r="A5566" s="5">
        <v>5505</v>
      </c>
      <c r="B5566" s="138">
        <f>'Revenues 9-14'!F45</f>
        <v>95561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254748</v>
      </c>
      <c r="C5579" s="2" t="s">
        <v>593</v>
      </c>
      <c r="D5579" s="2" t="str">
        <f t="shared" si="86"/>
        <v>Error?</v>
      </c>
    </row>
    <row r="5580" spans="1:4" x14ac:dyDescent="0.2">
      <c r="A5580" s="5">
        <v>5519</v>
      </c>
      <c r="B5580" s="138">
        <f>'Revenues 9-14'!F65</f>
        <v>6258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6258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36162</v>
      </c>
      <c r="D5586" s="2" t="str">
        <f t="shared" si="86"/>
        <v>Error?</v>
      </c>
    </row>
    <row r="5587" spans="1:4" x14ac:dyDescent="0.2">
      <c r="A5587" s="5">
        <v>5526</v>
      </c>
      <c r="B5587" s="138">
        <f>'Revenues 9-14'!F108</f>
        <v>36162</v>
      </c>
      <c r="C5587" s="2" t="s">
        <v>593</v>
      </c>
      <c r="D5587" s="2" t="str">
        <f t="shared" si="86"/>
        <v>Error?</v>
      </c>
    </row>
    <row r="5588" spans="1:4" x14ac:dyDescent="0.2">
      <c r="A5588" s="5">
        <v>5527</v>
      </c>
      <c r="B5588" s="138">
        <f>'Revenues 9-14'!F109</f>
        <v>2057500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200000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1152387</v>
      </c>
      <c r="D5615" s="2" t="str">
        <f t="shared" si="86"/>
        <v>Error?</v>
      </c>
    </row>
    <row r="5616" spans="1:4" x14ac:dyDescent="0.2">
      <c r="A5616" s="10">
        <v>5555</v>
      </c>
      <c r="D5616" s="2" t="str">
        <f t="shared" si="86"/>
        <v>OK</v>
      </c>
    </row>
    <row r="5617" spans="1:4" x14ac:dyDescent="0.2">
      <c r="A5617" s="5">
        <v>5556</v>
      </c>
      <c r="B5617" s="138">
        <f>'Revenues 9-14'!F152</f>
        <v>825784</v>
      </c>
      <c r="D5617" s="2" t="str">
        <f t="shared" si="86"/>
        <v>Error?</v>
      </c>
    </row>
    <row r="5618" spans="1:4" x14ac:dyDescent="0.2">
      <c r="A5618" s="5">
        <v>5557</v>
      </c>
      <c r="B5618" s="138">
        <f>'Revenues 9-14'!F154</f>
        <v>1978171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1978171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2178171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4235671</v>
      </c>
      <c r="C5720" s="2" t="s">
        <v>593</v>
      </c>
      <c r="D5720" s="2" t="str">
        <f t="shared" si="88"/>
        <v>Error?</v>
      </c>
    </row>
    <row r="5721" spans="1:4" x14ac:dyDescent="0.2">
      <c r="A5721" s="5">
        <v>5660</v>
      </c>
      <c r="B5721" s="138">
        <f>'Revenues 9-14'!G5</f>
        <v>1417481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1849893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3267374</v>
      </c>
      <c r="C5725" s="2" t="s">
        <v>593</v>
      </c>
      <c r="D5725" s="2" t="str">
        <f t="shared" si="88"/>
        <v>Error?</v>
      </c>
    </row>
    <row r="5726" spans="1:4" x14ac:dyDescent="0.2">
      <c r="A5726" s="5">
        <v>5665</v>
      </c>
      <c r="B5726" s="138">
        <f>'Revenues 9-14'!G14</f>
        <v>3876</v>
      </c>
      <c r="D5726" s="2" t="str">
        <f t="shared" si="88"/>
        <v>Error?</v>
      </c>
    </row>
    <row r="5727" spans="1:4" x14ac:dyDescent="0.2">
      <c r="A5727" s="5">
        <v>5666</v>
      </c>
      <c r="B5727" s="138">
        <f>'Revenues 9-14'!G15</f>
        <v>2239</v>
      </c>
      <c r="D5727" s="2" t="str">
        <f t="shared" si="88"/>
        <v>Error?</v>
      </c>
    </row>
    <row r="5728" spans="1:4" x14ac:dyDescent="0.2">
      <c r="A5728" s="5">
        <v>5667</v>
      </c>
      <c r="B5728" s="138">
        <f>'Revenues 9-14'!G16</f>
        <v>225921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232036</v>
      </c>
      <c r="C5730" s="2" t="s">
        <v>593</v>
      </c>
      <c r="D5730" s="2" t="str">
        <f t="shared" si="88"/>
        <v>Error?</v>
      </c>
    </row>
    <row r="5731" spans="1:4" x14ac:dyDescent="0.2">
      <c r="A5731" s="5">
        <v>5670</v>
      </c>
      <c r="B5731" s="138">
        <f>'Revenues 9-14'!G65</f>
        <v>40941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40941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3540351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163909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163909</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11500</v>
      </c>
      <c r="D5885" s="2" t="str">
        <f t="shared" si="90"/>
        <v>Error?</v>
      </c>
    </row>
    <row r="5886" spans="1:4" x14ac:dyDescent="0.2">
      <c r="A5886" s="5">
        <v>5825</v>
      </c>
      <c r="B5886" s="138">
        <f>'Revenues 9-14'!H108</f>
        <v>11500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175409</v>
      </c>
      <c r="C5915" s="2" t="s">
        <v>593</v>
      </c>
      <c r="D5915" s="2" t="str">
        <f t="shared" si="91"/>
        <v>Error?</v>
      </c>
    </row>
    <row r="5916" spans="1:4" x14ac:dyDescent="0.2">
      <c r="A5916" s="5">
        <v>5855</v>
      </c>
      <c r="B5916" s="138">
        <f>'Revenues 9-14'!I5</f>
        <v>439261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439261</v>
      </c>
      <c r="C5918" s="2" t="s">
        <v>593</v>
      </c>
      <c r="D5918" s="2" t="str">
        <f t="shared" si="91"/>
        <v>Error?</v>
      </c>
    </row>
    <row r="5919" spans="1:4" x14ac:dyDescent="0.2">
      <c r="A5919" s="5">
        <v>5858</v>
      </c>
      <c r="B5919" s="138">
        <f>'Revenues 9-14'!I14</f>
        <v>521</v>
      </c>
      <c r="D5919" s="2" t="str">
        <f t="shared" si="91"/>
        <v>Error?</v>
      </c>
    </row>
    <row r="5920" spans="1:4" x14ac:dyDescent="0.2">
      <c r="A5920" s="5">
        <v>5859</v>
      </c>
      <c r="B5920" s="138">
        <f>'Revenues 9-14'!I15</f>
        <v>301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822</v>
      </c>
      <c r="C5923" s="2" t="s">
        <v>593</v>
      </c>
      <c r="D5923" s="2" t="str">
        <f t="shared" si="91"/>
        <v>Error?</v>
      </c>
    </row>
    <row r="5924" spans="1:4" x14ac:dyDescent="0.2">
      <c r="A5924" s="5">
        <v>5863</v>
      </c>
      <c r="B5924" s="138">
        <f>'Revenues 9-14'!I65</f>
        <v>31854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31854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471937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439261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439261</v>
      </c>
      <c r="C5987" s="2" t="s">
        <v>593</v>
      </c>
      <c r="D5987" s="2" t="str">
        <f t="shared" si="92"/>
        <v>Error?</v>
      </c>
    </row>
    <row r="5988" spans="1:4" x14ac:dyDescent="0.2">
      <c r="A5988" s="5">
        <v>5927</v>
      </c>
      <c r="B5988" s="138">
        <f>'Revenues 9-14'!K14</f>
        <v>521</v>
      </c>
      <c r="D5988" s="2" t="str">
        <f t="shared" si="92"/>
        <v>Error?</v>
      </c>
    </row>
    <row r="5989" spans="1:4" x14ac:dyDescent="0.2">
      <c r="A5989" s="5">
        <v>5928</v>
      </c>
      <c r="B5989" s="138">
        <f>'Revenues 9-14'!K15</f>
        <v>301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822</v>
      </c>
      <c r="C5992" s="2" t="s">
        <v>593</v>
      </c>
      <c r="D5992" s="2" t="str">
        <f t="shared" si="92"/>
        <v>Error?</v>
      </c>
    </row>
    <row r="5993" spans="1:4" x14ac:dyDescent="0.2">
      <c r="A5993" s="5">
        <v>5932</v>
      </c>
      <c r="B5993" s="138">
        <f>'Revenues 9-14'!K65</f>
        <v>12300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12300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452383</v>
      </c>
      <c r="C6023" s="2" t="s">
        <v>593</v>
      </c>
      <c r="D6023" s="2" t="str">
        <f t="shared" si="93"/>
        <v>Error?</v>
      </c>
    </row>
    <row r="6024" spans="1:5" x14ac:dyDescent="0.2">
      <c r="A6024" s="5">
        <v>5963</v>
      </c>
      <c r="B6024" s="138">
        <f>'Revenues 9-14'!G109</f>
        <v>3540351</v>
      </c>
      <c r="C6024" s="2" t="s">
        <v>593</v>
      </c>
      <c r="D6024" s="2" t="str">
        <f t="shared" si="93"/>
        <v>Error?</v>
      </c>
    </row>
    <row r="6025" spans="1:5" x14ac:dyDescent="0.2">
      <c r="A6025" s="5">
        <v>5964</v>
      </c>
      <c r="B6025" s="138">
        <f>'Revenues 9-14'!H109</f>
        <v>175409</v>
      </c>
      <c r="C6025" s="2" t="s">
        <v>593</v>
      </c>
      <c r="D6025" s="2" t="str">
        <f t="shared" si="93"/>
        <v>Error?</v>
      </c>
    </row>
    <row r="6026" spans="1:5" x14ac:dyDescent="0.2">
      <c r="A6026" s="5">
        <v>5965</v>
      </c>
      <c r="B6026" s="138">
        <f>'Revenues 9-14'!I109</f>
        <v>471937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452383</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482891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301363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5550.47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3272602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3272602</v>
      </c>
      <c r="D6215" s="2" t="str">
        <f t="shared" si="96"/>
        <v>Error?</v>
      </c>
      <c r="E6215" s="2" t="s">
        <v>199</v>
      </c>
    </row>
    <row r="6216" spans="1:5" x14ac:dyDescent="0.2">
      <c r="A6216">
        <v>6155</v>
      </c>
      <c r="B6216" s="138">
        <f>'Assets-Liab 5-6'!J41</f>
        <v>3272602</v>
      </c>
      <c r="D6216" s="2" t="str">
        <f t="shared" si="96"/>
        <v>Error?</v>
      </c>
      <c r="E6216" s="2" t="s">
        <v>199</v>
      </c>
    </row>
    <row r="6217" spans="1:5" x14ac:dyDescent="0.2">
      <c r="A6217">
        <v>6156</v>
      </c>
      <c r="B6217" s="138">
        <f>'Assets-Liab 5-6'!J4</f>
        <v>3272602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2156080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2156080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2156080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2390941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2390941</v>
      </c>
      <c r="D6229" s="2" t="str">
        <f t="shared" si="96"/>
        <v>Error?</v>
      </c>
      <c r="E6229" s="2" t="s">
        <v>199</v>
      </c>
    </row>
    <row r="6230" spans="1:5" x14ac:dyDescent="0.2">
      <c r="A6230">
        <v>6169</v>
      </c>
      <c r="B6230" s="138">
        <f>'Acct Summary 7-8'!J20</f>
        <v>-234861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-234861</v>
      </c>
      <c r="D6263" s="2" t="str">
        <f t="shared" si="96"/>
        <v>Error?</v>
      </c>
      <c r="E6263" s="2" t="s">
        <v>199</v>
      </c>
    </row>
    <row r="6264" spans="1:5" x14ac:dyDescent="0.2">
      <c r="A6264">
        <v>6203</v>
      </c>
      <c r="B6264" s="138">
        <f>'Acct Summary 7-8'!J79</f>
        <v>3507463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3272602</v>
      </c>
      <c r="D6266" s="2" t="str">
        <f t="shared" si="96"/>
        <v>Error?</v>
      </c>
      <c r="E6266" s="2" t="s">
        <v>199</v>
      </c>
    </row>
    <row r="6267" spans="1:5" x14ac:dyDescent="0.2">
      <c r="A6267">
        <v>6206</v>
      </c>
      <c r="B6267" s="138">
        <f>'Acct Summary 7-8'!C82</f>
        <v>2913069</v>
      </c>
      <c r="D6267" s="2" t="str">
        <f t="shared" si="96"/>
        <v>Error?</v>
      </c>
      <c r="E6267" s="2" t="s">
        <v>199</v>
      </c>
    </row>
    <row r="6268" spans="1:5" x14ac:dyDescent="0.2">
      <c r="A6268">
        <v>6207</v>
      </c>
      <c r="B6268" s="138">
        <f>'Acct Summary 7-8'!D82</f>
        <v>531819</v>
      </c>
      <c r="D6268" s="2" t="str">
        <f t="shared" si="96"/>
        <v>Error?</v>
      </c>
      <c r="E6268" s="2" t="s">
        <v>199</v>
      </c>
    </row>
    <row r="6269" spans="1:5" x14ac:dyDescent="0.2">
      <c r="A6269">
        <v>6208</v>
      </c>
      <c r="B6269" s="138">
        <f>'Acct Summary 7-8'!E82</f>
        <v>136020</v>
      </c>
      <c r="D6269" s="2" t="str">
        <f t="shared" si="96"/>
        <v>Error?</v>
      </c>
      <c r="E6269" s="2" t="s">
        <v>199</v>
      </c>
    </row>
    <row r="6270" spans="1:5" x14ac:dyDescent="0.2">
      <c r="A6270">
        <v>6209</v>
      </c>
      <c r="B6270" s="138">
        <f>'Acct Summary 7-8'!F82</f>
        <v>582625</v>
      </c>
      <c r="D6270" s="2" t="str">
        <f t="shared" si="96"/>
        <v>Error?</v>
      </c>
      <c r="E6270" s="2" t="s">
        <v>199</v>
      </c>
    </row>
    <row r="6271" spans="1:5" x14ac:dyDescent="0.2">
      <c r="A6271">
        <v>6210</v>
      </c>
      <c r="B6271" s="138">
        <f>'Acct Summary 7-8'!G82</f>
        <v>370857</v>
      </c>
      <c r="D6271" s="2" t="str">
        <f t="shared" ref="D6271:D6334" si="97">IF(ISBLANK(B6271),"OK",IF(A6271-B6271=0,"OK","Error?"))</f>
        <v>Error?</v>
      </c>
      <c r="E6271" s="2" t="s">
        <v>199</v>
      </c>
    </row>
    <row r="6272" spans="1:5" x14ac:dyDescent="0.2">
      <c r="A6272">
        <v>6211</v>
      </c>
      <c r="B6272" s="138">
        <f>'Acct Summary 7-8'!H82</f>
        <v>-9033878</v>
      </c>
      <c r="D6272" s="2" t="str">
        <f t="shared" si="97"/>
        <v>Error?</v>
      </c>
      <c r="E6272" s="2" t="s">
        <v>199</v>
      </c>
    </row>
    <row r="6273" spans="1:5" x14ac:dyDescent="0.2">
      <c r="A6273">
        <v>6212</v>
      </c>
      <c r="B6273" s="138">
        <f>'Acct Summary 7-8'!I82</f>
        <v>32676</v>
      </c>
      <c r="D6273" s="2" t="str">
        <f t="shared" si="97"/>
        <v>Error?</v>
      </c>
      <c r="E6273" s="2" t="s">
        <v>199</v>
      </c>
    </row>
    <row r="6274" spans="1:5" x14ac:dyDescent="0.2">
      <c r="A6274">
        <v>6213</v>
      </c>
      <c r="B6274" s="138">
        <f>'Acct Summary 7-8'!J82</f>
        <v>-234861</v>
      </c>
      <c r="D6274" s="2" t="str">
        <f t="shared" si="97"/>
        <v>Error?</v>
      </c>
      <c r="E6274" s="2" t="s">
        <v>199</v>
      </c>
    </row>
    <row r="6275" spans="1:5" x14ac:dyDescent="0.2">
      <c r="A6275">
        <v>6214</v>
      </c>
      <c r="B6275" s="138">
        <f>'Acct Summary 7-8'!K82</f>
        <v>2898318</v>
      </c>
      <c r="D6275" s="2" t="str">
        <f t="shared" si="97"/>
        <v>Error?</v>
      </c>
      <c r="E6275" s="2" t="s">
        <v>199</v>
      </c>
    </row>
    <row r="6276" spans="1:5" x14ac:dyDescent="0.2">
      <c r="A6276">
        <v>6215</v>
      </c>
      <c r="B6276" s="138">
        <f>'Acct Summary 7-8'!C83</f>
        <v>0.85895259212955044</v>
      </c>
      <c r="D6276" s="2" t="str">
        <f t="shared" si="97"/>
        <v>Error?</v>
      </c>
      <c r="E6276" s="2" t="s">
        <v>199</v>
      </c>
    </row>
    <row r="6277" spans="1:5" x14ac:dyDescent="0.2">
      <c r="A6277">
        <v>6216</v>
      </c>
      <c r="B6277" s="138">
        <f>'Acct Summary 7-8'!D83</f>
        <v>1.0780646612974829</v>
      </c>
      <c r="D6277" s="2" t="str">
        <f t="shared" si="97"/>
        <v>Error?</v>
      </c>
      <c r="E6277" s="2" t="s">
        <v>199</v>
      </c>
    </row>
    <row r="6278" spans="1:5" x14ac:dyDescent="0.2">
      <c r="A6278">
        <v>6217</v>
      </c>
      <c r="B6278" s="138">
        <f>'Acct Summary 7-8'!E83</f>
        <v>0.12103049431017868</v>
      </c>
      <c r="D6278" s="2" t="str">
        <f t="shared" si="97"/>
        <v>Error?</v>
      </c>
      <c r="E6278" s="2" t="s">
        <v>199</v>
      </c>
    </row>
    <row r="6279" spans="1:5" x14ac:dyDescent="0.2">
      <c r="A6279">
        <v>6218</v>
      </c>
      <c r="B6279" s="138">
        <f>'Acct Summary 7-8'!F83</f>
        <v>1.427393709545439</v>
      </c>
      <c r="D6279" s="2" t="str">
        <f t="shared" si="97"/>
        <v>Error?</v>
      </c>
      <c r="E6279" s="2" t="s">
        <v>199</v>
      </c>
    </row>
    <row r="6280" spans="1:5" x14ac:dyDescent="0.2">
      <c r="A6280">
        <v>6219</v>
      </c>
      <c r="B6280" s="138">
        <f>'Acct Summary 7-8'!G83</f>
        <v>9.3549483173140588E-2</v>
      </c>
      <c r="D6280" s="2" t="str">
        <f t="shared" si="97"/>
        <v>Error?</v>
      </c>
      <c r="E6280" s="2" t="s">
        <v>199</v>
      </c>
    </row>
    <row r="6281" spans="1:5" x14ac:dyDescent="0.2">
      <c r="A6281">
        <v>6220</v>
      </c>
      <c r="B6281" s="138">
        <f>'Acct Summary 7-8'!H83</f>
        <v>-0.33490309384720141</v>
      </c>
      <c r="D6281" s="2" t="str">
        <f t="shared" si="97"/>
        <v>Error?</v>
      </c>
      <c r="E6281" s="2" t="s">
        <v>199</v>
      </c>
    </row>
    <row r="6282" spans="1:5" x14ac:dyDescent="0.2">
      <c r="A6282">
        <v>6221</v>
      </c>
      <c r="B6282" s="138">
        <f>'Acct Summary 7-8'!I83</f>
        <v>7.2498592228033764E-3</v>
      </c>
      <c r="D6282" s="2" t="str">
        <f t="shared" si="97"/>
        <v>Error?</v>
      </c>
      <c r="E6282" s="2" t="s">
        <v>199</v>
      </c>
    </row>
    <row r="6283" spans="1:5" x14ac:dyDescent="0.2">
      <c r="A6283">
        <v>6222</v>
      </c>
      <c r="B6283" s="138">
        <f>'Acct Summary 7-8'!J83</f>
        <v>-7.1765830369840272E-2</v>
      </c>
      <c r="D6283" s="2" t="str">
        <f t="shared" si="97"/>
        <v>Error?</v>
      </c>
      <c r="E6283" s="2" t="s">
        <v>199</v>
      </c>
    </row>
    <row r="6284" spans="1:5" x14ac:dyDescent="0.2">
      <c r="A6284">
        <v>6223</v>
      </c>
      <c r="B6284" s="138">
        <f>'Acct Summary 7-8'!K83</f>
        <v>0.69950335401364194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2125156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2125156</v>
      </c>
      <c r="D6301" s="2" t="str">
        <f t="shared" si="97"/>
        <v>Error?</v>
      </c>
      <c r="E6301" s="2" t="s">
        <v>199</v>
      </c>
    </row>
    <row r="6302" spans="1:5" x14ac:dyDescent="0.2">
      <c r="A6302">
        <v>6241</v>
      </c>
      <c r="B6302" s="138">
        <f>'Revenues 9-14'!J14</f>
        <v>2521</v>
      </c>
      <c r="D6302" s="2" t="str">
        <f t="shared" si="97"/>
        <v>Error?</v>
      </c>
      <c r="E6302" s="2" t="s">
        <v>199</v>
      </c>
    </row>
    <row r="6303" spans="1:5" x14ac:dyDescent="0.2">
      <c r="A6303">
        <v>6242</v>
      </c>
      <c r="B6303" s="138">
        <f>'Revenues 9-14'!J15</f>
        <v>1456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3977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26947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26947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58767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2156080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5000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331142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12686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453110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104499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677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190650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2804059</v>
      </c>
      <c r="D6880" s="2" t="str">
        <f t="shared" si="106"/>
        <v>Error?</v>
      </c>
    </row>
    <row r="6881" spans="1:4" x14ac:dyDescent="0.2">
      <c r="A6881">
        <v>6820</v>
      </c>
      <c r="B6881" s="138">
        <f>'Expenditures 15-22'!K22</f>
        <v>2804059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13363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1129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1129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453</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453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164</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460130</v>
      </c>
      <c r="D6987" s="2" t="str">
        <f t="shared" si="108"/>
        <v>Error?</v>
      </c>
    </row>
    <row r="6988" spans="1:4" x14ac:dyDescent="0.2">
      <c r="A6988">
        <v>6927</v>
      </c>
      <c r="B6988" s="138">
        <f>'Expenditures 15-22'!K88</f>
        <v>460130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460130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15109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409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409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409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2390941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409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2156080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22922</v>
      </c>
      <c r="D7073" s="2" t="str">
        <f t="shared" si="109"/>
        <v>Error?</v>
      </c>
    </row>
    <row r="7074" spans="1:4" x14ac:dyDescent="0.2">
      <c r="A7074">
        <v>7013</v>
      </c>
      <c r="B7074" s="138">
        <f>'Expenditures 15-22'!K216</f>
        <v>22922</v>
      </c>
      <c r="D7074" s="2" t="str">
        <f t="shared" si="109"/>
        <v>Error?</v>
      </c>
    </row>
    <row r="7075" spans="1:4" x14ac:dyDescent="0.2">
      <c r="A7075">
        <v>7014</v>
      </c>
      <c r="B7075" s="138">
        <f>'Expenditures 15-22'!D218</f>
        <v>13538</v>
      </c>
      <c r="D7075" s="2" t="str">
        <f t="shared" si="109"/>
        <v>Error?</v>
      </c>
    </row>
    <row r="7076" spans="1:4" x14ac:dyDescent="0.2">
      <c r="A7076">
        <v>7015</v>
      </c>
      <c r="B7076" s="138">
        <f>'Expenditures 15-22'!K218</f>
        <v>13538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2010</v>
      </c>
      <c r="D7079" s="2" t="str">
        <f t="shared" si="109"/>
        <v>Error?</v>
      </c>
    </row>
    <row r="7080" spans="1:4" x14ac:dyDescent="0.2">
      <c r="A7080">
        <v>7019</v>
      </c>
      <c r="B7080" s="138">
        <f>'Expenditures 15-22'!K226</f>
        <v>2010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4704</v>
      </c>
      <c r="D7093" s="2" t="str">
        <f t="shared" si="109"/>
        <v>Error?</v>
      </c>
    </row>
    <row r="7094" spans="1:4" x14ac:dyDescent="0.2">
      <c r="A7094">
        <v>7033</v>
      </c>
      <c r="B7094" s="138">
        <f>'Expenditures 15-22'!K254</f>
        <v>4704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100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100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100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596828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596828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243102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243102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9172</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9172</v>
      </c>
      <c r="D7171" s="2" t="str">
        <f t="shared" si="111"/>
        <v>Error?</v>
      </c>
    </row>
    <row r="7172" spans="1:4" x14ac:dyDescent="0.2">
      <c r="A7172">
        <v>7111</v>
      </c>
      <c r="B7172" s="138">
        <f>'Expenditures 15-22'!C325</f>
        <v>907071</v>
      </c>
      <c r="D7172" s="2" t="str">
        <f t="shared" si="111"/>
        <v>Error?</v>
      </c>
    </row>
    <row r="7173" spans="1:4" x14ac:dyDescent="0.2">
      <c r="A7173">
        <v>7112</v>
      </c>
      <c r="B7173" s="138">
        <f>'Expenditures 15-22'!D325</f>
        <v>237782</v>
      </c>
      <c r="D7173" s="2" t="str">
        <f t="shared" si="111"/>
        <v>Error?</v>
      </c>
    </row>
    <row r="7174" spans="1:4" x14ac:dyDescent="0.2">
      <c r="A7174">
        <v>7113</v>
      </c>
      <c r="B7174" s="138">
        <f>'Expenditures 15-22'!E325</f>
        <v>290015</v>
      </c>
      <c r="D7174" s="2" t="str">
        <f t="shared" si="111"/>
        <v>Error?</v>
      </c>
    </row>
    <row r="7175" spans="1:4" x14ac:dyDescent="0.2">
      <c r="A7175">
        <v>7114</v>
      </c>
      <c r="B7175" s="138">
        <f>'Expenditures 15-22'!F325</f>
        <v>13825</v>
      </c>
      <c r="D7175" s="2" t="str">
        <f t="shared" si="111"/>
        <v>Error?</v>
      </c>
    </row>
    <row r="7176" spans="1:4" x14ac:dyDescent="0.2">
      <c r="A7176">
        <v>7115</v>
      </c>
      <c r="B7176" s="138">
        <f>'Expenditures 15-22'!G325</f>
        <v>89706</v>
      </c>
      <c r="D7176" s="2" t="str">
        <f t="shared" si="111"/>
        <v>Error?</v>
      </c>
    </row>
    <row r="7177" spans="1:4" x14ac:dyDescent="0.2">
      <c r="A7177">
        <v>7116</v>
      </c>
      <c r="B7177" s="138">
        <f>'Expenditures 15-22'!H325</f>
        <v>600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1538999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907071</v>
      </c>
      <c r="D7199" s="2" t="str">
        <f t="shared" si="111"/>
        <v>Error?</v>
      </c>
    </row>
    <row r="7200" spans="1:4" x14ac:dyDescent="0.2">
      <c r="A7200">
        <v>7139</v>
      </c>
      <c r="B7200" s="138">
        <f>'Expenditures 15-22'!D330</f>
        <v>237782</v>
      </c>
      <c r="D7200" s="2" t="str">
        <f t="shared" si="111"/>
        <v>Error?</v>
      </c>
    </row>
    <row r="7201" spans="1:4" x14ac:dyDescent="0.2">
      <c r="A7201">
        <v>7140</v>
      </c>
      <c r="B7201" s="138">
        <f>'Expenditures 15-22'!E330</f>
        <v>1132785</v>
      </c>
      <c r="D7201" s="2" t="str">
        <f t="shared" si="111"/>
        <v>Error?</v>
      </c>
    </row>
    <row r="7202" spans="1:4" x14ac:dyDescent="0.2">
      <c r="A7202">
        <v>7141</v>
      </c>
      <c r="B7202" s="138">
        <f>'Expenditures 15-22'!F330</f>
        <v>13825</v>
      </c>
      <c r="D7202" s="2" t="str">
        <f t="shared" si="111"/>
        <v>Error?</v>
      </c>
    </row>
    <row r="7203" spans="1:4" x14ac:dyDescent="0.2">
      <c r="A7203">
        <v>7142</v>
      </c>
      <c r="B7203" s="138">
        <f>'Expenditures 15-22'!G330</f>
        <v>89706</v>
      </c>
      <c r="D7203" s="2" t="str">
        <f t="shared" si="111"/>
        <v>Error?</v>
      </c>
    </row>
    <row r="7204" spans="1:4" x14ac:dyDescent="0.2">
      <c r="A7204">
        <v>7143</v>
      </c>
      <c r="B7204" s="138">
        <f>'Expenditures 15-22'!H330</f>
        <v>9772</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2390941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907071</v>
      </c>
      <c r="D7216" s="2" t="str">
        <f t="shared" si="111"/>
        <v>Error?</v>
      </c>
    </row>
    <row r="7217" spans="1:4" x14ac:dyDescent="0.2">
      <c r="A7217">
        <v>7156</v>
      </c>
      <c r="B7217" s="138">
        <f>'Expenditures 15-22'!D342</f>
        <v>237782</v>
      </c>
      <c r="D7217" s="2" t="str">
        <f t="shared" si="111"/>
        <v>Error?</v>
      </c>
    </row>
    <row r="7218" spans="1:4" x14ac:dyDescent="0.2">
      <c r="A7218">
        <v>7157</v>
      </c>
      <c r="B7218" s="138">
        <f>'Expenditures 15-22'!E342</f>
        <v>1132785</v>
      </c>
      <c r="D7218" s="2" t="str">
        <f t="shared" si="111"/>
        <v>Error?</v>
      </c>
    </row>
    <row r="7219" spans="1:4" x14ac:dyDescent="0.2">
      <c r="A7219">
        <v>7158</v>
      </c>
      <c r="B7219" s="138">
        <f>'Expenditures 15-22'!F342</f>
        <v>13825</v>
      </c>
      <c r="D7219" s="2" t="str">
        <f t="shared" si="111"/>
        <v>Error?</v>
      </c>
    </row>
    <row r="7220" spans="1:4" x14ac:dyDescent="0.2">
      <c r="A7220">
        <v>7159</v>
      </c>
      <c r="B7220" s="138">
        <f>'Expenditures 15-22'!G342</f>
        <v>89706</v>
      </c>
      <c r="D7220" s="2" t="str">
        <f t="shared" si="111"/>
        <v>Error?</v>
      </c>
    </row>
    <row r="7221" spans="1:4" x14ac:dyDescent="0.2">
      <c r="A7221">
        <v>7160</v>
      </c>
      <c r="B7221" s="138">
        <f>'Expenditures 15-22'!H342</f>
        <v>9772</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2390941</v>
      </c>
      <c r="D7224" s="2" t="str">
        <f t="shared" si="111"/>
        <v>Error?</v>
      </c>
    </row>
    <row r="7225" spans="1:4" x14ac:dyDescent="0.2">
      <c r="A7225">
        <v>7164</v>
      </c>
      <c r="B7225" s="138">
        <f>'Expenditures 15-22'!K343</f>
        <v>-234861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64835</v>
      </c>
      <c r="D7246" s="2" t="str">
        <f t="shared" si="112"/>
        <v>Error?</v>
      </c>
    </row>
    <row r="7247" spans="1:4" x14ac:dyDescent="0.2">
      <c r="A7247">
        <f t="shared" si="113"/>
        <v>7186</v>
      </c>
      <c r="B7247" s="138">
        <f>'Expenditures 15-22'!E7</f>
        <v>4000</v>
      </c>
      <c r="D7247" s="2" t="str">
        <f t="shared" si="112"/>
        <v>Error?</v>
      </c>
    </row>
    <row r="7248" spans="1:4" x14ac:dyDescent="0.2">
      <c r="A7248">
        <f t="shared" si="113"/>
        <v>7187</v>
      </c>
      <c r="B7248" s="138">
        <f>'Expenditures 15-22'!F7</f>
        <v>47253</v>
      </c>
      <c r="D7248" s="2" t="str">
        <f t="shared" si="112"/>
        <v>Error?</v>
      </c>
    </row>
    <row r="7249" spans="1:4" x14ac:dyDescent="0.2">
      <c r="A7249">
        <f t="shared" si="113"/>
        <v>7188</v>
      </c>
      <c r="B7249" s="138">
        <f>'Expenditures 15-22'!G7</f>
        <v>5880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78071</v>
      </c>
      <c r="D7251" s="2" t="str">
        <f t="shared" si="112"/>
        <v>Error?</v>
      </c>
    </row>
    <row r="7252" spans="1:4" x14ac:dyDescent="0.2">
      <c r="A7252">
        <f t="shared" si="113"/>
        <v>7191</v>
      </c>
      <c r="B7252" s="138">
        <f>'Expenditures 15-22'!D9</f>
        <v>26428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146672</v>
      </c>
      <c r="D7263" s="2" t="str">
        <f t="shared" si="112"/>
        <v>Error?</v>
      </c>
    </row>
    <row r="7264" spans="1:4" x14ac:dyDescent="0.2">
      <c r="A7264">
        <f t="shared" si="113"/>
        <v>7203</v>
      </c>
      <c r="B7264" s="138">
        <f>'Expenditures 15-22'!D17</f>
        <v>23020</v>
      </c>
      <c r="D7264" s="2" t="str">
        <f t="shared" si="112"/>
        <v>Error?</v>
      </c>
    </row>
    <row r="7265" spans="1:5" x14ac:dyDescent="0.2">
      <c r="A7265">
        <f t="shared" si="113"/>
        <v>7204</v>
      </c>
      <c r="B7265" s="138">
        <f>'Expenditures 15-22'!E17</f>
        <v>15874</v>
      </c>
      <c r="D7265" s="2" t="str">
        <f t="shared" si="112"/>
        <v>Error?</v>
      </c>
    </row>
    <row r="7266" spans="1:5" x14ac:dyDescent="0.2">
      <c r="A7266">
        <f t="shared" si="113"/>
        <v>7205</v>
      </c>
      <c r="B7266" s="138">
        <f>'Expenditures 15-22'!F17</f>
        <v>5084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4925</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4925</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821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821</v>
      </c>
      <c r="D7622" s="2" t="str">
        <f t="shared" si="124"/>
        <v>Error?</v>
      </c>
      <c r="E7622" s="2" t="s">
        <v>19</v>
      </c>
    </row>
    <row r="7623" spans="1:5" x14ac:dyDescent="0.2">
      <c r="A7623">
        <f t="shared" si="123"/>
        <v>7562</v>
      </c>
      <c r="B7623" s="138">
        <f>'Cap Outlay Deprec 26'!L14</f>
        <v>4104</v>
      </c>
      <c r="D7623" s="2" t="str">
        <f t="shared" si="124"/>
        <v>Error?</v>
      </c>
      <c r="E7623" s="2" t="s">
        <v>19</v>
      </c>
    </row>
    <row r="7624" spans="1:5" x14ac:dyDescent="0.2">
      <c r="A7624">
        <f t="shared" si="123"/>
        <v>7563</v>
      </c>
      <c r="B7624" s="138">
        <f>'Cap Outlay Deprec 26'!F17</f>
        <v>15618</v>
      </c>
      <c r="D7624" s="2" t="str">
        <f t="shared" si="124"/>
        <v>Error?</v>
      </c>
      <c r="E7624" s="2" t="s">
        <v>19</v>
      </c>
    </row>
    <row r="7625" spans="1:5" x14ac:dyDescent="0.2">
      <c r="A7625">
        <f t="shared" si="123"/>
        <v>7564</v>
      </c>
      <c r="B7625" s="138">
        <f>'Cap Outlay Deprec 26'!I17</f>
        <v>1561.8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2548368.7999999998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58767</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75733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134500</v>
      </c>
      <c r="D7719" s="2" t="str">
        <f t="shared" si="126"/>
        <v>Error?</v>
      </c>
      <c r="E7719" s="2" t="s">
        <v>880</v>
      </c>
    </row>
    <row r="7720" spans="1:6" x14ac:dyDescent="0.2">
      <c r="A7720">
        <v>7659</v>
      </c>
      <c r="B7720" s="138">
        <f>'Rest Tax Levies-Tort Im 25'!H14</f>
        <v>351574</v>
      </c>
      <c r="D7720" s="2" t="str">
        <f t="shared" si="126"/>
        <v>Error?</v>
      </c>
      <c r="E7720" s="2" t="s">
        <v>880</v>
      </c>
    </row>
    <row r="7721" spans="1:6" x14ac:dyDescent="0.2">
      <c r="A7721">
        <v>7660</v>
      </c>
      <c r="B7721" s="138">
        <f>'Rest Tax Levies-Tort Im 25'!K14</f>
        <v>134500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439261</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184613</v>
      </c>
      <c r="D7797" s="2" t="str">
        <f t="shared" si="127"/>
        <v>Error?</v>
      </c>
      <c r="E7797" s="4" t="s">
        <v>2016</v>
      </c>
    </row>
    <row r="7798" spans="1:5" x14ac:dyDescent="0.2">
      <c r="A7798">
        <v>7737</v>
      </c>
      <c r="B7798" s="138">
        <f>'Contracts Paid in CY 29'!F141</f>
        <v>51440</v>
      </c>
      <c r="D7798" s="2" t="str">
        <f t="shared" si="127"/>
        <v>Error?</v>
      </c>
      <c r="E7798" s="4" t="s">
        <v>2016</v>
      </c>
    </row>
    <row r="7799" spans="1:5" x14ac:dyDescent="0.2">
      <c r="A7799">
        <v>7738</v>
      </c>
      <c r="B7799" s="138">
        <f>'Contracts Paid in CY 29'!G141</f>
        <v>131750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9" t="s">
        <v>1252</v>
      </c>
      <c r="B2" s="2429"/>
      <c r="C2" s="2429"/>
      <c r="D2" s="2429"/>
      <c r="E2" s="2429"/>
      <c r="F2" s="2429"/>
      <c r="G2" s="2429"/>
      <c r="H2" s="2429"/>
      <c r="I2" s="2429"/>
      <c r="J2" s="2429"/>
      <c r="K2" s="2429"/>
      <c r="L2" s="2429"/>
    </row>
    <row r="3" spans="1:29" ht="13.5" customHeight="1" x14ac:dyDescent="0.2">
      <c r="A3" s="2460" t="s">
        <v>1251</v>
      </c>
      <c r="B3" s="2460"/>
      <c r="C3" s="2460"/>
      <c r="D3" s="2460"/>
      <c r="E3" s="2460"/>
      <c r="F3" s="2460"/>
      <c r="G3" s="2460"/>
      <c r="H3" s="2460"/>
      <c r="I3" s="2460"/>
      <c r="J3" s="2460"/>
      <c r="K3" s="2460"/>
      <c r="L3" s="2460"/>
    </row>
    <row r="4" spans="1:29" ht="13.5" customHeight="1" x14ac:dyDescent="0.2">
      <c r="A4" s="2429" t="s">
        <v>1798</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51" t="str">
        <f>COVER!A17</f>
        <v>Quincy SD 172</v>
      </c>
      <c r="B7" s="2452"/>
      <c r="C7" s="2452"/>
      <c r="D7" s="2453"/>
      <c r="E7" s="2454">
        <f>COVER!A13</f>
        <v>1001172022</v>
      </c>
      <c r="F7" s="2455"/>
      <c r="G7" s="2461" t="s">
        <v>2210</v>
      </c>
      <c r="H7" s="2462"/>
      <c r="I7" s="2462"/>
      <c r="J7" s="2462"/>
      <c r="K7" s="2462"/>
      <c r="L7" s="246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64"/>
      <c r="B9" s="2465"/>
      <c r="C9" s="2465"/>
      <c r="D9" s="2465"/>
      <c r="E9" s="2465"/>
      <c r="F9" s="2466"/>
      <c r="G9" s="2435" t="str">
        <f>COVER!T13</f>
        <v>Zumbahlen, Eyth, Surratt, Foote &amp; Flynn, Ltd.</v>
      </c>
      <c r="H9" s="2467"/>
      <c r="I9" s="2467"/>
      <c r="J9" s="2467"/>
      <c r="K9" s="2467"/>
      <c r="L9" s="2468"/>
    </row>
    <row r="10" spans="1:29" ht="13.5" customHeight="1" x14ac:dyDescent="0.2">
      <c r="A10" s="2441" t="str">
        <f>COVER!A38</f>
        <v>Roy Webb</v>
      </c>
      <c r="B10" s="2442"/>
      <c r="C10" s="2442"/>
      <c r="D10" s="2442"/>
      <c r="E10" s="2442"/>
      <c r="F10" s="2443"/>
      <c r="G10" s="2435" t="str">
        <f>COVER!T17</f>
        <v>1395 Lincoln Ave.</v>
      </c>
      <c r="H10" s="2436"/>
      <c r="I10" s="2436"/>
      <c r="J10" s="2436"/>
      <c r="K10" s="2436"/>
      <c r="L10" s="2437"/>
    </row>
    <row r="11" spans="1:29" ht="13.5" customHeight="1" x14ac:dyDescent="0.2">
      <c r="A11" s="1185" t="s">
        <v>1598</v>
      </c>
      <c r="B11" s="1186"/>
      <c r="C11" s="1187"/>
      <c r="D11" s="1192"/>
      <c r="E11" s="1187"/>
      <c r="F11" s="1191"/>
      <c r="G11" s="2435" t="str">
        <f>COVER!T19</f>
        <v>Jacksonville</v>
      </c>
      <c r="H11" s="2436"/>
      <c r="I11" s="2436"/>
      <c r="J11" s="2436"/>
      <c r="K11" s="2436"/>
      <c r="L11" s="2437"/>
    </row>
    <row r="12" spans="1:29" ht="13.5" customHeight="1" x14ac:dyDescent="0.2">
      <c r="A12" s="2444" t="s">
        <v>1597</v>
      </c>
      <c r="B12" s="2445"/>
      <c r="C12" s="2445"/>
      <c r="D12" s="2445"/>
      <c r="E12" s="2445"/>
      <c r="F12" s="2446"/>
      <c r="G12" s="2438"/>
      <c r="H12" s="2439"/>
      <c r="I12" s="2439"/>
      <c r="J12" s="2439"/>
      <c r="K12" s="2439"/>
      <c r="L12" s="2440"/>
    </row>
    <row r="13" spans="1:29" ht="13.5" customHeight="1" x14ac:dyDescent="0.2">
      <c r="A13" s="2435"/>
      <c r="B13" s="2436"/>
      <c r="C13" s="2436"/>
      <c r="D13" s="2436"/>
      <c r="E13" s="2436"/>
      <c r="F13" s="2437"/>
      <c r="G13" s="2430" t="s">
        <v>1599</v>
      </c>
      <c r="H13" s="2431"/>
      <c r="I13" s="2447" t="str">
        <f>COVER!T25</f>
        <v>vflynn@zescpa.com</v>
      </c>
      <c r="J13" s="2448"/>
      <c r="K13" s="2448"/>
      <c r="L13" s="2449"/>
    </row>
    <row r="14" spans="1:29" ht="13.5" customHeight="1" x14ac:dyDescent="0.2">
      <c r="A14" s="2435" t="str">
        <f>COVER!A19</f>
        <v>1416 Maine Street</v>
      </c>
      <c r="B14" s="2436"/>
      <c r="C14" s="2436"/>
      <c r="D14" s="2436"/>
      <c r="E14" s="2436"/>
      <c r="F14" s="2437"/>
      <c r="G14" s="1196" t="s">
        <v>1246</v>
      </c>
      <c r="H14" s="1194"/>
      <c r="I14" s="1194"/>
      <c r="J14" s="1194"/>
      <c r="K14" s="1194"/>
      <c r="L14" s="1195"/>
    </row>
    <row r="15" spans="1:29" ht="13.5" customHeight="1" x14ac:dyDescent="0.2">
      <c r="A15" s="2435" t="str">
        <f>COVER!A21</f>
        <v>Quincy, Illinois</v>
      </c>
      <c r="B15" s="2436"/>
      <c r="C15" s="2436"/>
      <c r="D15" s="2436"/>
      <c r="E15" s="2436"/>
      <c r="F15" s="2437"/>
      <c r="G15" s="2432" t="str">
        <f>COVER!T15</f>
        <v>Valerie L. Flynn</v>
      </c>
      <c r="H15" s="2433"/>
      <c r="I15" s="2433"/>
      <c r="J15" s="2433"/>
      <c r="K15" s="2433"/>
      <c r="L15" s="2434"/>
    </row>
    <row r="16" spans="1:29" ht="12.2" customHeight="1" x14ac:dyDescent="0.2">
      <c r="A16" s="2457">
        <f>COVER!A25</f>
        <v>62301</v>
      </c>
      <c r="B16" s="2458"/>
      <c r="C16" s="2458"/>
      <c r="D16" s="2458"/>
      <c r="E16" s="2458"/>
      <c r="F16" s="2459"/>
      <c r="G16" s="2469"/>
      <c r="H16" s="2470"/>
      <c r="I16" s="2470"/>
      <c r="J16" s="2470"/>
      <c r="K16" s="2470"/>
      <c r="L16" s="2471"/>
    </row>
    <row r="17" spans="1:13" ht="12.2" customHeight="1" x14ac:dyDescent="0.2">
      <c r="A17" s="2472"/>
      <c r="B17" s="2458"/>
      <c r="C17" s="2458"/>
      <c r="D17" s="2458"/>
      <c r="E17" s="2458"/>
      <c r="F17" s="2459"/>
      <c r="G17" s="1196" t="s">
        <v>1245</v>
      </c>
      <c r="H17" s="1194"/>
      <c r="I17" s="1194"/>
      <c r="J17" s="1194"/>
      <c r="K17" s="1198" t="s">
        <v>1244</v>
      </c>
      <c r="L17" s="1191"/>
      <c r="M17" s="1184"/>
    </row>
    <row r="18" spans="1:13" ht="12.2" customHeight="1" x14ac:dyDescent="0.2">
      <c r="A18" s="2441"/>
      <c r="B18" s="2442"/>
      <c r="C18" s="2442"/>
      <c r="D18" s="2442"/>
      <c r="E18" s="2442"/>
      <c r="F18" s="2443"/>
      <c r="G18" s="2451" t="str">
        <f>COVER!T21</f>
        <v>217-245-5121</v>
      </c>
      <c r="H18" s="2452"/>
      <c r="I18" s="2452"/>
      <c r="J18" s="2452"/>
      <c r="K18" s="2451" t="str">
        <f>COVER!X21</f>
        <v>217-243-3356</v>
      </c>
      <c r="L18" s="245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2162</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2162</v>
      </c>
      <c r="C26" s="1203" t="s">
        <v>1800</v>
      </c>
    </row>
    <row r="27" spans="1:13" s="1199" customFormat="1" ht="9" customHeight="1" x14ac:dyDescent="0.2">
      <c r="B27" s="1204"/>
      <c r="C27" s="1203"/>
    </row>
    <row r="28" spans="1:13" s="1199" customFormat="1" ht="12.2" customHeight="1" x14ac:dyDescent="0.2">
      <c r="A28" s="1206"/>
      <c r="B28" s="1202" t="s">
        <v>2162</v>
      </c>
      <c r="C28" s="1203" t="s">
        <v>1801</v>
      </c>
    </row>
    <row r="29" spans="1:13" s="1199" customFormat="1" ht="9" customHeight="1" x14ac:dyDescent="0.2">
      <c r="A29" s="1206"/>
      <c r="B29" s="1204"/>
      <c r="C29" s="1203"/>
    </row>
    <row r="30" spans="1:13" s="1199" customFormat="1" ht="12.2" customHeight="1" x14ac:dyDescent="0.2">
      <c r="B30" s="1202" t="s">
        <v>2162</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2162</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2162</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2162</v>
      </c>
      <c r="C38" s="1203" t="s">
        <v>1646</v>
      </c>
    </row>
    <row r="39" spans="1:8" ht="9" customHeight="1" x14ac:dyDescent="0.2">
      <c r="B39" s="1204"/>
      <c r="C39" s="1207"/>
    </row>
    <row r="40" spans="1:8" s="1199" customFormat="1" ht="13.5" customHeight="1" x14ac:dyDescent="0.2">
      <c r="B40" s="1202" t="s">
        <v>2162</v>
      </c>
      <c r="C40" s="1203" t="s">
        <v>1647</v>
      </c>
    </row>
    <row r="41" spans="1:8" ht="9" customHeight="1" x14ac:dyDescent="0.2">
      <c r="A41" s="1208"/>
      <c r="B41" s="1204"/>
      <c r="C41" s="1207"/>
    </row>
    <row r="42" spans="1:8" s="1199" customFormat="1" ht="13.5" customHeight="1" x14ac:dyDescent="0.2">
      <c r="B42" s="1202" t="s">
        <v>2162</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activeCell="B43" sqref="B4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3" t="str">
        <f>'Single Audit Cover'!A7</f>
        <v>Quincy SD 172</v>
      </c>
      <c r="B1" s="2450"/>
      <c r="C1" s="2450"/>
      <c r="D1" s="2450"/>
    </row>
    <row r="2" spans="1:11" s="1215" customFormat="1" ht="12.75" x14ac:dyDescent="0.2">
      <c r="A2" s="2474">
        <f>'Single Audit Cover'!E7</f>
        <v>1001172022</v>
      </c>
      <c r="B2" s="2475"/>
      <c r="C2" s="2475"/>
      <c r="D2" s="2475"/>
    </row>
    <row r="3" spans="1:11" s="1215" customFormat="1" ht="12.75" x14ac:dyDescent="0.2">
      <c r="A3" s="2473" t="s">
        <v>1592</v>
      </c>
      <c r="B3" s="2450"/>
      <c r="C3" s="2450"/>
      <c r="D3" s="2450"/>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2162</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2162</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2162</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2162</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2162</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2162</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2162</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2162</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2162</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2162</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2162</v>
      </c>
      <c r="C42" s="1232">
        <v>11</v>
      </c>
      <c r="D42" s="1243" t="s">
        <v>1654</v>
      </c>
      <c r="E42" s="312"/>
    </row>
    <row r="43" spans="1:5" ht="3" customHeight="1" x14ac:dyDescent="0.2">
      <c r="A43" s="1222"/>
      <c r="B43" s="1239"/>
      <c r="C43" s="1240"/>
      <c r="D43" s="1221"/>
    </row>
    <row r="44" spans="1:5" x14ac:dyDescent="0.2">
      <c r="A44" s="1222"/>
      <c r="B44" s="1225" t="s">
        <v>2162</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2162</v>
      </c>
      <c r="C48" s="1226">
        <f>C44+1</f>
        <v>13</v>
      </c>
      <c r="D48" s="1237" t="s">
        <v>1655</v>
      </c>
    </row>
    <row r="49" spans="1:4" ht="3" customHeight="1" x14ac:dyDescent="0.2">
      <c r="A49" s="1222"/>
      <c r="B49" s="1229"/>
      <c r="C49" s="1226"/>
      <c r="D49" s="1237"/>
    </row>
    <row r="50" spans="1:4" x14ac:dyDescent="0.2">
      <c r="A50" s="1222"/>
      <c r="B50" s="1225" t="s">
        <v>2162</v>
      </c>
      <c r="C50" s="1226">
        <f>C48+1</f>
        <v>14</v>
      </c>
      <c r="D50" s="1237" t="s">
        <v>1273</v>
      </c>
    </row>
    <row r="51" spans="1:4" ht="3" customHeight="1" x14ac:dyDescent="0.2">
      <c r="A51" s="1222"/>
      <c r="B51" s="1229"/>
      <c r="C51" s="1226"/>
      <c r="D51" s="1237"/>
    </row>
    <row r="52" spans="1:4" x14ac:dyDescent="0.2">
      <c r="A52" s="1222"/>
      <c r="B52" s="1225" t="s">
        <v>2162</v>
      </c>
      <c r="C52" s="1226">
        <f>C50+1</f>
        <v>15</v>
      </c>
      <c r="D52" s="1237" t="s">
        <v>1272</v>
      </c>
    </row>
    <row r="53" spans="1:4" ht="3" customHeight="1" x14ac:dyDescent="0.2">
      <c r="A53" s="1222"/>
      <c r="B53" s="1229"/>
      <c r="C53" s="1226"/>
      <c r="D53" s="1237"/>
    </row>
    <row r="54" spans="1:4" x14ac:dyDescent="0.2">
      <c r="A54" s="1222"/>
      <c r="B54" s="1225" t="s">
        <v>2162</v>
      </c>
      <c r="C54" s="1226">
        <f>C52+1</f>
        <v>16</v>
      </c>
      <c r="D54" s="1237" t="s">
        <v>1271</v>
      </c>
    </row>
    <row r="55" spans="1:4" ht="3" customHeight="1" x14ac:dyDescent="0.2">
      <c r="A55" s="1222"/>
      <c r="B55" s="1229"/>
      <c r="C55" s="1226"/>
      <c r="D55" s="1237"/>
    </row>
    <row r="56" spans="1:4" x14ac:dyDescent="0.2">
      <c r="A56" s="1222"/>
      <c r="B56" s="1225" t="s">
        <v>2162</v>
      </c>
      <c r="C56" s="1226">
        <f>C54+1</f>
        <v>17</v>
      </c>
      <c r="D56" s="1221" t="s">
        <v>1810</v>
      </c>
    </row>
    <row r="57" spans="1:4" ht="10.5" customHeight="1" x14ac:dyDescent="0.2">
      <c r="A57" s="1222"/>
      <c r="D57" s="1237" t="s">
        <v>1811</v>
      </c>
    </row>
    <row r="58" spans="1:4" x14ac:dyDescent="0.2">
      <c r="A58" s="1222"/>
      <c r="C58" s="1244" t="s">
        <v>2162</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t="s">
        <v>2162</v>
      </c>
      <c r="C72" s="1226">
        <f>C56+1</f>
        <v>18</v>
      </c>
      <c r="D72" s="1247" t="s">
        <v>1816</v>
      </c>
    </row>
    <row r="73" spans="1:4" ht="3" customHeight="1" x14ac:dyDescent="0.2">
      <c r="A73" s="1222"/>
      <c r="B73" s="1229"/>
      <c r="C73" s="1226"/>
      <c r="D73" s="1247"/>
    </row>
    <row r="74" spans="1:4" x14ac:dyDescent="0.2">
      <c r="A74" s="1222"/>
      <c r="B74" s="1225" t="s">
        <v>2162</v>
      </c>
      <c r="C74" s="1226">
        <f>C72+1</f>
        <v>19</v>
      </c>
      <c r="D74" s="1237" t="s">
        <v>1266</v>
      </c>
    </row>
    <row r="75" spans="1:4" ht="3" customHeight="1" x14ac:dyDescent="0.2">
      <c r="A75" s="1222"/>
      <c r="B75" s="1229"/>
      <c r="C75" s="1226"/>
      <c r="D75" s="1237"/>
    </row>
    <row r="76" spans="1:4" x14ac:dyDescent="0.2">
      <c r="A76" s="1222"/>
      <c r="B76" s="1225" t="s">
        <v>2162</v>
      </c>
      <c r="C76" s="1226">
        <f>C74+1</f>
        <v>20</v>
      </c>
      <c r="D76" s="1248" t="s">
        <v>1817</v>
      </c>
    </row>
    <row r="77" spans="1:4" ht="3" customHeight="1" x14ac:dyDescent="0.2">
      <c r="A77" s="1222"/>
      <c r="B77" s="1229"/>
      <c r="C77" s="1226"/>
      <c r="D77" s="1248"/>
    </row>
    <row r="78" spans="1:4" x14ac:dyDescent="0.2">
      <c r="A78" s="1222"/>
      <c r="B78" s="1225" t="s">
        <v>2162</v>
      </c>
      <c r="C78" s="1226">
        <f>C76+1</f>
        <v>21</v>
      </c>
      <c r="D78" s="1221" t="s">
        <v>1818</v>
      </c>
    </row>
    <row r="79" spans="1:4" ht="3" customHeight="1" x14ac:dyDescent="0.2">
      <c r="A79" s="1222"/>
      <c r="B79" s="1229"/>
      <c r="C79" s="1226"/>
      <c r="D79" s="1221"/>
    </row>
    <row r="80" spans="1:4" x14ac:dyDescent="0.2">
      <c r="A80" s="1222"/>
      <c r="B80" s="1225" t="s">
        <v>2162</v>
      </c>
      <c r="C80" s="1226">
        <f>C78+1</f>
        <v>22</v>
      </c>
      <c r="D80" s="1249" t="s">
        <v>1819</v>
      </c>
    </row>
    <row r="81" spans="1:4" ht="3" customHeight="1" x14ac:dyDescent="0.2">
      <c r="A81" s="1222"/>
      <c r="B81" s="1229"/>
      <c r="C81" s="1226"/>
      <c r="D81" s="1249"/>
    </row>
    <row r="82" spans="1:4" x14ac:dyDescent="0.2">
      <c r="A82" s="1222"/>
      <c r="B82" s="1225" t="s">
        <v>2162</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2162</v>
      </c>
      <c r="C85" s="1226">
        <f>C82+1</f>
        <v>24</v>
      </c>
      <c r="D85" s="1237" t="s">
        <v>1264</v>
      </c>
    </row>
    <row r="86" spans="1:4" ht="3" customHeight="1" x14ac:dyDescent="0.2">
      <c r="A86" s="1222"/>
      <c r="B86" s="1229"/>
      <c r="C86" s="1226"/>
      <c r="D86" s="1237"/>
    </row>
    <row r="87" spans="1:4" x14ac:dyDescent="0.2">
      <c r="A87" s="1222"/>
      <c r="B87" s="1225" t="s">
        <v>2162</v>
      </c>
      <c r="C87" s="1226">
        <f>C85+1</f>
        <v>25</v>
      </c>
      <c r="D87" s="1237" t="s">
        <v>1263</v>
      </c>
    </row>
    <row r="88" spans="1:4" ht="3" customHeight="1" x14ac:dyDescent="0.2">
      <c r="A88" s="1222"/>
      <c r="B88" s="1229"/>
      <c r="C88" s="1226"/>
      <c r="D88" s="1237"/>
    </row>
    <row r="89" spans="1:4" x14ac:dyDescent="0.2">
      <c r="A89" s="1222"/>
      <c r="B89" s="1225" t="s">
        <v>2162</v>
      </c>
      <c r="C89" s="1226">
        <f>C87+1</f>
        <v>26</v>
      </c>
      <c r="D89" s="1237" t="s">
        <v>1262</v>
      </c>
    </row>
    <row r="90" spans="1:4" ht="3" customHeight="1" x14ac:dyDescent="0.2">
      <c r="A90" s="1222"/>
      <c r="B90" s="1229"/>
      <c r="C90" s="1226"/>
      <c r="D90" s="1237"/>
    </row>
    <row r="91" spans="1:4" x14ac:dyDescent="0.2">
      <c r="A91" s="1222"/>
      <c r="B91" s="1225" t="s">
        <v>2162</v>
      </c>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2162</v>
      </c>
      <c r="C96" s="1226">
        <f>C91+1</f>
        <v>28</v>
      </c>
      <c r="D96" s="1237" t="s">
        <v>1822</v>
      </c>
    </row>
    <row r="97" spans="1:4" ht="3" customHeight="1" x14ac:dyDescent="0.2">
      <c r="A97" s="1222"/>
      <c r="B97" s="1229"/>
      <c r="C97" s="1226"/>
      <c r="D97" s="1237"/>
    </row>
    <row r="98" spans="1:4" x14ac:dyDescent="0.2">
      <c r="A98" s="1222"/>
      <c r="B98" s="1225" t="s">
        <v>2162</v>
      </c>
      <c r="C98" s="1226">
        <f>C96+1</f>
        <v>29</v>
      </c>
      <c r="D98" s="1251" t="s">
        <v>1823</v>
      </c>
    </row>
    <row r="99" spans="1:4" ht="3" customHeight="1" x14ac:dyDescent="0.2">
      <c r="A99" s="1222"/>
      <c r="B99" s="1229"/>
      <c r="C99" s="1226"/>
      <c r="D99" s="1251"/>
    </row>
    <row r="100" spans="1:4" x14ac:dyDescent="0.2">
      <c r="A100" s="1222"/>
      <c r="B100" s="1225" t="s">
        <v>2162</v>
      </c>
      <c r="C100" s="1226">
        <f>C98+1</f>
        <v>30</v>
      </c>
      <c r="D100" s="1237" t="s">
        <v>1824</v>
      </c>
    </row>
    <row r="101" spans="1:4" ht="3" customHeight="1" x14ac:dyDescent="0.2">
      <c r="A101" s="1222"/>
      <c r="B101" s="1229"/>
      <c r="C101" s="1226"/>
      <c r="D101" s="1252"/>
    </row>
    <row r="102" spans="1:4" x14ac:dyDescent="0.2">
      <c r="A102" s="1222"/>
      <c r="B102" s="1225" t="s">
        <v>2162</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2162</v>
      </c>
      <c r="C106" s="1226">
        <f>C102+1</f>
        <v>32</v>
      </c>
      <c r="D106" s="1221" t="s">
        <v>1660</v>
      </c>
    </row>
    <row r="107" spans="1:4" ht="3" customHeight="1" x14ac:dyDescent="0.2">
      <c r="A107" s="1222"/>
      <c r="B107" s="1229"/>
      <c r="C107" s="1226"/>
      <c r="D107" s="1221"/>
    </row>
    <row r="108" spans="1:4" x14ac:dyDescent="0.2">
      <c r="A108" s="1222"/>
      <c r="B108" s="1225" t="s">
        <v>2162</v>
      </c>
      <c r="C108" s="1226">
        <v>33</v>
      </c>
      <c r="D108" s="1221" t="s">
        <v>1825</v>
      </c>
    </row>
    <row r="109" spans="1:4" ht="3" customHeight="1" x14ac:dyDescent="0.2">
      <c r="A109" s="1222"/>
      <c r="B109" s="1229"/>
      <c r="C109" s="1226"/>
      <c r="D109" s="1221"/>
    </row>
    <row r="110" spans="1:4" x14ac:dyDescent="0.2">
      <c r="A110" s="1222"/>
      <c r="B110" s="1225" t="s">
        <v>2162</v>
      </c>
      <c r="C110" s="1226">
        <f>C108+1</f>
        <v>34</v>
      </c>
      <c r="D110" s="1221" t="s">
        <v>1259</v>
      </c>
    </row>
    <row r="111" spans="1:4" ht="3" customHeight="1" x14ac:dyDescent="0.2">
      <c r="A111" s="1222"/>
      <c r="B111" s="1229"/>
      <c r="C111" s="1226"/>
      <c r="D111" s="1221"/>
    </row>
    <row r="112" spans="1:4" x14ac:dyDescent="0.2">
      <c r="A112" s="1222"/>
      <c r="B112" s="1225" t="s">
        <v>2162</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2162</v>
      </c>
      <c r="C115" s="1226">
        <f>C112+1</f>
        <v>36</v>
      </c>
      <c r="D115" s="1237" t="s">
        <v>1256</v>
      </c>
    </row>
    <row r="116" spans="1:4" ht="3" customHeight="1" x14ac:dyDescent="0.2">
      <c r="A116" s="1222"/>
      <c r="B116" s="1229"/>
      <c r="C116" s="1226"/>
      <c r="D116" s="1237"/>
    </row>
    <row r="117" spans="1:4" x14ac:dyDescent="0.2">
      <c r="A117" s="1222"/>
      <c r="B117" s="1225" t="s">
        <v>2162</v>
      </c>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2162</v>
      </c>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7" t="str">
        <f>'Single Audit Cover'!A7</f>
        <v>Quincy SD 172</v>
      </c>
      <c r="B1" s="2477"/>
      <c r="C1" s="2477"/>
      <c r="D1" s="2477"/>
      <c r="E1" s="2477"/>
    </row>
    <row r="2" spans="1:5" x14ac:dyDescent="0.2">
      <c r="A2" s="2478">
        <f>'Single Audit Cover'!E7</f>
        <v>1001172022</v>
      </c>
      <c r="B2" s="2478"/>
      <c r="C2" s="2478"/>
      <c r="D2" s="2478"/>
      <c r="E2" s="2478"/>
    </row>
    <row r="3" spans="1:5" ht="4.5" customHeight="1" x14ac:dyDescent="0.2"/>
    <row r="4" spans="1:5" x14ac:dyDescent="0.2">
      <c r="A4" s="2477" t="s">
        <v>1306</v>
      </c>
      <c r="B4" s="2477"/>
      <c r="C4" s="2477"/>
      <c r="D4" s="2477"/>
      <c r="E4" s="2477"/>
    </row>
    <row r="5" spans="1:5" x14ac:dyDescent="0.2">
      <c r="A5" s="2480" t="str">
        <f>'Single Audit Cover'!A4</f>
        <v>Year Ending June 30, 2018</v>
      </c>
      <c r="B5" s="2480"/>
      <c r="C5" s="2480"/>
      <c r="D5" s="2480"/>
      <c r="E5" s="2480"/>
    </row>
    <row r="6" spans="1:5" x14ac:dyDescent="0.2">
      <c r="A6" s="2477" t="s">
        <v>1305</v>
      </c>
      <c r="B6" s="2477"/>
      <c r="C6" s="2477"/>
      <c r="D6" s="2477"/>
      <c r="E6" s="2477"/>
    </row>
    <row r="8" spans="1:5" x14ac:dyDescent="0.2">
      <c r="A8" s="1260" t="s">
        <v>1304</v>
      </c>
    </row>
    <row r="10" spans="1:5" x14ac:dyDescent="0.2">
      <c r="A10" s="1261" t="s">
        <v>1303</v>
      </c>
      <c r="B10" s="1262" t="s">
        <v>1302</v>
      </c>
      <c r="C10" s="1262"/>
      <c r="D10" s="1263">
        <f>SUM('Acct Summary 7-8'!C7:K7)</f>
        <v>8971446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301363</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-788902</v>
      </c>
    </row>
    <row r="19" spans="1:4" ht="13.5" thickBot="1" x14ac:dyDescent="0.25">
      <c r="A19" s="1265" t="s">
        <v>1296</v>
      </c>
      <c r="D19" s="1266">
        <f>SUM(D10:D17)</f>
        <v>8483907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79" t="s">
        <v>2144</v>
      </c>
      <c r="B24" s="2479"/>
      <c r="D24" s="1268">
        <v>10020</v>
      </c>
    </row>
    <row r="25" spans="1:4" x14ac:dyDescent="0.2">
      <c r="A25" s="2476"/>
      <c r="B25" s="2476"/>
      <c r="D25" s="1268"/>
    </row>
    <row r="26" spans="1:4" x14ac:dyDescent="0.2">
      <c r="A26" s="2476"/>
      <c r="B26" s="2476"/>
      <c r="D26" s="1268"/>
    </row>
    <row r="27" spans="1:4" x14ac:dyDescent="0.2">
      <c r="A27" s="2476"/>
      <c r="B27" s="2476"/>
      <c r="D27" s="1268"/>
    </row>
    <row r="28" spans="1:4" x14ac:dyDescent="0.2">
      <c r="A28" s="2476"/>
      <c r="B28" s="2476"/>
      <c r="D28" s="1268"/>
    </row>
    <row r="29" spans="1:4" x14ac:dyDescent="0.2">
      <c r="A29" s="2476"/>
      <c r="B29" s="2476"/>
      <c r="D29" s="1268"/>
    </row>
    <row r="30" spans="1:4" x14ac:dyDescent="0.2">
      <c r="A30" s="2476"/>
      <c r="B30" s="2476"/>
      <c r="D30" s="1268"/>
    </row>
    <row r="32" spans="1:4" x14ac:dyDescent="0.2">
      <c r="A32" s="1260" t="s">
        <v>1294</v>
      </c>
      <c r="D32" s="1263">
        <f>SUM(D19:D30)</f>
        <v>8493927</v>
      </c>
    </row>
    <row r="33" spans="1:4" x14ac:dyDescent="0.2">
      <c r="D33" s="1269"/>
    </row>
    <row r="34" spans="1:4" x14ac:dyDescent="0.2">
      <c r="A34" s="317" t="s">
        <v>1293</v>
      </c>
    </row>
    <row r="35" spans="1:4" x14ac:dyDescent="0.2">
      <c r="A35" s="317" t="s">
        <v>1292</v>
      </c>
      <c r="B35" s="1258" t="s">
        <v>1291</v>
      </c>
      <c r="D35" s="1270">
        <v>8493927</v>
      </c>
    </row>
    <row r="37" spans="1:4" x14ac:dyDescent="0.2">
      <c r="A37" s="1260" t="s">
        <v>1290</v>
      </c>
    </row>
    <row r="39" spans="1:4" ht="13.35" customHeight="1" x14ac:dyDescent="0.2">
      <c r="A39" s="1267" t="s">
        <v>1289</v>
      </c>
    </row>
    <row r="40" spans="1:4" x14ac:dyDescent="0.2">
      <c r="A40" s="2476"/>
      <c r="B40" s="2476"/>
      <c r="D40" s="1268"/>
    </row>
    <row r="41" spans="1:4" x14ac:dyDescent="0.2">
      <c r="A41" s="2476"/>
      <c r="B41" s="2476"/>
      <c r="D41" s="1271"/>
    </row>
    <row r="42" spans="1:4" x14ac:dyDescent="0.2">
      <c r="A42" s="2476"/>
      <c r="B42" s="2476"/>
      <c r="D42" s="1271"/>
    </row>
    <row r="43" spans="1:4" x14ac:dyDescent="0.2">
      <c r="A43" s="2476"/>
      <c r="B43" s="2476"/>
      <c r="D43" s="1271"/>
    </row>
    <row r="44" spans="1:4" x14ac:dyDescent="0.2">
      <c r="A44" s="2476"/>
      <c r="B44" s="2476"/>
      <c r="D44" s="1271"/>
    </row>
    <row r="45" spans="1:4" x14ac:dyDescent="0.2">
      <c r="A45" s="2476"/>
      <c r="B45" s="2476"/>
      <c r="D45" s="1271"/>
    </row>
    <row r="47" spans="1:4" x14ac:dyDescent="0.2">
      <c r="B47" s="1272" t="s">
        <v>1288</v>
      </c>
      <c r="C47" s="1272"/>
      <c r="D47" s="1273">
        <f>SUM(D35:D45)</f>
        <v>8493927</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B43" sqref="B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0" t="str">
        <f>'Single Audit Cover'!A7</f>
        <v>Quincy SD 172</v>
      </c>
      <c r="B1" s="2490"/>
      <c r="C1" s="2490"/>
      <c r="D1" s="2490"/>
      <c r="E1" s="2490"/>
      <c r="F1" s="2490"/>
    </row>
    <row r="2" spans="1:7" ht="13.5" customHeight="1" x14ac:dyDescent="0.2">
      <c r="A2" s="2491">
        <f>'Single Audit Cover'!E7</f>
        <v>1001172022</v>
      </c>
      <c r="B2" s="2491"/>
      <c r="C2" s="2491"/>
      <c r="D2" s="2491"/>
      <c r="E2" s="2491"/>
      <c r="F2" s="2491"/>
      <c r="G2" s="1275"/>
    </row>
    <row r="3" spans="1:7" ht="15.75" customHeight="1" x14ac:dyDescent="0.2">
      <c r="A3" s="2492" t="s">
        <v>1332</v>
      </c>
      <c r="B3" s="2492"/>
      <c r="C3" s="2492"/>
      <c r="D3" s="2492"/>
      <c r="E3" s="2492"/>
      <c r="F3" s="2492"/>
    </row>
    <row r="4" spans="1:7" ht="13.5" customHeight="1" x14ac:dyDescent="0.2">
      <c r="A4" s="2493" t="str">
        <f>'Single Audit Cover'!A4</f>
        <v>Year Ending June 30, 2018</v>
      </c>
      <c r="B4" s="2493"/>
      <c r="C4" s="2493"/>
      <c r="D4" s="2493"/>
      <c r="E4" s="2493"/>
      <c r="F4" s="2493"/>
    </row>
    <row r="5" spans="1:7" ht="8.25" customHeight="1" x14ac:dyDescent="0.2">
      <c r="C5" s="317"/>
      <c r="D5" s="317"/>
    </row>
    <row r="6" spans="1:7" ht="13.5" customHeight="1" x14ac:dyDescent="0.2">
      <c r="A6" s="1276" t="s">
        <v>1830</v>
      </c>
      <c r="C6" s="317"/>
      <c r="D6" s="317"/>
    </row>
    <row r="7" spans="1:7" ht="60.95" customHeight="1" x14ac:dyDescent="0.2">
      <c r="A7" s="2489" t="s">
        <v>2211</v>
      </c>
      <c r="B7" s="2489"/>
      <c r="C7" s="2489"/>
      <c r="D7" s="2489"/>
      <c r="E7" s="2489"/>
      <c r="F7" s="2489"/>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2162</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9.899999999999999" customHeight="1" x14ac:dyDescent="0.2">
      <c r="A13" s="2489" t="s">
        <v>2212</v>
      </c>
      <c r="B13" s="2489"/>
      <c r="C13" s="2489"/>
      <c r="D13" s="2489"/>
      <c r="E13" s="2489"/>
      <c r="F13" s="2489"/>
    </row>
    <row r="14" spans="1:7" ht="9.75" customHeight="1" x14ac:dyDescent="0.2">
      <c r="C14" s="1260"/>
      <c r="D14" s="1260"/>
    </row>
    <row r="15" spans="1:7" ht="13.5" customHeight="1" x14ac:dyDescent="0.2">
      <c r="C15" s="1871" t="s">
        <v>1331</v>
      </c>
      <c r="D15" s="2487" t="s">
        <v>1330</v>
      </c>
      <c r="E15" s="2487"/>
      <c r="F15" s="2487"/>
    </row>
    <row r="16" spans="1:7" ht="13.5" customHeight="1" x14ac:dyDescent="0.2">
      <c r="A16" s="1282"/>
      <c r="B16" s="1276" t="s">
        <v>1329</v>
      </c>
      <c r="C16" s="1871" t="s">
        <v>1328</v>
      </c>
      <c r="D16" s="2488" t="s">
        <v>1669</v>
      </c>
      <c r="E16" s="2488"/>
      <c r="F16" s="2488"/>
    </row>
    <row r="17" spans="1:6" ht="20.45" customHeight="1" x14ac:dyDescent="0.2">
      <c r="A17" s="1283"/>
      <c r="B17" s="1284" t="s">
        <v>2074</v>
      </c>
      <c r="C17" s="1285"/>
      <c r="D17" s="2482"/>
      <c r="E17" s="2482"/>
      <c r="F17" s="2482"/>
    </row>
    <row r="18" spans="1:6" ht="20.65" customHeight="1" x14ac:dyDescent="0.2">
      <c r="A18" s="1283"/>
      <c r="B18" s="1284"/>
      <c r="C18" s="1285"/>
      <c r="D18" s="2482"/>
      <c r="E18" s="2482"/>
      <c r="F18" s="2482"/>
    </row>
    <row r="19" spans="1:6" ht="20.65" customHeight="1" x14ac:dyDescent="0.2">
      <c r="A19" s="1283"/>
      <c r="B19" s="1284"/>
      <c r="C19" s="1285"/>
      <c r="D19" s="2482"/>
      <c r="E19" s="2482"/>
      <c r="F19" s="2482"/>
    </row>
    <row r="20" spans="1:6" ht="20.65" customHeight="1" x14ac:dyDescent="0.2">
      <c r="A20" s="1283"/>
      <c r="B20" s="1284"/>
      <c r="C20" s="1285"/>
      <c r="D20" s="2482"/>
      <c r="E20" s="2482"/>
      <c r="F20" s="2482"/>
    </row>
    <row r="21" spans="1:6" ht="20.65" customHeight="1" x14ac:dyDescent="0.2">
      <c r="A21" s="1283"/>
      <c r="B21" s="1284"/>
      <c r="C21" s="1285"/>
      <c r="D21" s="2482"/>
      <c r="E21" s="2482"/>
      <c r="F21" s="2482"/>
    </row>
    <row r="22" spans="1:6" ht="20.65" customHeight="1" x14ac:dyDescent="0.2">
      <c r="A22" s="1283"/>
      <c r="B22" s="1284"/>
      <c r="C22" s="1285"/>
      <c r="D22" s="2482"/>
      <c r="E22" s="2482"/>
      <c r="F22" s="2482"/>
    </row>
    <row r="23" spans="1:6" ht="20.65" customHeight="1" x14ac:dyDescent="0.2">
      <c r="A23" s="1283"/>
      <c r="B23" s="1284"/>
      <c r="C23" s="1285"/>
      <c r="D23" s="2482"/>
      <c r="E23" s="2482"/>
      <c r="F23" s="2482"/>
    </row>
    <row r="24" spans="1:6" ht="20.65" customHeight="1" x14ac:dyDescent="0.2">
      <c r="A24" s="1283"/>
      <c r="B24" s="1284"/>
      <c r="C24" s="1285"/>
      <c r="D24" s="2482"/>
      <c r="E24" s="2482"/>
      <c r="F24" s="2482"/>
    </row>
    <row r="25" spans="1:6" ht="20.65" customHeight="1" x14ac:dyDescent="0.2">
      <c r="A25" s="1283"/>
      <c r="B25" s="1284"/>
      <c r="C25" s="1285"/>
      <c r="D25" s="2482"/>
      <c r="E25" s="2482"/>
      <c r="F25" s="2482"/>
    </row>
    <row r="26" spans="1:6" ht="20.65" customHeight="1" x14ac:dyDescent="0.2">
      <c r="A26" s="1283"/>
      <c r="B26" s="1284"/>
      <c r="C26" s="1285"/>
      <c r="D26" s="2482"/>
      <c r="E26" s="2482"/>
      <c r="F26" s="2482"/>
    </row>
    <row r="27" spans="1:6" ht="20.65" customHeight="1" x14ac:dyDescent="0.2">
      <c r="A27" s="1283"/>
      <c r="B27" s="1284"/>
      <c r="C27" s="1285"/>
      <c r="D27" s="2482"/>
      <c r="E27" s="2482"/>
      <c r="F27" s="2482"/>
    </row>
    <row r="28" spans="1:6" ht="20.65" customHeight="1" x14ac:dyDescent="0.2">
      <c r="A28" s="1283"/>
      <c r="B28" s="1284"/>
      <c r="C28" s="1285"/>
      <c r="D28" s="2482"/>
      <c r="E28" s="2482"/>
      <c r="F28" s="2482"/>
    </row>
    <row r="29" spans="1:6" ht="20.65" customHeight="1" x14ac:dyDescent="0.2">
      <c r="A29" s="1283"/>
      <c r="B29" s="1284"/>
      <c r="C29" s="1285"/>
      <c r="D29" s="2482"/>
      <c r="E29" s="2482"/>
      <c r="F29" s="2482"/>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83" t="s">
        <v>2213</v>
      </c>
      <c r="B32" s="2483"/>
      <c r="C32" s="2483"/>
      <c r="D32" s="2483"/>
      <c r="E32" s="2483"/>
      <c r="F32" s="2483"/>
    </row>
    <row r="33" spans="1:6" ht="13.5" customHeight="1" x14ac:dyDescent="0.2">
      <c r="A33" s="328" t="s">
        <v>1508</v>
      </c>
      <c r="B33" s="328"/>
      <c r="C33" s="1288">
        <v>301363</v>
      </c>
      <c r="D33" s="1928"/>
      <c r="E33" s="1286"/>
    </row>
    <row r="34" spans="1:6" ht="13.5" customHeight="1" x14ac:dyDescent="0.2">
      <c r="A34" s="328" t="s">
        <v>1945</v>
      </c>
      <c r="B34" s="328"/>
      <c r="C34" s="1289">
        <v>0</v>
      </c>
      <c r="D34" s="1928" t="s">
        <v>1670</v>
      </c>
      <c r="E34" s="2484">
        <f>+C33+C34</f>
        <v>301363</v>
      </c>
      <c r="F34" s="2485"/>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592</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6" t="s">
        <v>1671</v>
      </c>
      <c r="C49" s="2486"/>
      <c r="D49" s="2486"/>
      <c r="E49" s="1399"/>
    </row>
    <row r="50" spans="1:5" s="1300" customFormat="1" ht="3.75" customHeight="1" x14ac:dyDescent="0.2">
      <c r="A50" s="1299"/>
      <c r="B50" s="1870"/>
      <c r="C50" s="1870"/>
      <c r="D50" s="1870"/>
      <c r="E50" s="1399"/>
    </row>
    <row r="51" spans="1:5" s="1300" customFormat="1" ht="20.25" customHeight="1" x14ac:dyDescent="0.2">
      <c r="A51" s="1301">
        <v>6</v>
      </c>
      <c r="B51" s="2481" t="s">
        <v>1631</v>
      </c>
      <c r="C51" s="2481"/>
      <c r="D51" s="2481"/>
    </row>
    <row r="52" spans="1:5" ht="14.25" customHeight="1" x14ac:dyDescent="0.2">
      <c r="A52" s="1301"/>
      <c r="B52" s="2481"/>
      <c r="C52" s="2481"/>
      <c r="D52" s="248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topLeftCell="A10" zoomScaleNormal="100"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0" t="str">
        <f>'Single Audit Cover'!A7</f>
        <v>Quincy SD 172</v>
      </c>
      <c r="C1" s="2494"/>
      <c r="D1" s="2494"/>
      <c r="E1" s="2494"/>
      <c r="F1" s="2494"/>
      <c r="G1" s="2494"/>
      <c r="H1" s="2494"/>
      <c r="I1" s="2494"/>
      <c r="J1" s="2494"/>
      <c r="K1" s="2494"/>
      <c r="L1" s="2494"/>
      <c r="M1" s="2494"/>
    </row>
    <row r="2" spans="2:14" ht="15" x14ac:dyDescent="0.2">
      <c r="B2" s="2491">
        <f>'Single Audit Cover'!E7</f>
        <v>1001172022</v>
      </c>
      <c r="C2" s="2491"/>
      <c r="D2" s="2491"/>
      <c r="E2" s="2491"/>
      <c r="F2" s="2491"/>
      <c r="G2" s="2491"/>
      <c r="H2" s="2491"/>
      <c r="I2" s="2491"/>
      <c r="J2" s="2491"/>
      <c r="K2" s="2491"/>
      <c r="L2" s="2491"/>
      <c r="M2" s="2491"/>
      <c r="N2" s="1302"/>
    </row>
    <row r="3" spans="2:14" ht="15" x14ac:dyDescent="0.2">
      <c r="B3" s="2495" t="s">
        <v>1280</v>
      </c>
      <c r="C3" s="2495"/>
      <c r="D3" s="2495"/>
      <c r="E3" s="2495"/>
      <c r="F3" s="2495"/>
      <c r="G3" s="2495"/>
      <c r="H3" s="2495"/>
      <c r="I3" s="2495"/>
      <c r="J3" s="2495"/>
      <c r="K3" s="2495"/>
      <c r="L3" s="2495"/>
      <c r="M3" s="2495"/>
      <c r="N3" s="1302"/>
    </row>
    <row r="4" spans="2:14" ht="15" x14ac:dyDescent="0.2">
      <c r="B4" s="2496" t="str">
        <f>'Single Audit Cover'!A4</f>
        <v>Year Ending June 30, 2018</v>
      </c>
      <c r="C4" s="2496"/>
      <c r="D4" s="2496"/>
      <c r="E4" s="2496"/>
      <c r="F4" s="2496"/>
      <c r="G4" s="2496"/>
      <c r="H4" s="2496"/>
      <c r="I4" s="2496"/>
      <c r="J4" s="2496"/>
      <c r="K4" s="2496"/>
      <c r="L4" s="2496"/>
      <c r="M4" s="249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34.15" customHeight="1" x14ac:dyDescent="0.2">
      <c r="B11" s="1957" t="s">
        <v>2079</v>
      </c>
      <c r="C11" s="1338"/>
      <c r="D11" s="1339"/>
      <c r="E11" s="1340"/>
      <c r="F11" s="1340"/>
      <c r="G11" s="1340"/>
      <c r="H11" s="1340"/>
      <c r="I11" s="1340"/>
      <c r="J11" s="1340"/>
      <c r="K11" s="1340"/>
      <c r="L11" s="1340">
        <f>+G11+I11+K11</f>
        <v>0</v>
      </c>
      <c r="M11" s="1340"/>
    </row>
    <row r="12" spans="2:14" ht="20.100000000000001" customHeight="1" x14ac:dyDescent="0.2">
      <c r="B12" s="1968" t="s">
        <v>2073</v>
      </c>
      <c r="C12" s="1969">
        <v>10.555</v>
      </c>
      <c r="D12" s="1970">
        <v>2017</v>
      </c>
      <c r="E12" s="1962">
        <v>108958</v>
      </c>
      <c r="F12" s="1962"/>
      <c r="G12" s="1962">
        <v>108958</v>
      </c>
      <c r="H12" s="1962"/>
      <c r="I12" s="1962"/>
      <c r="J12" s="1962"/>
      <c r="K12" s="1962"/>
      <c r="L12" s="1971">
        <f t="shared" ref="L12:L28" si="0">+G12+I12+K12</f>
        <v>108958</v>
      </c>
      <c r="M12" s="1962" t="s">
        <v>2074</v>
      </c>
    </row>
    <row r="13" spans="2:14" ht="20.100000000000001" customHeight="1" x14ac:dyDescent="0.2">
      <c r="B13" s="1968" t="s">
        <v>2073</v>
      </c>
      <c r="C13" s="1969">
        <v>10.555</v>
      </c>
      <c r="D13" s="1970">
        <v>2018</v>
      </c>
      <c r="E13" s="1962"/>
      <c r="F13" s="1962">
        <v>103496</v>
      </c>
      <c r="G13" s="1962"/>
      <c r="H13" s="1962"/>
      <c r="I13" s="1962">
        <v>103496</v>
      </c>
      <c r="J13" s="1962"/>
      <c r="K13" s="1962"/>
      <c r="L13" s="1971">
        <f t="shared" si="0"/>
        <v>103496</v>
      </c>
      <c r="M13" s="1962" t="s">
        <v>2074</v>
      </c>
    </row>
    <row r="14" spans="2:14" ht="27" x14ac:dyDescent="0.2">
      <c r="B14" s="1972" t="s">
        <v>2075</v>
      </c>
      <c r="C14" s="1969"/>
      <c r="D14" s="1970"/>
      <c r="E14" s="1962"/>
      <c r="F14" s="1962"/>
      <c r="G14" s="1962"/>
      <c r="H14" s="1962"/>
      <c r="I14" s="1962"/>
      <c r="J14" s="1962"/>
      <c r="K14" s="1962"/>
      <c r="L14" s="1971">
        <f t="shared" si="0"/>
        <v>0</v>
      </c>
      <c r="M14" s="1962"/>
    </row>
    <row r="15" spans="2:14" ht="20.100000000000001" customHeight="1" x14ac:dyDescent="0.2">
      <c r="B15" s="1968" t="s">
        <v>2076</v>
      </c>
      <c r="C15" s="1969">
        <v>10.555</v>
      </c>
      <c r="D15" s="1970">
        <v>2017</v>
      </c>
      <c r="E15" s="1962">
        <v>219828</v>
      </c>
      <c r="F15" s="1962"/>
      <c r="G15" s="1962">
        <v>219828</v>
      </c>
      <c r="H15" s="1962"/>
      <c r="I15" s="1962"/>
      <c r="J15" s="1962"/>
      <c r="K15" s="1962"/>
      <c r="L15" s="1971">
        <f t="shared" si="0"/>
        <v>219828</v>
      </c>
      <c r="M15" s="1962" t="s">
        <v>2074</v>
      </c>
    </row>
    <row r="16" spans="2:14" ht="20.100000000000001" customHeight="1" x14ac:dyDescent="0.2">
      <c r="B16" s="1968" t="s">
        <v>2076</v>
      </c>
      <c r="C16" s="1969">
        <v>10.555</v>
      </c>
      <c r="D16" s="1970">
        <v>2018</v>
      </c>
      <c r="E16" s="1962"/>
      <c r="F16" s="1962">
        <v>197867</v>
      </c>
      <c r="G16" s="1962"/>
      <c r="H16" s="1962"/>
      <c r="I16" s="1962">
        <v>197867</v>
      </c>
      <c r="J16" s="1962"/>
      <c r="K16" s="1962"/>
      <c r="L16" s="1971">
        <f t="shared" si="0"/>
        <v>197867</v>
      </c>
      <c r="M16" s="1962" t="s">
        <v>2074</v>
      </c>
    </row>
    <row r="17" spans="2:14" ht="20.100000000000001" customHeight="1" x14ac:dyDescent="0.2">
      <c r="B17" s="1968" t="s">
        <v>2077</v>
      </c>
      <c r="C17" s="1969">
        <v>10.555</v>
      </c>
      <c r="D17" s="1970" t="s">
        <v>2078</v>
      </c>
      <c r="E17" s="1962">
        <v>1458428</v>
      </c>
      <c r="F17" s="1962">
        <v>319920</v>
      </c>
      <c r="G17" s="1962">
        <v>1464396</v>
      </c>
      <c r="H17" s="1962"/>
      <c r="I17" s="1962">
        <v>313952</v>
      </c>
      <c r="J17" s="1962"/>
      <c r="K17" s="1962"/>
      <c r="L17" s="1971">
        <f t="shared" si="0"/>
        <v>1778348</v>
      </c>
      <c r="M17" s="1962" t="s">
        <v>2074</v>
      </c>
    </row>
    <row r="18" spans="2:14" ht="20.100000000000001" customHeight="1" x14ac:dyDescent="0.2">
      <c r="B18" s="1968" t="s">
        <v>2080</v>
      </c>
      <c r="C18" s="1969">
        <v>10.555</v>
      </c>
      <c r="D18" s="1970" t="s">
        <v>2081</v>
      </c>
      <c r="E18" s="1962"/>
      <c r="F18" s="1962">
        <v>1362700</v>
      </c>
      <c r="G18" s="1962"/>
      <c r="H18" s="1962"/>
      <c r="I18" s="1962">
        <v>1362700</v>
      </c>
      <c r="J18" s="1962"/>
      <c r="K18" s="1962"/>
      <c r="L18" s="1971">
        <f t="shared" si="0"/>
        <v>1362700</v>
      </c>
      <c r="M18" s="1962" t="s">
        <v>2074</v>
      </c>
    </row>
    <row r="19" spans="2:14" ht="20.100000000000001" customHeight="1" x14ac:dyDescent="0.2">
      <c r="B19" s="1973" t="s">
        <v>2148</v>
      </c>
      <c r="C19" s="1974"/>
      <c r="D19" s="1975"/>
      <c r="E19" s="1976">
        <f t="shared" ref="E19:K19" si="1">SUM(E12:E18)</f>
        <v>1787214</v>
      </c>
      <c r="F19" s="1976">
        <f t="shared" si="1"/>
        <v>1983983</v>
      </c>
      <c r="G19" s="1976">
        <f t="shared" si="1"/>
        <v>1793182</v>
      </c>
      <c r="H19" s="1976">
        <f t="shared" si="1"/>
        <v>0</v>
      </c>
      <c r="I19" s="1976">
        <f t="shared" si="1"/>
        <v>1978015</v>
      </c>
      <c r="J19" s="1976">
        <f t="shared" si="1"/>
        <v>0</v>
      </c>
      <c r="K19" s="1976">
        <f t="shared" si="1"/>
        <v>0</v>
      </c>
      <c r="L19" s="1977">
        <f t="shared" si="0"/>
        <v>3771197</v>
      </c>
      <c r="M19" s="1976" t="s">
        <v>2074</v>
      </c>
    </row>
    <row r="20" spans="2:14" ht="20.100000000000001" customHeight="1" x14ac:dyDescent="0.2">
      <c r="B20" s="1968" t="s">
        <v>2082</v>
      </c>
      <c r="C20" s="1969">
        <v>10.553000000000001</v>
      </c>
      <c r="D20" s="1970" t="s">
        <v>2084</v>
      </c>
      <c r="E20" s="1962">
        <v>439627</v>
      </c>
      <c r="F20" s="1962">
        <v>99682</v>
      </c>
      <c r="G20" s="1962">
        <v>441381</v>
      </c>
      <c r="H20" s="1962"/>
      <c r="I20" s="1962">
        <v>97928</v>
      </c>
      <c r="J20" s="1962"/>
      <c r="K20" s="1962"/>
      <c r="L20" s="1971">
        <f t="shared" si="0"/>
        <v>539309</v>
      </c>
      <c r="M20" s="1962" t="s">
        <v>2074</v>
      </c>
    </row>
    <row r="21" spans="2:14" ht="20.100000000000001" customHeight="1" x14ac:dyDescent="0.2">
      <c r="B21" s="1968" t="s">
        <v>2083</v>
      </c>
      <c r="C21" s="1969">
        <v>10.553000000000001</v>
      </c>
      <c r="D21" s="1970" t="s">
        <v>2085</v>
      </c>
      <c r="E21" s="1962"/>
      <c r="F21" s="1962">
        <v>444917</v>
      </c>
      <c r="G21" s="1962"/>
      <c r="H21" s="1962"/>
      <c r="I21" s="1962">
        <v>444917</v>
      </c>
      <c r="J21" s="1962"/>
      <c r="K21" s="1962"/>
      <c r="L21" s="1971">
        <f t="shared" si="0"/>
        <v>444917</v>
      </c>
      <c r="M21" s="1962" t="s">
        <v>2074</v>
      </c>
    </row>
    <row r="22" spans="2:14" ht="20.100000000000001" customHeight="1" x14ac:dyDescent="0.2">
      <c r="B22" s="1973" t="s">
        <v>2149</v>
      </c>
      <c r="C22" s="1969"/>
      <c r="D22" s="1970"/>
      <c r="E22" s="1976">
        <f t="shared" ref="E22:K22" si="2">+E20+E21</f>
        <v>439627</v>
      </c>
      <c r="F22" s="1976">
        <f t="shared" si="2"/>
        <v>544599</v>
      </c>
      <c r="G22" s="1976">
        <f t="shared" si="2"/>
        <v>441381</v>
      </c>
      <c r="H22" s="1976">
        <f t="shared" si="2"/>
        <v>0</v>
      </c>
      <c r="I22" s="1976">
        <f t="shared" si="2"/>
        <v>542845</v>
      </c>
      <c r="J22" s="1976">
        <f t="shared" si="2"/>
        <v>0</v>
      </c>
      <c r="K22" s="1976">
        <f t="shared" si="2"/>
        <v>0</v>
      </c>
      <c r="L22" s="1977">
        <f t="shared" si="0"/>
        <v>984226</v>
      </c>
      <c r="M22" s="1976" t="s">
        <v>2074</v>
      </c>
    </row>
    <row r="23" spans="2:14" ht="20.100000000000001" customHeight="1" x14ac:dyDescent="0.2">
      <c r="B23" s="1968" t="s">
        <v>2086</v>
      </c>
      <c r="C23" s="1969">
        <v>10.558999999999999</v>
      </c>
      <c r="D23" s="1970" t="s">
        <v>2087</v>
      </c>
      <c r="E23" s="1962"/>
      <c r="F23" s="1962">
        <v>64823</v>
      </c>
      <c r="G23" s="1962">
        <v>43844</v>
      </c>
      <c r="H23" s="1962"/>
      <c r="I23" s="1962">
        <f>15981+4998</f>
        <v>20979</v>
      </c>
      <c r="J23" s="1962"/>
      <c r="K23" s="1962"/>
      <c r="L23" s="1971">
        <f t="shared" si="0"/>
        <v>64823</v>
      </c>
      <c r="M23" s="1962" t="s">
        <v>2074</v>
      </c>
    </row>
    <row r="24" spans="2:14" ht="20.100000000000001" customHeight="1" x14ac:dyDescent="0.2">
      <c r="B24" s="1968" t="s">
        <v>2086</v>
      </c>
      <c r="C24" s="1969">
        <v>10.558999999999999</v>
      </c>
      <c r="D24" s="1970" t="s">
        <v>2088</v>
      </c>
      <c r="E24" s="1962"/>
      <c r="F24" s="1962"/>
      <c r="G24" s="1962"/>
      <c r="H24" s="1962"/>
      <c r="I24" s="1962">
        <v>48344</v>
      </c>
      <c r="J24" s="1962"/>
      <c r="K24" s="1962"/>
      <c r="L24" s="1971">
        <f t="shared" si="0"/>
        <v>48344</v>
      </c>
      <c r="M24" s="1962" t="s">
        <v>2074</v>
      </c>
    </row>
    <row r="25" spans="2:14" ht="20.100000000000001" customHeight="1" x14ac:dyDescent="0.2">
      <c r="B25" s="1968" t="s">
        <v>2150</v>
      </c>
      <c r="C25" s="1969"/>
      <c r="D25" s="1970"/>
      <c r="E25" s="1976">
        <f t="shared" ref="E25:K25" si="3">+E23+E24</f>
        <v>0</v>
      </c>
      <c r="F25" s="1976">
        <f t="shared" si="3"/>
        <v>64823</v>
      </c>
      <c r="G25" s="1976">
        <f t="shared" si="3"/>
        <v>43844</v>
      </c>
      <c r="H25" s="1976">
        <f t="shared" si="3"/>
        <v>0</v>
      </c>
      <c r="I25" s="1976">
        <f t="shared" si="3"/>
        <v>69323</v>
      </c>
      <c r="J25" s="1976">
        <f t="shared" si="3"/>
        <v>0</v>
      </c>
      <c r="K25" s="1976">
        <f t="shared" si="3"/>
        <v>0</v>
      </c>
      <c r="L25" s="1977">
        <f t="shared" si="0"/>
        <v>113167</v>
      </c>
      <c r="M25" s="1976" t="s">
        <v>2074</v>
      </c>
    </row>
    <row r="26" spans="2:14" ht="20.100000000000001" customHeight="1" x14ac:dyDescent="0.2">
      <c r="B26" s="1978" t="s">
        <v>2152</v>
      </c>
      <c r="C26" s="1969"/>
      <c r="D26" s="1970"/>
      <c r="E26" s="1979">
        <f t="shared" ref="E26:L26" si="4">+E19+E22+E25</f>
        <v>2226841</v>
      </c>
      <c r="F26" s="1979">
        <f t="shared" si="4"/>
        <v>2593405</v>
      </c>
      <c r="G26" s="1979">
        <f t="shared" si="4"/>
        <v>2278407</v>
      </c>
      <c r="H26" s="1979">
        <f t="shared" si="4"/>
        <v>0</v>
      </c>
      <c r="I26" s="1979">
        <f t="shared" si="4"/>
        <v>2590183</v>
      </c>
      <c r="J26" s="1979">
        <f t="shared" si="4"/>
        <v>0</v>
      </c>
      <c r="K26" s="1979">
        <f t="shared" si="4"/>
        <v>0</v>
      </c>
      <c r="L26" s="1980">
        <f t="shared" si="4"/>
        <v>4868590</v>
      </c>
      <c r="M26" s="1979" t="s">
        <v>2074</v>
      </c>
    </row>
    <row r="27" spans="2:14" ht="20.100000000000001" customHeight="1" x14ac:dyDescent="0.2">
      <c r="B27" s="1968"/>
      <c r="C27" s="1969"/>
      <c r="D27" s="1970"/>
      <c r="E27" s="1962"/>
      <c r="F27" s="1962"/>
      <c r="G27" s="1962"/>
      <c r="H27" s="1962"/>
      <c r="I27" s="1962"/>
      <c r="J27" s="1962"/>
      <c r="K27" s="1962"/>
      <c r="L27" s="1971">
        <f t="shared" si="0"/>
        <v>0</v>
      </c>
      <c r="M27" s="1962"/>
    </row>
    <row r="28" spans="2:14" ht="20.100000000000001" customHeight="1" x14ac:dyDescent="0.2">
      <c r="B28" s="1978" t="s">
        <v>2089</v>
      </c>
      <c r="C28" s="1969"/>
      <c r="D28" s="1970"/>
      <c r="E28" s="1979">
        <f t="shared" ref="E28:K28" si="5">+E19+E22+E25</f>
        <v>2226841</v>
      </c>
      <c r="F28" s="1979">
        <f t="shared" si="5"/>
        <v>2593405</v>
      </c>
      <c r="G28" s="1979">
        <f t="shared" si="5"/>
        <v>2278407</v>
      </c>
      <c r="H28" s="1979">
        <f t="shared" si="5"/>
        <v>0</v>
      </c>
      <c r="I28" s="1979">
        <f t="shared" si="5"/>
        <v>2590183</v>
      </c>
      <c r="J28" s="1979">
        <f t="shared" si="5"/>
        <v>0</v>
      </c>
      <c r="K28" s="1979">
        <f t="shared" si="5"/>
        <v>0</v>
      </c>
      <c r="L28" s="1980">
        <f t="shared" si="0"/>
        <v>4868590</v>
      </c>
      <c r="M28" s="1979" t="s">
        <v>2074</v>
      </c>
      <c r="N28" s="1344"/>
    </row>
    <row r="29" spans="2:14" ht="12.75" customHeight="1" x14ac:dyDescent="0.2">
      <c r="B29" s="1345"/>
      <c r="C29" s="1346"/>
      <c r="D29" s="1347"/>
      <c r="E29" s="1348"/>
      <c r="F29" s="1348"/>
      <c r="G29" s="1348"/>
      <c r="H29" s="1348"/>
      <c r="I29" s="1348"/>
      <c r="J29" s="1348"/>
      <c r="K29" s="1348"/>
      <c r="L29" s="1348"/>
      <c r="M29" s="1348"/>
      <c r="N29" s="1344"/>
    </row>
    <row r="30" spans="2:14" ht="7.15" customHeight="1" x14ac:dyDescent="0.2">
      <c r="B30" s="1257"/>
      <c r="C30" s="1349"/>
      <c r="D30" s="1350"/>
      <c r="E30" s="1257"/>
      <c r="F30" s="1257"/>
      <c r="G30" s="1250"/>
      <c r="H30" s="1250"/>
      <c r="I30" s="1250"/>
      <c r="J30" s="1250"/>
      <c r="K30" s="1250"/>
      <c r="L30" s="1250"/>
      <c r="M30" s="1257"/>
      <c r="N30" s="1344"/>
    </row>
    <row r="31" spans="2:14" ht="13.5" customHeight="1" x14ac:dyDescent="0.2">
      <c r="B31" s="1282" t="s">
        <v>1836</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1947</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1307</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1837</v>
      </c>
      <c r="C38" s="1365"/>
      <c r="D38" s="1365"/>
      <c r="E38" s="1365"/>
      <c r="F38" s="1365"/>
      <c r="G38" s="1365"/>
      <c r="H38" s="1365"/>
      <c r="I38" s="1366"/>
      <c r="J38" s="1366"/>
      <c r="K38" s="1366"/>
      <c r="L38" s="1366"/>
      <c r="M38" s="1366"/>
    </row>
    <row r="39" spans="2:13" ht="11.25" customHeight="1" x14ac:dyDescent="0.2">
      <c r="B39" s="1367" t="s">
        <v>1665</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1838</v>
      </c>
      <c r="C41" s="1366"/>
      <c r="D41" s="1366"/>
      <c r="E41" s="1366"/>
      <c r="F41" s="1366"/>
      <c r="G41" s="1366"/>
      <c r="H41" s="1366"/>
      <c r="I41" s="1366"/>
      <c r="J41" s="1366"/>
      <c r="K41" s="1366"/>
      <c r="L41" s="1366"/>
      <c r="M41" s="1366"/>
    </row>
    <row r="42" spans="2:13" ht="11.25" customHeight="1" x14ac:dyDescent="0.2">
      <c r="B42" s="1300" t="s">
        <v>1666</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1839</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1840</v>
      </c>
      <c r="C46" s="1368"/>
      <c r="D46" s="1369"/>
      <c r="E46" s="1300"/>
      <c r="F46" s="1300"/>
      <c r="G46" s="1300"/>
      <c r="H46" s="1300"/>
      <c r="I46" s="1300"/>
      <c r="J46" s="1300"/>
      <c r="K46" s="1370"/>
      <c r="L46" s="1370"/>
      <c r="M46" s="1300"/>
    </row>
    <row r="47" spans="2:13" ht="11.25" customHeight="1" x14ac:dyDescent="0.2">
      <c r="B47" s="1300" t="s">
        <v>1667</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1"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22" sqref="A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2" t="s">
        <v>1229</v>
      </c>
      <c r="B2" s="2102"/>
      <c r="C2" s="2102"/>
      <c r="D2" s="2102"/>
      <c r="E2" s="2102"/>
      <c r="F2" s="2102"/>
      <c r="G2" s="2102"/>
      <c r="H2" s="2102"/>
      <c r="I2" s="2102"/>
      <c r="J2" s="210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6" t="s">
        <v>1730</v>
      </c>
      <c r="B35" s="2117"/>
      <c r="C35" s="2117"/>
      <c r="D35" s="2117"/>
      <c r="E35" s="2118"/>
      <c r="F35" s="2118"/>
      <c r="G35" s="2118"/>
      <c r="H35" s="2118"/>
      <c r="I35" s="211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6" t="s">
        <v>330</v>
      </c>
      <c r="B47" s="2119"/>
      <c r="C47" s="2119"/>
      <c r="D47" s="2119"/>
      <c r="E47" s="2120"/>
      <c r="F47" s="2120"/>
      <c r="G47" s="2120"/>
      <c r="H47" s="2120"/>
      <c r="I47" s="212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2230</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3"/>
      <c r="C57" s="2124"/>
      <c r="D57" s="2124"/>
      <c r="E57" s="2124"/>
      <c r="F57" s="2124"/>
      <c r="G57" s="2124"/>
      <c r="H57" s="2124"/>
      <c r="I57" s="2124"/>
      <c r="J57" s="2125"/>
    </row>
    <row r="58" spans="1:10" s="181" customFormat="1" x14ac:dyDescent="0.2">
      <c r="A58" s="253"/>
      <c r="B58" s="2126"/>
      <c r="C58" s="2127"/>
      <c r="D58" s="2127"/>
      <c r="E58" s="2127"/>
      <c r="F58" s="2127"/>
      <c r="G58" s="2127"/>
      <c r="H58" s="2127"/>
      <c r="I58" s="2127"/>
      <c r="J58" s="2128"/>
    </row>
    <row r="59" spans="1:10" s="181" customFormat="1" x14ac:dyDescent="0.2">
      <c r="A59" s="253"/>
      <c r="B59" s="2126"/>
      <c r="C59" s="2127"/>
      <c r="D59" s="2127"/>
      <c r="E59" s="2127"/>
      <c r="F59" s="2127"/>
      <c r="G59" s="2127"/>
      <c r="H59" s="2127"/>
      <c r="I59" s="2127"/>
      <c r="J59" s="2128"/>
    </row>
    <row r="60" spans="1:10" s="181" customFormat="1" x14ac:dyDescent="0.2">
      <c r="A60" s="253"/>
      <c r="B60" s="2126"/>
      <c r="C60" s="2127"/>
      <c r="D60" s="2127"/>
      <c r="E60" s="2127"/>
      <c r="F60" s="2127"/>
      <c r="G60" s="2127"/>
      <c r="H60" s="2127"/>
      <c r="I60" s="2127"/>
      <c r="J60" s="2128"/>
    </row>
    <row r="61" spans="1:10" s="181" customFormat="1" x14ac:dyDescent="0.2">
      <c r="A61" s="253"/>
      <c r="B61" s="2126"/>
      <c r="C61" s="2127"/>
      <c r="D61" s="2127"/>
      <c r="E61" s="2127"/>
      <c r="F61" s="2127"/>
      <c r="G61" s="2127"/>
      <c r="H61" s="2127"/>
      <c r="I61" s="2127"/>
      <c r="J61" s="2128"/>
    </row>
    <row r="62" spans="1:10" s="181" customFormat="1" x14ac:dyDescent="0.2">
      <c r="A62" s="253"/>
      <c r="B62" s="2126"/>
      <c r="C62" s="2127"/>
      <c r="D62" s="2127"/>
      <c r="E62" s="2127"/>
      <c r="F62" s="2127"/>
      <c r="G62" s="2127"/>
      <c r="H62" s="2127"/>
      <c r="I62" s="2127"/>
      <c r="J62" s="2128"/>
    </row>
    <row r="63" spans="1:10" s="181" customFormat="1" x14ac:dyDescent="0.2">
      <c r="A63" s="253"/>
      <c r="B63" s="2126"/>
      <c r="C63" s="2127"/>
      <c r="D63" s="2127"/>
      <c r="E63" s="2127"/>
      <c r="F63" s="2127"/>
      <c r="G63" s="2127"/>
      <c r="H63" s="2127"/>
      <c r="I63" s="2127"/>
      <c r="J63" s="2128"/>
    </row>
    <row r="64" spans="1:10" s="181" customFormat="1" x14ac:dyDescent="0.2">
      <c r="A64" s="253"/>
      <c r="B64" s="2126"/>
      <c r="C64" s="2127"/>
      <c r="D64" s="2127"/>
      <c r="E64" s="2127"/>
      <c r="F64" s="2127"/>
      <c r="G64" s="2127"/>
      <c r="H64" s="2127"/>
      <c r="I64" s="2127"/>
      <c r="J64" s="2128"/>
    </row>
    <row r="65" spans="1:10" s="181" customFormat="1" x14ac:dyDescent="0.2">
      <c r="A65" s="253"/>
      <c r="B65" s="2126"/>
      <c r="C65" s="2127"/>
      <c r="D65" s="2127"/>
      <c r="E65" s="2127"/>
      <c r="F65" s="2127"/>
      <c r="G65" s="2127"/>
      <c r="H65" s="2127"/>
      <c r="I65" s="2127"/>
      <c r="J65" s="2128"/>
    </row>
    <row r="66" spans="1:10" s="181" customFormat="1" x14ac:dyDescent="0.2">
      <c r="A66" s="253"/>
      <c r="B66" s="2126"/>
      <c r="C66" s="2127"/>
      <c r="D66" s="2127"/>
      <c r="E66" s="2127"/>
      <c r="F66" s="2127"/>
      <c r="G66" s="2127"/>
      <c r="H66" s="2127"/>
      <c r="I66" s="2127"/>
      <c r="J66" s="2128"/>
    </row>
    <row r="67" spans="1:10" s="181" customFormat="1" ht="9" customHeight="1" x14ac:dyDescent="0.2">
      <c r="A67" s="254"/>
      <c r="B67" s="2129"/>
      <c r="C67" s="2130"/>
      <c r="D67" s="2130"/>
      <c r="E67" s="2130"/>
      <c r="F67" s="2130"/>
      <c r="G67" s="2130"/>
      <c r="H67" s="2130"/>
      <c r="I67" s="2130"/>
      <c r="J67" s="213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6" t="s">
        <v>1389</v>
      </c>
      <c r="B70" s="2119"/>
      <c r="C70" s="2119"/>
      <c r="D70" s="2119"/>
      <c r="E70" s="2120"/>
      <c r="F70" s="2120"/>
      <c r="G70" s="2120"/>
      <c r="H70" s="2120"/>
      <c r="I70" s="212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1" t="s">
        <v>1386</v>
      </c>
      <c r="B83" s="2121"/>
      <c r="C83" s="2121"/>
      <c r="D83" s="212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3"/>
      <c r="C102" s="2104"/>
      <c r="D102" s="2104"/>
      <c r="E102" s="2104"/>
      <c r="F102" s="2104"/>
      <c r="G102" s="2104"/>
      <c r="H102" s="2104"/>
      <c r="I102" s="2105"/>
    </row>
    <row r="103" spans="1:9" s="181" customFormat="1" ht="11.25" customHeight="1" x14ac:dyDescent="0.2">
      <c r="A103" s="316"/>
      <c r="B103" s="2106"/>
      <c r="C103" s="2107"/>
      <c r="D103" s="2107"/>
      <c r="E103" s="2107"/>
      <c r="F103" s="2107"/>
      <c r="G103" s="2107"/>
      <c r="H103" s="2107"/>
      <c r="I103" s="2108"/>
    </row>
    <row r="104" spans="1:9" s="181" customFormat="1" ht="11.25" customHeight="1" x14ac:dyDescent="0.2">
      <c r="A104" s="316"/>
      <c r="B104" s="2106"/>
      <c r="C104" s="2107"/>
      <c r="D104" s="2107"/>
      <c r="E104" s="2107"/>
      <c r="F104" s="2107"/>
      <c r="G104" s="2107"/>
      <c r="H104" s="2107"/>
      <c r="I104" s="2108"/>
    </row>
    <row r="105" spans="1:9" s="181" customFormat="1" x14ac:dyDescent="0.2">
      <c r="A105" s="316"/>
      <c r="B105" s="2106"/>
      <c r="C105" s="2107"/>
      <c r="D105" s="2107"/>
      <c r="E105" s="2107"/>
      <c r="F105" s="2107"/>
      <c r="G105" s="2107"/>
      <c r="H105" s="2107"/>
      <c r="I105" s="2108"/>
    </row>
    <row r="106" spans="1:9" s="181" customFormat="1" ht="11.25" customHeight="1" x14ac:dyDescent="0.2">
      <c r="A106" s="316"/>
      <c r="B106" s="2106"/>
      <c r="C106" s="2107"/>
      <c r="D106" s="2107"/>
      <c r="E106" s="2107"/>
      <c r="F106" s="2107"/>
      <c r="G106" s="2107"/>
      <c r="H106" s="2107"/>
      <c r="I106" s="2108"/>
    </row>
    <row r="107" spans="1:9" s="181" customFormat="1" ht="11.25" customHeight="1" x14ac:dyDescent="0.2">
      <c r="A107" s="316"/>
      <c r="B107" s="2106"/>
      <c r="C107" s="2107"/>
      <c r="D107" s="2107"/>
      <c r="E107" s="2107"/>
      <c r="F107" s="2107"/>
      <c r="G107" s="2107"/>
      <c r="H107" s="2107"/>
      <c r="I107" s="2108"/>
    </row>
    <row r="108" spans="1:9" s="181" customFormat="1" ht="11.25" customHeight="1" x14ac:dyDescent="0.2">
      <c r="A108" s="316"/>
      <c r="B108" s="2106"/>
      <c r="C108" s="2107"/>
      <c r="D108" s="2107"/>
      <c r="E108" s="2107"/>
      <c r="F108" s="2107"/>
      <c r="G108" s="2107"/>
      <c r="H108" s="2107"/>
      <c r="I108" s="2108"/>
    </row>
    <row r="109" spans="1:9" s="181" customFormat="1" ht="11.25" customHeight="1" x14ac:dyDescent="0.2">
      <c r="A109" s="316"/>
      <c r="B109" s="2106"/>
      <c r="C109" s="2107"/>
      <c r="D109" s="2107"/>
      <c r="E109" s="2107"/>
      <c r="F109" s="2107"/>
      <c r="G109" s="2107"/>
      <c r="H109" s="2107"/>
      <c r="I109" s="2108"/>
    </row>
    <row r="110" spans="1:9" s="181" customFormat="1" ht="11.25" customHeight="1" x14ac:dyDescent="0.2">
      <c r="A110" s="316"/>
      <c r="B110" s="2106"/>
      <c r="C110" s="2107"/>
      <c r="D110" s="2107"/>
      <c r="E110" s="2107"/>
      <c r="F110" s="2107"/>
      <c r="G110" s="2107"/>
      <c r="H110" s="2107"/>
      <c r="I110" s="2108"/>
    </row>
    <row r="111" spans="1:9" s="181" customFormat="1" ht="11.25" customHeight="1" x14ac:dyDescent="0.2">
      <c r="A111" s="316"/>
      <c r="B111" s="2106"/>
      <c r="C111" s="2107"/>
      <c r="D111" s="2107"/>
      <c r="E111" s="2107"/>
      <c r="F111" s="2107"/>
      <c r="G111" s="2107"/>
      <c r="H111" s="2107"/>
      <c r="I111" s="2108"/>
    </row>
    <row r="112" spans="1:9" s="181" customFormat="1" ht="11.25" customHeight="1" x14ac:dyDescent="0.2">
      <c r="A112" s="316"/>
      <c r="B112" s="2109"/>
      <c r="C112" s="2110"/>
      <c r="D112" s="2110"/>
      <c r="E112" s="2110"/>
      <c r="F112" s="2110"/>
      <c r="G112" s="2110"/>
      <c r="H112" s="2110"/>
      <c r="I112" s="21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2" t="s">
        <v>2170</v>
      </c>
      <c r="D114" s="211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3" t="s">
        <v>1396</v>
      </c>
      <c r="D117" s="2114"/>
      <c r="E117" s="2115"/>
      <c r="F117" s="2115"/>
      <c r="G117" s="2115"/>
      <c r="H117" s="211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7" zoomScaleNormal="100"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0" t="str">
        <f>'Single Audit Cover'!A7</f>
        <v>Quincy SD 172</v>
      </c>
      <c r="C1" s="2494"/>
      <c r="D1" s="2494"/>
      <c r="E1" s="2494"/>
      <c r="F1" s="2494"/>
      <c r="G1" s="2494"/>
      <c r="H1" s="2494"/>
      <c r="I1" s="2494"/>
      <c r="J1" s="2494"/>
      <c r="K1" s="2494"/>
      <c r="L1" s="2494"/>
      <c r="M1" s="2494"/>
    </row>
    <row r="2" spans="2:14" ht="15" x14ac:dyDescent="0.2">
      <c r="B2" s="2491">
        <f>'Single Audit Cover'!E7</f>
        <v>1001172022</v>
      </c>
      <c r="C2" s="2491"/>
      <c r="D2" s="2491"/>
      <c r="E2" s="2491"/>
      <c r="F2" s="2491"/>
      <c r="G2" s="2491"/>
      <c r="H2" s="2491"/>
      <c r="I2" s="2491"/>
      <c r="J2" s="2491"/>
      <c r="K2" s="2491"/>
      <c r="L2" s="2491"/>
      <c r="M2" s="2491"/>
      <c r="N2" s="1302"/>
    </row>
    <row r="3" spans="2:14" ht="15" x14ac:dyDescent="0.2">
      <c r="B3" s="2495" t="s">
        <v>1280</v>
      </c>
      <c r="C3" s="2495"/>
      <c r="D3" s="2495"/>
      <c r="E3" s="2495"/>
      <c r="F3" s="2495"/>
      <c r="G3" s="2495"/>
      <c r="H3" s="2495"/>
      <c r="I3" s="2495"/>
      <c r="J3" s="2495"/>
      <c r="K3" s="2495"/>
      <c r="L3" s="2495"/>
      <c r="M3" s="2495"/>
      <c r="N3" s="1302"/>
    </row>
    <row r="4" spans="2:14" ht="15" x14ac:dyDescent="0.2">
      <c r="B4" s="2496" t="str">
        <f>'Single Audit Cover'!A4</f>
        <v>Year Ending June 30, 2018</v>
      </c>
      <c r="C4" s="2496"/>
      <c r="D4" s="2496"/>
      <c r="E4" s="2496"/>
      <c r="F4" s="2496"/>
      <c r="G4" s="2496"/>
      <c r="H4" s="2496"/>
      <c r="I4" s="2496"/>
      <c r="J4" s="2496"/>
      <c r="K4" s="2496"/>
      <c r="L4" s="2496"/>
      <c r="M4" s="249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7" x14ac:dyDescent="0.2">
      <c r="B11" s="1972" t="s">
        <v>2090</v>
      </c>
      <c r="C11" s="1981"/>
      <c r="D11" s="1982"/>
      <c r="E11" s="1971"/>
      <c r="F11" s="1971"/>
      <c r="G11" s="1971"/>
      <c r="H11" s="1971"/>
      <c r="I11" s="1971"/>
      <c r="J11" s="1971"/>
      <c r="K11" s="1971"/>
      <c r="L11" s="1971">
        <f>+G11+I11+K11</f>
        <v>0</v>
      </c>
      <c r="M11" s="1971"/>
    </row>
    <row r="12" spans="2:14" ht="20.100000000000001" customHeight="1" x14ac:dyDescent="0.2">
      <c r="B12" s="1968" t="s">
        <v>2091</v>
      </c>
      <c r="C12" s="1969" t="s">
        <v>2094</v>
      </c>
      <c r="D12" s="1970" t="s">
        <v>2095</v>
      </c>
      <c r="E12" s="1962">
        <v>1775746</v>
      </c>
      <c r="F12" s="1962">
        <v>446082</v>
      </c>
      <c r="G12" s="1962">
        <v>1868694</v>
      </c>
      <c r="H12" s="1962"/>
      <c r="I12" s="1962">
        <v>349118</v>
      </c>
      <c r="J12" s="1962"/>
      <c r="K12" s="1962"/>
      <c r="L12" s="1971">
        <f t="shared" ref="L12:L29" si="0">+G12+I12+K12</f>
        <v>2217812</v>
      </c>
      <c r="M12" s="1962">
        <v>2473556</v>
      </c>
    </row>
    <row r="13" spans="2:14" ht="20.100000000000001" customHeight="1" x14ac:dyDescent="0.2">
      <c r="B13" s="1968" t="s">
        <v>2143</v>
      </c>
      <c r="C13" s="1969" t="s">
        <v>2094</v>
      </c>
      <c r="D13" s="1970" t="s">
        <v>2096</v>
      </c>
      <c r="E13" s="1962"/>
      <c r="F13" s="1962">
        <v>1447217</v>
      </c>
      <c r="G13" s="1962"/>
      <c r="H13" s="1962"/>
      <c r="I13" s="1962">
        <v>1531685</v>
      </c>
      <c r="J13" s="1962"/>
      <c r="K13" s="1962"/>
      <c r="L13" s="1971">
        <f t="shared" si="0"/>
        <v>1531685</v>
      </c>
      <c r="M13" s="1962">
        <v>2445705</v>
      </c>
    </row>
    <row r="14" spans="2:14" ht="20.100000000000001" customHeight="1" x14ac:dyDescent="0.2">
      <c r="B14" s="1968" t="s">
        <v>2092</v>
      </c>
      <c r="C14" s="1969" t="s">
        <v>2094</v>
      </c>
      <c r="D14" s="1970" t="s">
        <v>2097</v>
      </c>
      <c r="E14" s="1962">
        <v>48790</v>
      </c>
      <c r="F14" s="1962">
        <v>12040</v>
      </c>
      <c r="G14" s="1962">
        <v>49931</v>
      </c>
      <c r="H14" s="1962"/>
      <c r="I14" s="1962">
        <v>10899</v>
      </c>
      <c r="J14" s="1962"/>
      <c r="K14" s="1962"/>
      <c r="L14" s="1971">
        <f t="shared" si="0"/>
        <v>60830</v>
      </c>
      <c r="M14" s="1962">
        <v>67167</v>
      </c>
    </row>
    <row r="15" spans="2:14" ht="20.100000000000001" customHeight="1" x14ac:dyDescent="0.2">
      <c r="B15" s="1968" t="s">
        <v>2092</v>
      </c>
      <c r="C15" s="1969" t="s">
        <v>2094</v>
      </c>
      <c r="D15" s="1970" t="s">
        <v>2098</v>
      </c>
      <c r="E15" s="1962"/>
      <c r="F15" s="1962">
        <v>49666</v>
      </c>
      <c r="G15" s="1962"/>
      <c r="H15" s="1962"/>
      <c r="I15" s="1962">
        <v>50667</v>
      </c>
      <c r="J15" s="1962"/>
      <c r="K15" s="1962"/>
      <c r="L15" s="1971">
        <f t="shared" si="0"/>
        <v>50667</v>
      </c>
      <c r="M15" s="1962">
        <v>63727</v>
      </c>
    </row>
    <row r="16" spans="2:14" ht="20.100000000000001" customHeight="1" x14ac:dyDescent="0.2">
      <c r="B16" s="1968" t="s">
        <v>2093</v>
      </c>
      <c r="C16" s="1969" t="s">
        <v>2094</v>
      </c>
      <c r="D16" s="1970" t="s">
        <v>2099</v>
      </c>
      <c r="E16" s="1962">
        <v>50996</v>
      </c>
      <c r="F16" s="1962">
        <v>10150</v>
      </c>
      <c r="G16" s="1962">
        <v>55994</v>
      </c>
      <c r="H16" s="1962"/>
      <c r="I16" s="1962">
        <v>5152</v>
      </c>
      <c r="J16" s="1962"/>
      <c r="K16" s="1962"/>
      <c r="L16" s="1971">
        <f t="shared" si="0"/>
        <v>61146</v>
      </c>
      <c r="M16" s="1962">
        <v>62804</v>
      </c>
    </row>
    <row r="17" spans="2:14" ht="20.100000000000001" customHeight="1" x14ac:dyDescent="0.2">
      <c r="B17" s="1968" t="s">
        <v>2093</v>
      </c>
      <c r="C17" s="1969" t="s">
        <v>2094</v>
      </c>
      <c r="D17" s="1970" t="s">
        <v>2100</v>
      </c>
      <c r="E17" s="1962"/>
      <c r="F17" s="1962">
        <v>44154</v>
      </c>
      <c r="G17" s="1962"/>
      <c r="H17" s="1962"/>
      <c r="I17" s="1962">
        <v>48177</v>
      </c>
      <c r="J17" s="1962"/>
      <c r="K17" s="1962"/>
      <c r="L17" s="1971">
        <f t="shared" si="0"/>
        <v>48177</v>
      </c>
      <c r="M17" s="1962">
        <v>57917</v>
      </c>
    </row>
    <row r="18" spans="2:14" ht="20.100000000000001" customHeight="1" x14ac:dyDescent="0.2">
      <c r="B18" s="1968" t="s">
        <v>2156</v>
      </c>
      <c r="C18" s="1969"/>
      <c r="D18" s="1970"/>
      <c r="E18" s="1976">
        <f t="shared" ref="E18:K18" si="1">SUM(E12:E17)</f>
        <v>1875532</v>
      </c>
      <c r="F18" s="1976">
        <f t="shared" si="1"/>
        <v>2009309</v>
      </c>
      <c r="G18" s="1976">
        <f t="shared" si="1"/>
        <v>1974619</v>
      </c>
      <c r="H18" s="1976">
        <f t="shared" si="1"/>
        <v>0</v>
      </c>
      <c r="I18" s="1976">
        <f t="shared" si="1"/>
        <v>1995698</v>
      </c>
      <c r="J18" s="1976">
        <f t="shared" si="1"/>
        <v>0</v>
      </c>
      <c r="K18" s="1976">
        <f t="shared" si="1"/>
        <v>0</v>
      </c>
      <c r="L18" s="1977">
        <f t="shared" si="0"/>
        <v>3970317</v>
      </c>
      <c r="M18" s="1976">
        <f>SUM(M12:M17)</f>
        <v>5170876</v>
      </c>
    </row>
    <row r="19" spans="2:14" ht="20.100000000000001" customHeight="1" x14ac:dyDescent="0.2">
      <c r="B19" s="1968" t="s">
        <v>2101</v>
      </c>
      <c r="C19" s="1969" t="s">
        <v>2102</v>
      </c>
      <c r="D19" s="1970" t="s">
        <v>2103</v>
      </c>
      <c r="E19" s="1962">
        <v>144604</v>
      </c>
      <c r="F19" s="1962">
        <v>120314</v>
      </c>
      <c r="G19" s="1962">
        <v>214477</v>
      </c>
      <c r="H19" s="1962"/>
      <c r="I19" s="1962">
        <f>45244+5197</f>
        <v>50441</v>
      </c>
      <c r="J19" s="1962"/>
      <c r="K19" s="1962"/>
      <c r="L19" s="1971">
        <f t="shared" si="0"/>
        <v>264918</v>
      </c>
      <c r="M19" s="1962">
        <v>269655</v>
      </c>
    </row>
    <row r="20" spans="2:14" ht="20.100000000000001" customHeight="1" x14ac:dyDescent="0.2">
      <c r="B20" s="1968" t="s">
        <v>2101</v>
      </c>
      <c r="C20" s="1969" t="s">
        <v>2102</v>
      </c>
      <c r="D20" s="1970" t="s">
        <v>2104</v>
      </c>
      <c r="E20" s="1962"/>
      <c r="F20" s="1962">
        <v>142207</v>
      </c>
      <c r="G20" s="1962"/>
      <c r="H20" s="1962"/>
      <c r="I20" s="1962">
        <v>222643</v>
      </c>
      <c r="J20" s="1962"/>
      <c r="K20" s="1962"/>
      <c r="L20" s="1971">
        <f t="shared" si="0"/>
        <v>222643</v>
      </c>
      <c r="M20" s="1962">
        <v>269655</v>
      </c>
    </row>
    <row r="21" spans="2:14" ht="20.100000000000001" customHeight="1" x14ac:dyDescent="0.2">
      <c r="B21" s="1973" t="s">
        <v>2105</v>
      </c>
      <c r="C21" s="1974"/>
      <c r="D21" s="1975"/>
      <c r="E21" s="1976">
        <f t="shared" ref="E21:K21" si="2">+E19+E20</f>
        <v>144604</v>
      </c>
      <c r="F21" s="1976">
        <f t="shared" si="2"/>
        <v>262521</v>
      </c>
      <c r="G21" s="1976">
        <f t="shared" si="2"/>
        <v>214477</v>
      </c>
      <c r="H21" s="1976">
        <f t="shared" si="2"/>
        <v>0</v>
      </c>
      <c r="I21" s="1976">
        <f t="shared" si="2"/>
        <v>273084</v>
      </c>
      <c r="J21" s="1976">
        <f t="shared" si="2"/>
        <v>0</v>
      </c>
      <c r="K21" s="1976">
        <f t="shared" si="2"/>
        <v>0</v>
      </c>
      <c r="L21" s="1977">
        <f t="shared" si="0"/>
        <v>487561</v>
      </c>
      <c r="M21" s="1976">
        <f>+M19+M20</f>
        <v>539310</v>
      </c>
    </row>
    <row r="22" spans="2:14" ht="20.100000000000001" customHeight="1" x14ac:dyDescent="0.2">
      <c r="B22" s="1968" t="s">
        <v>2106</v>
      </c>
      <c r="C22" s="1969" t="s">
        <v>2107</v>
      </c>
      <c r="D22" s="1970" t="s">
        <v>2108</v>
      </c>
      <c r="E22" s="1962">
        <v>6848</v>
      </c>
      <c r="F22" s="1962">
        <v>3495</v>
      </c>
      <c r="G22" s="1962">
        <v>5533</v>
      </c>
      <c r="H22" s="1962"/>
      <c r="I22" s="1962">
        <v>3913</v>
      </c>
      <c r="J22" s="1962"/>
      <c r="K22" s="1962"/>
      <c r="L22" s="1971">
        <f t="shared" si="0"/>
        <v>9446</v>
      </c>
      <c r="M22" s="1962">
        <v>19389</v>
      </c>
    </row>
    <row r="23" spans="2:14" ht="20.100000000000001" customHeight="1" x14ac:dyDescent="0.2">
      <c r="B23" s="1968" t="s">
        <v>2146</v>
      </c>
      <c r="C23" s="1969" t="s">
        <v>2107</v>
      </c>
      <c r="D23" s="1970" t="s">
        <v>2145</v>
      </c>
      <c r="E23" s="1962"/>
      <c r="F23" s="1962">
        <v>0</v>
      </c>
      <c r="G23" s="1962"/>
      <c r="H23" s="1962"/>
      <c r="I23" s="1962">
        <v>0</v>
      </c>
      <c r="J23" s="1962"/>
      <c r="K23" s="1962"/>
      <c r="L23" s="1971">
        <f>+G23+I23+K23</f>
        <v>0</v>
      </c>
      <c r="M23" s="1962">
        <v>11029</v>
      </c>
    </row>
    <row r="24" spans="2:14" ht="20.100000000000001" customHeight="1" x14ac:dyDescent="0.2">
      <c r="B24" s="1973" t="s">
        <v>2109</v>
      </c>
      <c r="C24" s="1969"/>
      <c r="D24" s="1970"/>
      <c r="E24" s="1976">
        <f t="shared" ref="E24:K24" si="3">+E22+E23</f>
        <v>6848</v>
      </c>
      <c r="F24" s="1976">
        <f t="shared" si="3"/>
        <v>3495</v>
      </c>
      <c r="G24" s="1976">
        <f t="shared" si="3"/>
        <v>5533</v>
      </c>
      <c r="H24" s="1976">
        <f t="shared" si="3"/>
        <v>0</v>
      </c>
      <c r="I24" s="1976">
        <f t="shared" si="3"/>
        <v>3913</v>
      </c>
      <c r="J24" s="1976">
        <f t="shared" si="3"/>
        <v>0</v>
      </c>
      <c r="K24" s="1976">
        <f t="shared" si="3"/>
        <v>0</v>
      </c>
      <c r="L24" s="1977">
        <f>+G24+I24+K24</f>
        <v>9446</v>
      </c>
      <c r="M24" s="1976">
        <f>+M22+M23</f>
        <v>30418</v>
      </c>
    </row>
    <row r="25" spans="2:14" ht="20.100000000000001" customHeight="1" x14ac:dyDescent="0.2">
      <c r="B25" s="1968" t="s">
        <v>2110</v>
      </c>
      <c r="C25" s="1969" t="s">
        <v>2111</v>
      </c>
      <c r="D25" s="1970" t="s">
        <v>2112</v>
      </c>
      <c r="E25" s="1962">
        <v>64640</v>
      </c>
      <c r="F25" s="1962">
        <v>140560</v>
      </c>
      <c r="G25" s="1962">
        <v>141080</v>
      </c>
      <c r="H25" s="1962"/>
      <c r="I25" s="1962">
        <v>64120</v>
      </c>
      <c r="J25" s="1962"/>
      <c r="K25" s="1962"/>
      <c r="L25" s="1971">
        <f t="shared" si="0"/>
        <v>205200</v>
      </c>
      <c r="M25" s="1962" t="s">
        <v>2074</v>
      </c>
    </row>
    <row r="26" spans="2:14" ht="20.100000000000001" customHeight="1" x14ac:dyDescent="0.2">
      <c r="B26" s="1968" t="s">
        <v>2110</v>
      </c>
      <c r="C26" s="1969" t="s">
        <v>2111</v>
      </c>
      <c r="D26" s="1970" t="s">
        <v>2113</v>
      </c>
      <c r="E26" s="1962"/>
      <c r="F26" s="1962">
        <v>161680</v>
      </c>
      <c r="G26" s="1962"/>
      <c r="H26" s="1962"/>
      <c r="I26" s="1962">
        <v>205500</v>
      </c>
      <c r="J26" s="1962"/>
      <c r="K26" s="1962">
        <v>21377</v>
      </c>
      <c r="L26" s="1971">
        <f t="shared" si="0"/>
        <v>226877</v>
      </c>
      <c r="M26" s="1962" t="s">
        <v>2074</v>
      </c>
    </row>
    <row r="27" spans="2:14" ht="20.100000000000001" customHeight="1" x14ac:dyDescent="0.2">
      <c r="B27" s="1973" t="s">
        <v>2114</v>
      </c>
      <c r="C27" s="1969"/>
      <c r="D27" s="1970"/>
      <c r="E27" s="1962"/>
      <c r="F27" s="1962"/>
      <c r="G27" s="1962"/>
      <c r="H27" s="1962"/>
      <c r="I27" s="1962"/>
      <c r="J27" s="1962"/>
      <c r="K27" s="1962"/>
      <c r="L27" s="1971"/>
      <c r="M27" s="1962"/>
    </row>
    <row r="28" spans="2:14" ht="20.100000000000001" customHeight="1" x14ac:dyDescent="0.2">
      <c r="B28" s="1968" t="s">
        <v>2115</v>
      </c>
      <c r="C28" s="1969" t="s">
        <v>2111</v>
      </c>
      <c r="D28" s="1970" t="s">
        <v>2116</v>
      </c>
      <c r="E28" s="1962">
        <v>271242</v>
      </c>
      <c r="F28" s="1962">
        <v>88883</v>
      </c>
      <c r="G28" s="1962">
        <v>335671</v>
      </c>
      <c r="H28" s="1962"/>
      <c r="I28" s="1962">
        <f>28236-3782</f>
        <v>24454</v>
      </c>
      <c r="J28" s="1962"/>
      <c r="K28" s="1962"/>
      <c r="L28" s="1971">
        <f>+G28+I28+K28</f>
        <v>360125</v>
      </c>
      <c r="M28" s="1962">
        <v>537783</v>
      </c>
    </row>
    <row r="29" spans="2:14" ht="20.100000000000001" customHeight="1" x14ac:dyDescent="0.2">
      <c r="B29" s="1337" t="s">
        <v>2115</v>
      </c>
      <c r="C29" s="1341" t="s">
        <v>2111</v>
      </c>
      <c r="D29" s="1342" t="s">
        <v>2117</v>
      </c>
      <c r="E29" s="1343"/>
      <c r="F29" s="1962">
        <v>859672</v>
      </c>
      <c r="G29" s="1343"/>
      <c r="H29" s="1343"/>
      <c r="I29" s="1962">
        <v>983167</v>
      </c>
      <c r="J29" s="1343"/>
      <c r="K29" s="1343"/>
      <c r="L29" s="1340">
        <f t="shared" si="0"/>
        <v>983167</v>
      </c>
      <c r="M29" s="1962">
        <v>2010048</v>
      </c>
    </row>
    <row r="30" spans="2:14" ht="20.100000000000001" customHeight="1" x14ac:dyDescent="0.2">
      <c r="B30" s="1956" t="s">
        <v>2155</v>
      </c>
      <c r="C30" s="1958"/>
      <c r="D30" s="1959"/>
      <c r="E30" s="1960">
        <f t="shared" ref="E30:K30" si="4">SUM(E25:E29)</f>
        <v>335882</v>
      </c>
      <c r="F30" s="1960">
        <f t="shared" si="4"/>
        <v>1250795</v>
      </c>
      <c r="G30" s="1960">
        <f t="shared" si="4"/>
        <v>476751</v>
      </c>
      <c r="H30" s="1960">
        <f t="shared" si="4"/>
        <v>0</v>
      </c>
      <c r="I30" s="1960">
        <f t="shared" si="4"/>
        <v>1277241</v>
      </c>
      <c r="J30" s="1960">
        <f t="shared" si="4"/>
        <v>0</v>
      </c>
      <c r="K30" s="1960">
        <f t="shared" si="4"/>
        <v>21377</v>
      </c>
      <c r="L30" s="1961">
        <f>+G30+I30+K30</f>
        <v>1775369</v>
      </c>
      <c r="M30" s="1960">
        <f>SUM(M25:M29)</f>
        <v>2547831</v>
      </c>
      <c r="N30" s="1344"/>
    </row>
    <row r="31" spans="2:14" ht="12.75" customHeight="1" x14ac:dyDescent="0.2">
      <c r="B31" s="1345"/>
      <c r="C31" s="1346"/>
      <c r="D31" s="1347"/>
      <c r="E31" s="1348"/>
      <c r="F31" s="1348"/>
      <c r="G31" s="1348"/>
      <c r="H31" s="1348"/>
      <c r="I31" s="1348"/>
      <c r="J31" s="1348"/>
      <c r="K31" s="1348"/>
      <c r="L31" s="1348"/>
      <c r="M31" s="1348"/>
      <c r="N31" s="1344"/>
    </row>
    <row r="32" spans="2:14" ht="13.5" customHeight="1" x14ac:dyDescent="0.2">
      <c r="B32" s="1282" t="s">
        <v>1836</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1947</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1837</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1838</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1839</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1840</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fitToWidth="0"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10" zoomScaleNormal="100"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0" t="str">
        <f>'Single Audit Cover'!A7</f>
        <v>Quincy SD 172</v>
      </c>
      <c r="C1" s="2494"/>
      <c r="D1" s="2494"/>
      <c r="E1" s="2494"/>
      <c r="F1" s="2494"/>
      <c r="G1" s="2494"/>
      <c r="H1" s="2494"/>
      <c r="I1" s="2494"/>
      <c r="J1" s="2494"/>
      <c r="K1" s="2494"/>
      <c r="L1" s="2494"/>
      <c r="M1" s="2494"/>
    </row>
    <row r="2" spans="2:14" ht="15" x14ac:dyDescent="0.2">
      <c r="B2" s="2491">
        <f>'Single Audit Cover'!E7</f>
        <v>1001172022</v>
      </c>
      <c r="C2" s="2491"/>
      <c r="D2" s="2491"/>
      <c r="E2" s="2491"/>
      <c r="F2" s="2491"/>
      <c r="G2" s="2491"/>
      <c r="H2" s="2491"/>
      <c r="I2" s="2491"/>
      <c r="J2" s="2491"/>
      <c r="K2" s="2491"/>
      <c r="L2" s="2491"/>
      <c r="M2" s="2491"/>
      <c r="N2" s="1302"/>
    </row>
    <row r="3" spans="2:14" ht="15" x14ac:dyDescent="0.2">
      <c r="B3" s="2495" t="s">
        <v>1280</v>
      </c>
      <c r="C3" s="2495"/>
      <c r="D3" s="2495"/>
      <c r="E3" s="2495"/>
      <c r="F3" s="2495"/>
      <c r="G3" s="2495"/>
      <c r="H3" s="2495"/>
      <c r="I3" s="2495"/>
      <c r="J3" s="2495"/>
      <c r="K3" s="2495"/>
      <c r="L3" s="2495"/>
      <c r="M3" s="2495"/>
      <c r="N3" s="1302"/>
    </row>
    <row r="4" spans="2:14" ht="15" x14ac:dyDescent="0.2">
      <c r="B4" s="2496" t="str">
        <f>'Single Audit Cover'!A4</f>
        <v>Year Ending June 30, 2018</v>
      </c>
      <c r="C4" s="2496"/>
      <c r="D4" s="2496"/>
      <c r="E4" s="2496"/>
      <c r="F4" s="2496"/>
      <c r="G4" s="2496"/>
      <c r="H4" s="2496"/>
      <c r="I4" s="2496"/>
      <c r="J4" s="2496"/>
      <c r="K4" s="2496"/>
      <c r="L4" s="2496"/>
      <c r="M4" s="249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8" t="s">
        <v>2118</v>
      </c>
      <c r="C11" s="1981">
        <v>84.173000000000002</v>
      </c>
      <c r="D11" s="1982" t="s">
        <v>2119</v>
      </c>
      <c r="E11" s="1971">
        <v>68438</v>
      </c>
      <c r="F11" s="1971">
        <v>24302</v>
      </c>
      <c r="G11" s="1971">
        <v>92266</v>
      </c>
      <c r="H11" s="1971"/>
      <c r="I11" s="1971">
        <v>474</v>
      </c>
      <c r="J11" s="1971"/>
      <c r="K11" s="1971"/>
      <c r="L11" s="1971">
        <f>+G11+I11+K11</f>
        <v>92740</v>
      </c>
      <c r="M11" s="1971">
        <v>92740</v>
      </c>
    </row>
    <row r="12" spans="2:14" ht="20.100000000000001" customHeight="1" x14ac:dyDescent="0.2">
      <c r="B12" s="1968" t="s">
        <v>2118</v>
      </c>
      <c r="C12" s="1969">
        <v>84.173000000000002</v>
      </c>
      <c r="D12" s="1970" t="s">
        <v>2120</v>
      </c>
      <c r="E12" s="1962"/>
      <c r="F12" s="1962">
        <v>71184</v>
      </c>
      <c r="G12" s="1962"/>
      <c r="H12" s="1962"/>
      <c r="I12" s="1962">
        <v>90238</v>
      </c>
      <c r="J12" s="1962"/>
      <c r="K12" s="1962"/>
      <c r="L12" s="1971">
        <f t="shared" ref="L12:L29" si="0">+G12+I12+K12</f>
        <v>90238</v>
      </c>
      <c r="M12" s="1962">
        <v>92740</v>
      </c>
    </row>
    <row r="13" spans="2:14" ht="20.100000000000001" customHeight="1" x14ac:dyDescent="0.2">
      <c r="B13" s="1973" t="s">
        <v>2154</v>
      </c>
      <c r="C13" s="1974"/>
      <c r="D13" s="1975"/>
      <c r="E13" s="1976">
        <f t="shared" ref="E13:K13" si="1">+E11+E12</f>
        <v>68438</v>
      </c>
      <c r="F13" s="1976">
        <f t="shared" si="1"/>
        <v>95486</v>
      </c>
      <c r="G13" s="1976">
        <f t="shared" si="1"/>
        <v>92266</v>
      </c>
      <c r="H13" s="1976">
        <f t="shared" si="1"/>
        <v>0</v>
      </c>
      <c r="I13" s="1976">
        <f t="shared" si="1"/>
        <v>90712</v>
      </c>
      <c r="J13" s="1976">
        <f t="shared" si="1"/>
        <v>0</v>
      </c>
      <c r="K13" s="1976">
        <f t="shared" si="1"/>
        <v>0</v>
      </c>
      <c r="L13" s="1977">
        <f t="shared" si="0"/>
        <v>182978</v>
      </c>
      <c r="M13" s="1976">
        <f>+M11+M12</f>
        <v>185480</v>
      </c>
    </row>
    <row r="14" spans="2:14" ht="25.5" x14ac:dyDescent="0.2">
      <c r="B14" s="1978" t="s">
        <v>2153</v>
      </c>
      <c r="C14" s="1974"/>
      <c r="D14" s="1975"/>
      <c r="E14" s="1979">
        <f>+' SEFA (2)'!E30+' SEFA (3)'!E13</f>
        <v>404320</v>
      </c>
      <c r="F14" s="1979">
        <f>+' SEFA (2)'!F30+' SEFA (3)'!F13</f>
        <v>1346281</v>
      </c>
      <c r="G14" s="1979">
        <f>+' SEFA (2)'!G30+' SEFA (3)'!G13</f>
        <v>569017</v>
      </c>
      <c r="H14" s="1979">
        <f>+' SEFA (2)'!H30+' SEFA (3)'!H13</f>
        <v>0</v>
      </c>
      <c r="I14" s="1979">
        <f>+' SEFA (2)'!I30+' SEFA (3)'!I13</f>
        <v>1367953</v>
      </c>
      <c r="J14" s="1979">
        <f>+' SEFA (2)'!J30+' SEFA (3)'!J13</f>
        <v>0</v>
      </c>
      <c r="K14" s="1979">
        <f>+' SEFA (2)'!K30+' SEFA (3)'!K13</f>
        <v>21377</v>
      </c>
      <c r="L14" s="1980">
        <f>+' SEFA (2)'!L30+' SEFA (3)'!L13</f>
        <v>1958347</v>
      </c>
      <c r="M14" s="1979">
        <f>+' SEFA (2)'!M30+' SEFA (3)'!M13</f>
        <v>2733311</v>
      </c>
    </row>
    <row r="15" spans="2:14" ht="20.100000000000001" customHeight="1" x14ac:dyDescent="0.2">
      <c r="B15" s="1973" t="s">
        <v>2121</v>
      </c>
      <c r="C15" s="1969"/>
      <c r="D15" s="1970"/>
      <c r="E15" s="1962"/>
      <c r="F15" s="1962"/>
      <c r="G15" s="1962"/>
      <c r="H15" s="1962"/>
      <c r="I15" s="1962"/>
      <c r="J15" s="1962"/>
      <c r="K15" s="1962"/>
      <c r="L15" s="1971">
        <f t="shared" si="0"/>
        <v>0</v>
      </c>
      <c r="M15" s="1962"/>
    </row>
    <row r="16" spans="2:14" ht="20.100000000000001" customHeight="1" x14ac:dyDescent="0.2">
      <c r="B16" s="1968" t="s">
        <v>2122</v>
      </c>
      <c r="C16" s="1969">
        <v>84.126000000000005</v>
      </c>
      <c r="D16" s="1970" t="s">
        <v>2123</v>
      </c>
      <c r="E16" s="1962">
        <v>49994</v>
      </c>
      <c r="F16" s="1962">
        <v>3097</v>
      </c>
      <c r="G16" s="1962">
        <v>53091</v>
      </c>
      <c r="H16" s="1962"/>
      <c r="I16" s="1962"/>
      <c r="J16" s="1962"/>
      <c r="K16" s="1962"/>
      <c r="L16" s="1971">
        <f t="shared" si="0"/>
        <v>53091</v>
      </c>
      <c r="M16" s="1962">
        <v>53091</v>
      </c>
    </row>
    <row r="17" spans="2:14" ht="20.100000000000001" customHeight="1" x14ac:dyDescent="0.2">
      <c r="B17" s="1968" t="s">
        <v>2122</v>
      </c>
      <c r="C17" s="1969">
        <v>84.126000000000005</v>
      </c>
      <c r="D17" s="1970" t="s">
        <v>2142</v>
      </c>
      <c r="E17" s="1962"/>
      <c r="F17" s="1962">
        <v>34636</v>
      </c>
      <c r="G17" s="1962"/>
      <c r="H17" s="1962"/>
      <c r="I17" s="1962">
        <f>34636+740</f>
        <v>35376</v>
      </c>
      <c r="J17" s="1962"/>
      <c r="K17" s="1962"/>
      <c r="L17" s="1971">
        <f t="shared" si="0"/>
        <v>35376</v>
      </c>
      <c r="M17" s="1962">
        <v>53091</v>
      </c>
    </row>
    <row r="18" spans="2:14" ht="20.100000000000001" customHeight="1" x14ac:dyDescent="0.2">
      <c r="B18" s="1973" t="s">
        <v>2124</v>
      </c>
      <c r="C18" s="1974"/>
      <c r="D18" s="1975"/>
      <c r="E18" s="1976">
        <f t="shared" ref="E18:K18" si="2">+E16+E17</f>
        <v>49994</v>
      </c>
      <c r="F18" s="1976">
        <f t="shared" si="2"/>
        <v>37733</v>
      </c>
      <c r="G18" s="1976">
        <f t="shared" si="2"/>
        <v>53091</v>
      </c>
      <c r="H18" s="1976">
        <f t="shared" si="2"/>
        <v>0</v>
      </c>
      <c r="I18" s="1976">
        <f t="shared" si="2"/>
        <v>35376</v>
      </c>
      <c r="J18" s="1976">
        <f t="shared" si="2"/>
        <v>0</v>
      </c>
      <c r="K18" s="1976">
        <f t="shared" si="2"/>
        <v>0</v>
      </c>
      <c r="L18" s="1977">
        <f t="shared" si="0"/>
        <v>88467</v>
      </c>
      <c r="M18" s="1976">
        <f>+M16+M17</f>
        <v>106182</v>
      </c>
    </row>
    <row r="19" spans="2:14" ht="20.100000000000001" customHeight="1" x14ac:dyDescent="0.2">
      <c r="B19" s="1973" t="s">
        <v>2125</v>
      </c>
      <c r="C19" s="1969"/>
      <c r="D19" s="1970"/>
      <c r="E19" s="1962"/>
      <c r="F19" s="1962"/>
      <c r="G19" s="1962"/>
      <c r="H19" s="1962"/>
      <c r="I19" s="1962"/>
      <c r="J19" s="1962"/>
      <c r="K19" s="1962"/>
      <c r="L19" s="1971">
        <f t="shared" si="0"/>
        <v>0</v>
      </c>
      <c r="M19" s="1962"/>
    </row>
    <row r="20" spans="2:14" ht="20.100000000000001" customHeight="1" x14ac:dyDescent="0.2">
      <c r="B20" s="1968" t="s">
        <v>2126</v>
      </c>
      <c r="C20" s="1969">
        <v>84.363</v>
      </c>
      <c r="D20" s="1970" t="s">
        <v>2127</v>
      </c>
      <c r="E20" s="1962">
        <v>66148</v>
      </c>
      <c r="F20" s="1962">
        <v>46103</v>
      </c>
      <c r="G20" s="1962">
        <v>85043</v>
      </c>
      <c r="H20" s="1962"/>
      <c r="I20" s="1962">
        <v>27208</v>
      </c>
      <c r="J20" s="1962"/>
      <c r="K20" s="1962"/>
      <c r="L20" s="1971">
        <f t="shared" si="0"/>
        <v>112251</v>
      </c>
      <c r="M20" s="1962">
        <v>113000</v>
      </c>
    </row>
    <row r="21" spans="2:14" ht="20.100000000000001" customHeight="1" x14ac:dyDescent="0.2">
      <c r="B21" s="1968" t="s">
        <v>2126</v>
      </c>
      <c r="C21" s="1969">
        <v>84.363</v>
      </c>
      <c r="D21" s="1970" t="s">
        <v>2127</v>
      </c>
      <c r="E21" s="1962"/>
      <c r="F21" s="1962">
        <v>34902</v>
      </c>
      <c r="G21" s="1962"/>
      <c r="H21" s="1962"/>
      <c r="I21" s="1962">
        <v>105723</v>
      </c>
      <c r="J21" s="1962"/>
      <c r="K21" s="1962"/>
      <c r="L21" s="1971">
        <f t="shared" si="0"/>
        <v>105723</v>
      </c>
      <c r="M21" s="1962">
        <v>106699</v>
      </c>
    </row>
    <row r="22" spans="2:14" ht="20.100000000000001" customHeight="1" x14ac:dyDescent="0.2">
      <c r="B22" s="1973" t="s">
        <v>2128</v>
      </c>
      <c r="C22" s="1974"/>
      <c r="D22" s="1975"/>
      <c r="E22" s="1976">
        <f t="shared" ref="E22:K22" si="3">+E20+E21</f>
        <v>66148</v>
      </c>
      <c r="F22" s="1976">
        <f t="shared" si="3"/>
        <v>81005</v>
      </c>
      <c r="G22" s="1976">
        <f t="shared" si="3"/>
        <v>85043</v>
      </c>
      <c r="H22" s="1976">
        <f t="shared" si="3"/>
        <v>0</v>
      </c>
      <c r="I22" s="1976">
        <f t="shared" si="3"/>
        <v>132931</v>
      </c>
      <c r="J22" s="1976">
        <f t="shared" si="3"/>
        <v>0</v>
      </c>
      <c r="K22" s="1976">
        <f t="shared" si="3"/>
        <v>0</v>
      </c>
      <c r="L22" s="1977">
        <f t="shared" si="0"/>
        <v>217974</v>
      </c>
      <c r="M22" s="1976">
        <f>+M20+M21</f>
        <v>219699</v>
      </c>
    </row>
    <row r="23" spans="2:14" ht="20.100000000000001" customHeight="1" x14ac:dyDescent="0.2">
      <c r="B23" s="1968"/>
      <c r="C23" s="1969"/>
      <c r="D23" s="1970"/>
      <c r="E23" s="1962"/>
      <c r="F23" s="1962"/>
      <c r="G23" s="1962"/>
      <c r="H23" s="1962"/>
      <c r="I23" s="1962"/>
      <c r="J23" s="1962"/>
      <c r="K23" s="1962"/>
      <c r="L23" s="1971">
        <f t="shared" si="0"/>
        <v>0</v>
      </c>
      <c r="M23" s="1962"/>
    </row>
    <row r="24" spans="2:14" ht="20.100000000000001" customHeight="1" x14ac:dyDescent="0.2">
      <c r="B24" s="1978" t="s">
        <v>2129</v>
      </c>
      <c r="C24" s="1969"/>
      <c r="D24" s="1970"/>
      <c r="E24" s="1979">
        <f>' SEFA (2)'!E18+' SEFA (2)'!E21+' SEFA (2)'!E24+' SEFA (2)'!E30+' SEFA (3)'!E13+' SEFA (3)'!E18+' SEFA (3)'!E22</f>
        <v>2547446</v>
      </c>
      <c r="F24" s="1979">
        <f>' SEFA (2)'!F18+' SEFA (2)'!F21+' SEFA (2)'!F24+' SEFA (2)'!F30+' SEFA (3)'!F13+' SEFA (3)'!F18+' SEFA (3)'!F22</f>
        <v>3740344</v>
      </c>
      <c r="G24" s="1979">
        <f>' SEFA (2)'!G18+' SEFA (2)'!G21+' SEFA (2)'!G24+' SEFA (2)'!G30+' SEFA (3)'!G13+' SEFA (3)'!G18+' SEFA (3)'!G22</f>
        <v>2901780</v>
      </c>
      <c r="H24" s="1979">
        <f>' SEFA (2)'!H18+' SEFA (2)'!H21+' SEFA (2)'!H24+' SEFA (2)'!H30+' SEFA (3)'!H13+' SEFA (3)'!H18+' SEFA (3)'!H22</f>
        <v>0</v>
      </c>
      <c r="I24" s="1979">
        <f>' SEFA (2)'!I18+' SEFA (2)'!I21+' SEFA (2)'!I24+' SEFA (2)'!I30+' SEFA (3)'!I13+' SEFA (3)'!I18+' SEFA (3)'!I22</f>
        <v>3808955</v>
      </c>
      <c r="J24" s="1979">
        <f>' SEFA (2)'!J18+' SEFA (2)'!J21+' SEFA (2)'!J24+' SEFA (2)'!J30+' SEFA (3)'!J13+' SEFA (3)'!J18+' SEFA (3)'!J22</f>
        <v>0</v>
      </c>
      <c r="K24" s="1979">
        <f>' SEFA (2)'!K18+' SEFA (2)'!K21+' SEFA (2)'!K24+' SEFA (2)'!K30+' SEFA (3)'!K13+' SEFA (3)'!K18+' SEFA (3)'!K22</f>
        <v>21377</v>
      </c>
      <c r="L24" s="1980">
        <f t="shared" si="0"/>
        <v>6732112</v>
      </c>
      <c r="M24" s="1979">
        <f>' SEFA (2)'!M18+' SEFA (2)'!M21+' SEFA (2)'!M24+' SEFA (2)'!M30+' SEFA (3)'!M13+' SEFA (3)'!M18+' SEFA (3)'!M22</f>
        <v>8799796</v>
      </c>
    </row>
    <row r="25" spans="2:14" ht="20.100000000000001" customHeight="1" x14ac:dyDescent="0.2">
      <c r="B25" s="1968"/>
      <c r="C25" s="1969"/>
      <c r="D25" s="1970"/>
      <c r="E25" s="1962"/>
      <c r="F25" s="1962"/>
      <c r="G25" s="1962"/>
      <c r="H25" s="1962"/>
      <c r="I25" s="1962"/>
      <c r="J25" s="1962"/>
      <c r="K25" s="1962"/>
      <c r="L25" s="1971">
        <f t="shared" si="0"/>
        <v>0</v>
      </c>
      <c r="M25" s="1962"/>
    </row>
    <row r="26" spans="2:14" ht="20.100000000000001" customHeight="1" x14ac:dyDescent="0.2">
      <c r="B26" s="1973" t="s">
        <v>2130</v>
      </c>
      <c r="C26" s="1969"/>
      <c r="D26" s="1970"/>
      <c r="E26" s="1962"/>
      <c r="F26" s="1962"/>
      <c r="G26" s="1962"/>
      <c r="H26" s="1962"/>
      <c r="I26" s="1962"/>
      <c r="J26" s="1962"/>
      <c r="K26" s="1962"/>
      <c r="L26" s="1971"/>
      <c r="M26" s="1962"/>
    </row>
    <row r="27" spans="2:14" ht="20.100000000000001" customHeight="1" x14ac:dyDescent="0.2">
      <c r="B27" s="1968" t="s">
        <v>2131</v>
      </c>
      <c r="C27" s="1969">
        <v>93.6</v>
      </c>
      <c r="D27" s="1970" t="s">
        <v>2133</v>
      </c>
      <c r="E27" s="1962">
        <v>436266</v>
      </c>
      <c r="F27" s="1962"/>
      <c r="G27" s="1962">
        <v>214411</v>
      </c>
      <c r="H27" s="1962"/>
      <c r="I27" s="1962"/>
      <c r="J27" s="1962"/>
      <c r="K27" s="1962"/>
      <c r="L27" s="1971">
        <v>1759220</v>
      </c>
      <c r="M27" s="1962">
        <v>1759220</v>
      </c>
    </row>
    <row r="28" spans="2:14" ht="20.100000000000001" customHeight="1" x14ac:dyDescent="0.2">
      <c r="B28" s="1968" t="s">
        <v>2132</v>
      </c>
      <c r="C28" s="1969">
        <v>93.6</v>
      </c>
      <c r="D28" s="1970" t="s">
        <v>2134</v>
      </c>
      <c r="E28" s="1962">
        <v>1503012</v>
      </c>
      <c r="F28" s="1962">
        <f>287331+27000</f>
        <v>314331</v>
      </c>
      <c r="G28" s="1962">
        <v>1593648</v>
      </c>
      <c r="H28" s="1962"/>
      <c r="I28" s="1962">
        <v>223695</v>
      </c>
      <c r="J28" s="1962"/>
      <c r="K28" s="1962"/>
      <c r="L28" s="1971">
        <f t="shared" si="0"/>
        <v>1817343</v>
      </c>
      <c r="M28" s="1962">
        <v>1825293</v>
      </c>
    </row>
    <row r="29" spans="2:14" ht="20.100000000000001" customHeight="1" x14ac:dyDescent="0.2">
      <c r="B29" s="1337" t="s">
        <v>2132</v>
      </c>
      <c r="C29" s="1341">
        <v>93.6</v>
      </c>
      <c r="D29" s="1970" t="s">
        <v>2147</v>
      </c>
      <c r="E29" s="1962"/>
      <c r="F29" s="1962">
        <f>293895+1301449</f>
        <v>1595344</v>
      </c>
      <c r="G29" s="1343"/>
      <c r="H29" s="1343"/>
      <c r="I29" s="1962">
        <v>1704642</v>
      </c>
      <c r="J29" s="1343"/>
      <c r="K29" s="1962"/>
      <c r="L29" s="1340">
        <f t="shared" si="0"/>
        <v>1704642</v>
      </c>
      <c r="M29" s="1962">
        <v>1996224</v>
      </c>
    </row>
    <row r="30" spans="2:14" ht="20.100000000000001" customHeight="1" x14ac:dyDescent="0.2">
      <c r="B30" s="1956" t="s">
        <v>2135</v>
      </c>
      <c r="C30" s="1958"/>
      <c r="D30" s="1959"/>
      <c r="E30" s="1960">
        <f t="shared" ref="E30:K30" si="4">+E27+E28+E29</f>
        <v>1939278</v>
      </c>
      <c r="F30" s="1960">
        <f t="shared" si="4"/>
        <v>1909675</v>
      </c>
      <c r="G30" s="1960">
        <f t="shared" si="4"/>
        <v>1808059</v>
      </c>
      <c r="H30" s="1960">
        <f t="shared" si="4"/>
        <v>0</v>
      </c>
      <c r="I30" s="1960">
        <f t="shared" si="4"/>
        <v>1928337</v>
      </c>
      <c r="J30" s="1960">
        <f t="shared" si="4"/>
        <v>0</v>
      </c>
      <c r="K30" s="1960">
        <f t="shared" si="4"/>
        <v>0</v>
      </c>
      <c r="L30" s="1961">
        <f>SUM(L27:L29)</f>
        <v>5281205</v>
      </c>
      <c r="M30" s="1960">
        <f>+M27+M28+M29</f>
        <v>5580737</v>
      </c>
      <c r="N30" s="1344"/>
    </row>
    <row r="31" spans="2:14" ht="12.75" customHeight="1" x14ac:dyDescent="0.2">
      <c r="B31" s="1345"/>
      <c r="C31" s="1346"/>
      <c r="D31" s="1347"/>
      <c r="E31" s="1348"/>
      <c r="F31" s="1348"/>
      <c r="G31" s="1348"/>
      <c r="H31" s="1348"/>
      <c r="I31" s="1348"/>
      <c r="J31" s="1348"/>
      <c r="K31" s="1348"/>
      <c r="L31" s="1348"/>
      <c r="M31" s="1348"/>
      <c r="N31" s="1344"/>
    </row>
    <row r="32" spans="2:14" ht="13.5" customHeight="1" x14ac:dyDescent="0.2">
      <c r="B32" s="1282" t="s">
        <v>1836</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1947</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1837</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1838</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1839</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1840</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fitToWidth="0"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90" zoomScaleNormal="90" workbookViewId="0">
      <selection activeCell="B43" sqref="B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0" t="str">
        <f>'Single Audit Cover'!A7</f>
        <v>Quincy SD 172</v>
      </c>
      <c r="C1" s="2494"/>
      <c r="D1" s="2494"/>
      <c r="E1" s="2494"/>
      <c r="F1" s="2494"/>
      <c r="G1" s="2494"/>
      <c r="H1" s="2494"/>
      <c r="I1" s="2494"/>
      <c r="J1" s="2494"/>
      <c r="K1" s="2494"/>
      <c r="L1" s="2494"/>
      <c r="M1" s="2494"/>
    </row>
    <row r="2" spans="2:14" ht="15" x14ac:dyDescent="0.2">
      <c r="B2" s="2491">
        <f>'Single Audit Cover'!E7</f>
        <v>1001172022</v>
      </c>
      <c r="C2" s="2491"/>
      <c r="D2" s="2491"/>
      <c r="E2" s="2491"/>
      <c r="F2" s="2491"/>
      <c r="G2" s="2491"/>
      <c r="H2" s="2491"/>
      <c r="I2" s="2491"/>
      <c r="J2" s="2491"/>
      <c r="K2" s="2491"/>
      <c r="L2" s="2491"/>
      <c r="M2" s="2491"/>
      <c r="N2" s="1302"/>
    </row>
    <row r="3" spans="2:14" ht="15" x14ac:dyDescent="0.2">
      <c r="B3" s="2495" t="s">
        <v>1280</v>
      </c>
      <c r="C3" s="2495"/>
      <c r="D3" s="2495"/>
      <c r="E3" s="2495"/>
      <c r="F3" s="2495"/>
      <c r="G3" s="2495"/>
      <c r="H3" s="2495"/>
      <c r="I3" s="2495"/>
      <c r="J3" s="2495"/>
      <c r="K3" s="2495"/>
      <c r="L3" s="2495"/>
      <c r="M3" s="2495"/>
      <c r="N3" s="1302"/>
    </row>
    <row r="4" spans="2:14" ht="15" x14ac:dyDescent="0.2">
      <c r="B4" s="2496" t="str">
        <f>'Single Audit Cover'!A4</f>
        <v>Year Ending June 30, 2018</v>
      </c>
      <c r="C4" s="2496"/>
      <c r="D4" s="2496"/>
      <c r="E4" s="2496"/>
      <c r="F4" s="2496"/>
      <c r="G4" s="2496"/>
      <c r="H4" s="2496"/>
      <c r="I4" s="2496"/>
      <c r="J4" s="2496"/>
      <c r="K4" s="2496"/>
      <c r="L4" s="2496"/>
      <c r="M4" s="2496"/>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41.45" customHeight="1" x14ac:dyDescent="0.2">
      <c r="B11" s="1956" t="s">
        <v>2136</v>
      </c>
      <c r="C11" s="1338"/>
      <c r="D11" s="1339"/>
      <c r="E11" s="1340"/>
      <c r="F11" s="1340"/>
      <c r="G11" s="1340"/>
      <c r="H11" s="1340"/>
      <c r="I11" s="1340"/>
      <c r="J11" s="1340"/>
      <c r="K11" s="1340"/>
      <c r="L11" s="1340">
        <f>+G11+I11+K11</f>
        <v>0</v>
      </c>
      <c r="M11" s="1340"/>
    </row>
    <row r="12" spans="2:14" ht="20.100000000000001" customHeight="1" x14ac:dyDescent="0.2">
      <c r="B12" s="1968" t="s">
        <v>2137</v>
      </c>
      <c r="C12" s="1969">
        <v>93.778000000000006</v>
      </c>
      <c r="D12" s="1970" t="s">
        <v>2138</v>
      </c>
      <c r="E12" s="1962">
        <v>108570</v>
      </c>
      <c r="F12" s="1962">
        <v>48670</v>
      </c>
      <c r="G12" s="1962">
        <v>157240</v>
      </c>
      <c r="H12" s="1962"/>
      <c r="I12" s="1962"/>
      <c r="J12" s="1962"/>
      <c r="K12" s="1962"/>
      <c r="L12" s="1971">
        <f t="shared" ref="L12:L26" si="0">+G12+I12+K12</f>
        <v>157240</v>
      </c>
      <c r="M12" s="1962" t="s">
        <v>2074</v>
      </c>
    </row>
    <row r="13" spans="2:14" ht="20.100000000000001" customHeight="1" x14ac:dyDescent="0.2">
      <c r="B13" s="1968" t="s">
        <v>2137</v>
      </c>
      <c r="C13" s="1969">
        <v>93.778000000000006</v>
      </c>
      <c r="D13" s="1970" t="s">
        <v>2139</v>
      </c>
      <c r="E13" s="1962"/>
      <c r="F13" s="1962">
        <v>201833</v>
      </c>
      <c r="G13" s="1962"/>
      <c r="H13" s="1962"/>
      <c r="I13" s="1962">
        <v>272419</v>
      </c>
      <c r="J13" s="1962"/>
      <c r="K13" s="1962"/>
      <c r="L13" s="1971">
        <f t="shared" si="0"/>
        <v>272419</v>
      </c>
      <c r="M13" s="1962" t="s">
        <v>2074</v>
      </c>
    </row>
    <row r="14" spans="2:14" ht="20.100000000000001" customHeight="1" x14ac:dyDescent="0.2">
      <c r="B14" s="1973" t="s">
        <v>2151</v>
      </c>
      <c r="C14" s="1974"/>
      <c r="D14" s="1975"/>
      <c r="E14" s="1976">
        <f t="shared" ref="E14:K14" si="1">+E12+E13</f>
        <v>108570</v>
      </c>
      <c r="F14" s="1976">
        <f t="shared" si="1"/>
        <v>250503</v>
      </c>
      <c r="G14" s="1976">
        <f t="shared" si="1"/>
        <v>157240</v>
      </c>
      <c r="H14" s="1976">
        <f t="shared" si="1"/>
        <v>0</v>
      </c>
      <c r="I14" s="1976">
        <f t="shared" si="1"/>
        <v>272419</v>
      </c>
      <c r="J14" s="1976">
        <f t="shared" si="1"/>
        <v>0</v>
      </c>
      <c r="K14" s="1976">
        <f t="shared" si="1"/>
        <v>0</v>
      </c>
      <c r="L14" s="1977">
        <f t="shared" si="0"/>
        <v>429659</v>
      </c>
      <c r="M14" s="1976" t="s">
        <v>2074</v>
      </c>
    </row>
    <row r="15" spans="2:14" ht="20.100000000000001" customHeight="1" x14ac:dyDescent="0.2">
      <c r="B15" s="1968" t="s">
        <v>1230</v>
      </c>
      <c r="C15" s="1969"/>
      <c r="D15" s="1970"/>
      <c r="E15" s="1962"/>
      <c r="F15" s="1962"/>
      <c r="G15" s="1962"/>
      <c r="H15" s="1962"/>
      <c r="I15" s="1962"/>
      <c r="J15" s="1962"/>
      <c r="K15" s="1962"/>
      <c r="L15" s="1971">
        <f t="shared" si="0"/>
        <v>0</v>
      </c>
      <c r="M15" s="1962"/>
    </row>
    <row r="16" spans="2:14" ht="25.5" x14ac:dyDescent="0.2">
      <c r="B16" s="1963" t="s">
        <v>2140</v>
      </c>
      <c r="C16" s="1341"/>
      <c r="D16" s="1342"/>
      <c r="E16" s="1964">
        <f>+' SEFA (3)'!E30+' SEFA (4)'!E14</f>
        <v>2047848</v>
      </c>
      <c r="F16" s="1964">
        <f>+' SEFA (3)'!F30+' SEFA (4)'!F14</f>
        <v>2160178</v>
      </c>
      <c r="G16" s="1964">
        <f>+' SEFA (3)'!G30+' SEFA (4)'!G14</f>
        <v>1965299</v>
      </c>
      <c r="H16" s="1964">
        <f>+' SEFA (3)'!H30+' SEFA (4)'!H14</f>
        <v>0</v>
      </c>
      <c r="I16" s="1964">
        <f>+' SEFA (3)'!I30+' SEFA (4)'!I14</f>
        <v>2200756</v>
      </c>
      <c r="J16" s="1964">
        <f>+' SEFA (3)'!J30+' SEFA (4)'!J14</f>
        <v>0</v>
      </c>
      <c r="K16" s="1964">
        <f>+' SEFA (3)'!K30+' SEFA (4)'!K14</f>
        <v>0</v>
      </c>
      <c r="L16" s="1965">
        <f>L14+' SEFA (3)'!L30</f>
        <v>5710864</v>
      </c>
      <c r="M16" s="1964">
        <f>+' SEFA (3)'!M30</f>
        <v>5580737</v>
      </c>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963" t="s">
        <v>2141</v>
      </c>
      <c r="C18" s="1966"/>
      <c r="D18" s="1967"/>
      <c r="E18" s="1964">
        <f>+' SEFA'!E28+' SEFA (3)'!E24+' SEFA (4)'!E16</f>
        <v>6822135</v>
      </c>
      <c r="F18" s="1964">
        <f>+' SEFA'!F28+' SEFA (3)'!F24+' SEFA (4)'!F16</f>
        <v>8493927</v>
      </c>
      <c r="G18" s="1964">
        <f>+' SEFA'!G28+' SEFA (3)'!G24+' SEFA (4)'!G16</f>
        <v>7145486</v>
      </c>
      <c r="H18" s="1964">
        <f>+' SEFA'!H28+' SEFA (3)'!H24+' SEFA (4)'!H16</f>
        <v>0</v>
      </c>
      <c r="I18" s="1964">
        <f>+' SEFA'!I28+' SEFA (3)'!I24+' SEFA (4)'!I16</f>
        <v>8599894</v>
      </c>
      <c r="J18" s="1964">
        <f>+' SEFA'!J28+' SEFA (3)'!J24+' SEFA (4)'!J16</f>
        <v>0</v>
      </c>
      <c r="K18" s="1964">
        <f>+' SEFA'!K28+' SEFA (3)'!K24+' SEFA (4)'!K16</f>
        <v>21377</v>
      </c>
      <c r="L18" s="1965">
        <f>' SEFA'!L28+' SEFA (3)'!L24+' SEFA (4)'!L16</f>
        <v>17311566</v>
      </c>
      <c r="M18" s="1964">
        <f>+' SEFA (3)'!M24+' SEFA (4)'!M16</f>
        <v>14380533</v>
      </c>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c r="N26" s="1344"/>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1836</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1837</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1838</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1839</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1840</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43" sqref="B4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8" t="str">
        <f>'Single Audit Cover'!A7</f>
        <v>Quincy SD 172</v>
      </c>
      <c r="C1" s="2509"/>
      <c r="D1" s="2509"/>
      <c r="E1" s="2509"/>
      <c r="F1" s="2509"/>
      <c r="G1" s="2509"/>
      <c r="H1" s="2509"/>
      <c r="I1" s="2509"/>
      <c r="J1" s="1422"/>
    </row>
    <row r="2" spans="2:10" s="317" customFormat="1" ht="12.75" customHeight="1" x14ac:dyDescent="0.2">
      <c r="B2" s="2510">
        <f>'Single Audit Cover'!E7</f>
        <v>1001172022</v>
      </c>
      <c r="C2" s="2511"/>
      <c r="D2" s="2511"/>
      <c r="E2" s="2511"/>
      <c r="F2" s="2511"/>
      <c r="G2" s="2511"/>
      <c r="H2" s="2511"/>
      <c r="I2" s="2511"/>
      <c r="J2" s="1422"/>
    </row>
    <row r="3" spans="2:10" s="317" customFormat="1" ht="12.75" customHeight="1" x14ac:dyDescent="0.2">
      <c r="B3" s="2512" t="s">
        <v>1346</v>
      </c>
      <c r="C3" s="2513"/>
      <c r="D3" s="2513"/>
      <c r="E3" s="2513"/>
      <c r="F3" s="2513"/>
      <c r="G3" s="2513"/>
      <c r="H3" s="2513"/>
      <c r="I3" s="2513"/>
      <c r="J3" s="1423"/>
    </row>
    <row r="4" spans="2:10" s="317" customFormat="1" ht="12.75" customHeight="1" x14ac:dyDescent="0.2">
      <c r="B4" s="2512" t="str">
        <f>'Single Audit Cover'!A4</f>
        <v>Year Ending June 30, 2018</v>
      </c>
      <c r="C4" s="2513"/>
      <c r="D4" s="2513"/>
      <c r="E4" s="2513"/>
      <c r="F4" s="2513"/>
      <c r="G4" s="2513"/>
      <c r="H4" s="2513"/>
      <c r="I4" s="2513"/>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12" t="s">
        <v>1345</v>
      </c>
      <c r="C7" s="2513"/>
      <c r="D7" s="2513"/>
      <c r="E7" s="2513"/>
      <c r="F7" s="2513"/>
      <c r="G7" s="2513"/>
      <c r="H7" s="2513"/>
      <c r="I7" s="2513"/>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14" t="s">
        <v>1225</v>
      </c>
      <c r="D11" s="2514"/>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t="s">
        <v>2162</v>
      </c>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2162</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t="s">
        <v>2162</v>
      </c>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t="s">
        <v>2162</v>
      </c>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2162</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15" t="s">
        <v>2214</v>
      </c>
      <c r="E29" s="2515"/>
      <c r="F29" s="2515"/>
      <c r="G29" s="2515"/>
      <c r="H29" s="2515"/>
      <c r="I29" s="2515"/>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t="s">
        <v>2162</v>
      </c>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16" t="s">
        <v>1850</v>
      </c>
      <c r="D37" s="2517"/>
      <c r="E37" s="2517"/>
      <c r="F37" s="2518"/>
      <c r="G37" s="2516" t="s">
        <v>1673</v>
      </c>
      <c r="H37" s="2517"/>
      <c r="I37" s="2518"/>
    </row>
    <row r="38" spans="2:9" ht="16.5" customHeight="1" x14ac:dyDescent="0.2">
      <c r="B38" s="1444" t="s">
        <v>2157</v>
      </c>
      <c r="C38" s="2504" t="s">
        <v>2158</v>
      </c>
      <c r="D38" s="2505"/>
      <c r="E38" s="2505"/>
      <c r="F38" s="2506"/>
      <c r="G38" s="2519">
        <f>' SEFA'!I28</f>
        <v>2590183</v>
      </c>
      <c r="H38" s="2520"/>
      <c r="I38" s="2521"/>
    </row>
    <row r="39" spans="2:9" ht="16.5" customHeight="1" x14ac:dyDescent="0.2">
      <c r="B39" s="1444" t="s">
        <v>2159</v>
      </c>
      <c r="C39" s="2504" t="s">
        <v>2160</v>
      </c>
      <c r="D39" s="2505"/>
      <c r="E39" s="2505"/>
      <c r="F39" s="2506"/>
      <c r="G39" s="2507">
        <f>' SEFA (3)'!I14</f>
        <v>1367953</v>
      </c>
      <c r="H39" s="2507"/>
      <c r="I39" s="2507"/>
    </row>
    <row r="40" spans="2:9" ht="16.5" customHeight="1" x14ac:dyDescent="0.2">
      <c r="B40" s="1444">
        <v>93.778000000000006</v>
      </c>
      <c r="C40" s="2504" t="s">
        <v>2161</v>
      </c>
      <c r="D40" s="2505"/>
      <c r="E40" s="2505"/>
      <c r="F40" s="2506"/>
      <c r="G40" s="2507">
        <f>' SEFA (4)'!I14</f>
        <v>272419</v>
      </c>
      <c r="H40" s="2507"/>
      <c r="I40" s="2507"/>
    </row>
    <row r="41" spans="2:9" ht="16.5" customHeight="1" x14ac:dyDescent="0.2">
      <c r="B41" s="1444"/>
      <c r="C41" s="2504"/>
      <c r="D41" s="2505"/>
      <c r="E41" s="2505"/>
      <c r="F41" s="2506"/>
      <c r="G41" s="2507"/>
      <c r="H41" s="2507"/>
      <c r="I41" s="2507"/>
    </row>
    <row r="42" spans="2:9" ht="16.5" customHeight="1" x14ac:dyDescent="0.2">
      <c r="B42" s="1444"/>
      <c r="C42" s="2504"/>
      <c r="D42" s="2505"/>
      <c r="E42" s="2505"/>
      <c r="F42" s="2506"/>
      <c r="G42" s="2507"/>
      <c r="H42" s="2507"/>
      <c r="I42" s="2507"/>
    </row>
    <row r="43" spans="2:9" ht="16.5" customHeight="1" x14ac:dyDescent="0.2">
      <c r="B43" s="1444"/>
      <c r="C43" s="2497" t="s">
        <v>1674</v>
      </c>
      <c r="D43" s="2498"/>
      <c r="E43" s="2498"/>
      <c r="F43" s="2499"/>
      <c r="G43" s="2500">
        <f>SUM(G38:I42)</f>
        <v>4230555</v>
      </c>
      <c r="H43" s="2500"/>
      <c r="I43" s="2500"/>
    </row>
    <row r="44" spans="2:9" ht="12.75" customHeight="1" x14ac:dyDescent="0.2"/>
    <row r="45" spans="2:9" ht="12.75" customHeight="1" x14ac:dyDescent="0.2">
      <c r="B45" s="1435" t="s">
        <v>1948</v>
      </c>
      <c r="D45" s="2501">
        <f>' SEFA (4)'!I18</f>
        <v>8599894</v>
      </c>
      <c r="E45" s="2502"/>
    </row>
    <row r="46" spans="2:9" ht="5.25" customHeight="1" x14ac:dyDescent="0.2">
      <c r="B46" s="1445"/>
      <c r="D46" s="1446"/>
      <c r="E46" s="1447"/>
    </row>
    <row r="47" spans="2:9" ht="12.75" customHeight="1" x14ac:dyDescent="0.2">
      <c r="B47" s="1300" t="s">
        <v>1675</v>
      </c>
      <c r="C47" s="1300"/>
      <c r="D47" s="1448">
        <f>+G43/D45</f>
        <v>0.49193106333636205</v>
      </c>
      <c r="E47" s="1449"/>
      <c r="F47" s="1450"/>
      <c r="I47" s="1451"/>
    </row>
    <row r="48" spans="2:9" ht="9.9499999999999993" customHeight="1" x14ac:dyDescent="0.2"/>
    <row r="49" spans="1:9" x14ac:dyDescent="0.2">
      <c r="B49" s="1368" t="s">
        <v>1334</v>
      </c>
      <c r="C49" s="1282"/>
      <c r="D49" s="1282"/>
      <c r="E49" s="2503">
        <v>750000</v>
      </c>
      <c r="F49" s="2503"/>
      <c r="G49" s="2503"/>
      <c r="H49" s="322"/>
    </row>
    <row r="51" spans="1:9" ht="13.5" customHeight="1" x14ac:dyDescent="0.2">
      <c r="B51" s="1368" t="s">
        <v>1333</v>
      </c>
      <c r="C51" s="1282"/>
      <c r="E51" s="1438"/>
      <c r="F51" s="1300" t="s">
        <v>939</v>
      </c>
      <c r="G51" s="1438" t="s">
        <v>2162</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43" sqref="B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Quincy SD 172</v>
      </c>
      <c r="C1" s="2508"/>
      <c r="D1" s="2508"/>
      <c r="E1" s="2508"/>
      <c r="F1" s="2508"/>
      <c r="G1" s="2508"/>
      <c r="H1" s="2508"/>
      <c r="I1" s="2508"/>
      <c r="J1" s="2508"/>
      <c r="K1" s="2508"/>
      <c r="L1" s="1374"/>
      <c r="M1" s="1374"/>
    </row>
    <row r="2" spans="1:13" ht="12" customHeight="1" x14ac:dyDescent="0.2">
      <c r="B2" s="2510">
        <f>'Single Audit Cover'!E7</f>
        <v>1001172022</v>
      </c>
      <c r="C2" s="2510"/>
      <c r="D2" s="2510"/>
      <c r="E2" s="2510"/>
      <c r="F2" s="2510"/>
      <c r="G2" s="2510"/>
      <c r="H2" s="2510"/>
      <c r="I2" s="2510"/>
      <c r="J2" s="2510"/>
      <c r="K2" s="2510"/>
      <c r="L2" s="1375"/>
      <c r="M2" s="1376"/>
    </row>
    <row r="3" spans="1:13" ht="10.35" customHeight="1" x14ac:dyDescent="0.2">
      <c r="B3" s="2524" t="s">
        <v>1346</v>
      </c>
      <c r="C3" s="2524"/>
      <c r="D3" s="2524"/>
      <c r="E3" s="2524"/>
      <c r="F3" s="2524"/>
      <c r="G3" s="2524"/>
      <c r="H3" s="2524"/>
      <c r="I3" s="2524"/>
      <c r="J3" s="2524"/>
      <c r="K3" s="2524"/>
      <c r="L3" s="1377"/>
      <c r="M3" s="1377"/>
    </row>
    <row r="4" spans="1:13" ht="14.25" customHeight="1" x14ac:dyDescent="0.2">
      <c r="B4" s="2525" t="str">
        <f>'Single Audit Cover'!A4</f>
        <v>Year Ending June 30, 2018</v>
      </c>
      <c r="C4" s="2525"/>
      <c r="D4" s="2525"/>
      <c r="E4" s="2525"/>
      <c r="F4" s="2525"/>
      <c r="G4" s="2525"/>
      <c r="H4" s="2525"/>
      <c r="I4" s="2525"/>
      <c r="J4" s="2525"/>
      <c r="K4" s="252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5" t="s">
        <v>1362</v>
      </c>
      <c r="C7" s="2525"/>
      <c r="D7" s="2526"/>
      <c r="E7" s="2526"/>
      <c r="F7" s="2526"/>
      <c r="G7" s="2526"/>
      <c r="H7" s="2526"/>
      <c r="I7" s="2526"/>
      <c r="J7" s="2526"/>
      <c r="K7" s="252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c r="H10" s="1389" t="s">
        <v>1360</v>
      </c>
      <c r="I10" s="1388" t="s">
        <v>2162</v>
      </c>
      <c r="J10" s="1390" t="s">
        <v>1359</v>
      </c>
      <c r="K10" s="322"/>
      <c r="L10" s="1381"/>
    </row>
    <row r="11" spans="1:13" ht="13.5" customHeight="1" x14ac:dyDescent="0.2">
      <c r="B11" s="322"/>
      <c r="C11" s="322"/>
      <c r="D11" s="322"/>
      <c r="E11" s="322"/>
      <c r="F11" s="322"/>
      <c r="G11" s="1383"/>
      <c r="H11" s="322"/>
      <c r="I11" s="1391" t="s">
        <v>1358</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23" t="s">
        <v>2231</v>
      </c>
      <c r="C14" s="2523"/>
      <c r="D14" s="2523"/>
      <c r="E14" s="2523"/>
      <c r="F14" s="2523"/>
      <c r="G14" s="2523"/>
      <c r="H14" s="2523"/>
      <c r="I14" s="2523"/>
      <c r="J14" s="2523"/>
      <c r="K14" s="252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23" t="s">
        <v>2232</v>
      </c>
      <c r="C17" s="2523"/>
      <c r="D17" s="2523"/>
      <c r="E17" s="2523"/>
      <c r="F17" s="2523"/>
      <c r="G17" s="2523"/>
      <c r="H17" s="2523"/>
      <c r="I17" s="2523"/>
      <c r="J17" s="2523"/>
      <c r="K17" s="252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27" t="s">
        <v>2233</v>
      </c>
      <c r="C20" s="2527"/>
      <c r="D20" s="2523"/>
      <c r="E20" s="2523"/>
      <c r="F20" s="2523"/>
      <c r="G20" s="2523"/>
      <c r="H20" s="2523"/>
      <c r="I20" s="2523"/>
      <c r="J20" s="2523"/>
      <c r="K20" s="252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23" t="s">
        <v>2234</v>
      </c>
      <c r="C23" s="2523"/>
      <c r="D23" s="2523"/>
      <c r="E23" s="2523"/>
      <c r="F23" s="2523"/>
      <c r="G23" s="2523"/>
      <c r="H23" s="2523"/>
      <c r="I23" s="2523"/>
      <c r="J23" s="2523"/>
      <c r="K23" s="252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23" t="s">
        <v>2235</v>
      </c>
      <c r="C26" s="2523"/>
      <c r="D26" s="2523"/>
      <c r="E26" s="2523"/>
      <c r="F26" s="2523"/>
      <c r="G26" s="2523"/>
      <c r="H26" s="2523"/>
      <c r="I26" s="2523"/>
      <c r="J26" s="2523"/>
      <c r="K26" s="252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22" t="s">
        <v>2236</v>
      </c>
      <c r="C29" s="2522"/>
      <c r="D29" s="2523"/>
      <c r="E29" s="2523"/>
      <c r="F29" s="2523"/>
      <c r="G29" s="2523"/>
      <c r="H29" s="2523"/>
      <c r="I29" s="2523"/>
      <c r="J29" s="2523"/>
      <c r="K29" s="252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22" t="s">
        <v>2237</v>
      </c>
      <c r="C32" s="2522"/>
      <c r="D32" s="2523"/>
      <c r="E32" s="2523"/>
      <c r="F32" s="2523"/>
      <c r="G32" s="2523"/>
      <c r="H32" s="2523"/>
      <c r="I32" s="2523"/>
      <c r="J32" s="2523"/>
      <c r="K32" s="252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43" sqref="B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8" t="str">
        <f>'Single Audit Cover'!A7</f>
        <v>Quincy SD 172</v>
      </c>
      <c r="C1" s="2508"/>
      <c r="D1" s="2508"/>
      <c r="E1" s="2508"/>
      <c r="F1" s="2508"/>
      <c r="G1" s="2508"/>
      <c r="H1" s="2508"/>
      <c r="I1" s="2508"/>
      <c r="J1" s="2508"/>
      <c r="K1" s="2508"/>
      <c r="L1" s="1374"/>
      <c r="M1" s="1374"/>
    </row>
    <row r="2" spans="1:13" ht="12" customHeight="1" x14ac:dyDescent="0.2">
      <c r="B2" s="2510">
        <f>'Single Audit Cover'!E7</f>
        <v>1001172022</v>
      </c>
      <c r="C2" s="2510"/>
      <c r="D2" s="2510"/>
      <c r="E2" s="2510"/>
      <c r="F2" s="2510"/>
      <c r="G2" s="2510"/>
      <c r="H2" s="2510"/>
      <c r="I2" s="2510"/>
      <c r="J2" s="2510"/>
      <c r="K2" s="2510"/>
      <c r="L2" s="1375"/>
      <c r="M2" s="1376"/>
    </row>
    <row r="3" spans="1:13" ht="10.35" customHeight="1" x14ac:dyDescent="0.2">
      <c r="B3" s="2524" t="s">
        <v>1346</v>
      </c>
      <c r="C3" s="2524"/>
      <c r="D3" s="2524"/>
      <c r="E3" s="2524"/>
      <c r="F3" s="2524"/>
      <c r="G3" s="2524"/>
      <c r="H3" s="2524"/>
      <c r="I3" s="2524"/>
      <c r="J3" s="2524"/>
      <c r="K3" s="2524"/>
      <c r="L3" s="1983"/>
      <c r="M3" s="1983"/>
    </row>
    <row r="4" spans="1:13" ht="14.25" customHeight="1" x14ac:dyDescent="0.2">
      <c r="B4" s="2525" t="str">
        <f>'Single Audit Cover'!A4</f>
        <v>Year Ending June 30, 2018</v>
      </c>
      <c r="C4" s="2525"/>
      <c r="D4" s="2525"/>
      <c r="E4" s="2525"/>
      <c r="F4" s="2525"/>
      <c r="G4" s="2525"/>
      <c r="H4" s="2525"/>
      <c r="I4" s="2525"/>
      <c r="J4" s="2525"/>
      <c r="K4" s="252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5" t="s">
        <v>1362</v>
      </c>
      <c r="C7" s="2525"/>
      <c r="D7" s="2526"/>
      <c r="E7" s="2526"/>
      <c r="F7" s="2526"/>
      <c r="G7" s="2526"/>
      <c r="H7" s="2526"/>
      <c r="I7" s="2526"/>
      <c r="J7" s="2526"/>
      <c r="K7" s="252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2</v>
      </c>
      <c r="E10" s="322"/>
      <c r="F10" s="1387" t="s">
        <v>1361</v>
      </c>
      <c r="G10" s="1388" t="s">
        <v>2162</v>
      </c>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23" t="s">
        <v>2238</v>
      </c>
      <c r="C14" s="2523"/>
      <c r="D14" s="2523"/>
      <c r="E14" s="2523"/>
      <c r="F14" s="2523"/>
      <c r="G14" s="2523"/>
      <c r="H14" s="2523"/>
      <c r="I14" s="2523"/>
      <c r="J14" s="2523"/>
      <c r="K14" s="252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23" t="s">
        <v>2239</v>
      </c>
      <c r="C17" s="2523"/>
      <c r="D17" s="2523"/>
      <c r="E17" s="2523"/>
      <c r="F17" s="2523"/>
      <c r="G17" s="2523"/>
      <c r="H17" s="2523"/>
      <c r="I17" s="2523"/>
      <c r="J17" s="2523"/>
      <c r="K17" s="2523"/>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27" t="s">
        <v>2240</v>
      </c>
      <c r="C20" s="2527"/>
      <c r="D20" s="2523"/>
      <c r="E20" s="2523"/>
      <c r="F20" s="2523"/>
      <c r="G20" s="2523"/>
      <c r="H20" s="2523"/>
      <c r="I20" s="2523"/>
      <c r="J20" s="2523"/>
      <c r="K20" s="252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23" t="s">
        <v>2241</v>
      </c>
      <c r="C23" s="2523"/>
      <c r="D23" s="2523"/>
      <c r="E23" s="2523"/>
      <c r="F23" s="2523"/>
      <c r="G23" s="2523"/>
      <c r="H23" s="2523"/>
      <c r="I23" s="2523"/>
      <c r="J23" s="2523"/>
      <c r="K23" s="252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23" t="s">
        <v>2242</v>
      </c>
      <c r="C26" s="2523"/>
      <c r="D26" s="2523"/>
      <c r="E26" s="2523"/>
      <c r="F26" s="2523"/>
      <c r="G26" s="2523"/>
      <c r="H26" s="2523"/>
      <c r="I26" s="2523"/>
      <c r="J26" s="2523"/>
      <c r="K26" s="252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22" t="s">
        <v>2243</v>
      </c>
      <c r="C29" s="2522"/>
      <c r="D29" s="2523"/>
      <c r="E29" s="2523"/>
      <c r="F29" s="2523"/>
      <c r="G29" s="2523"/>
      <c r="H29" s="2523"/>
      <c r="I29" s="2523"/>
      <c r="J29" s="2523"/>
      <c r="K29" s="252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22" t="s">
        <v>2244</v>
      </c>
      <c r="C32" s="2522"/>
      <c r="D32" s="2523"/>
      <c r="E32" s="2523"/>
      <c r="F32" s="2523"/>
      <c r="G32" s="2523"/>
      <c r="H32" s="2523"/>
      <c r="I32" s="2523"/>
      <c r="J32" s="2523"/>
      <c r="K32" s="252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43" sqref="B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2" t="str">
        <f>'Single Audit Cover'!A7</f>
        <v>Quincy SD 172</v>
      </c>
      <c r="C1" s="2532"/>
      <c r="D1" s="2532"/>
      <c r="E1" s="2532"/>
      <c r="F1" s="2532"/>
      <c r="G1" s="2532"/>
      <c r="H1" s="2532"/>
      <c r="I1" s="2532"/>
      <c r="J1" s="2532"/>
      <c r="K1" s="2532"/>
      <c r="L1" s="1465"/>
    </row>
    <row r="2" spans="1:12" ht="12.75" customHeight="1" x14ac:dyDescent="0.2">
      <c r="B2" s="2533">
        <f>'Single Audit Cover'!E7</f>
        <v>1001172022</v>
      </c>
      <c r="C2" s="2533"/>
      <c r="D2" s="2533"/>
      <c r="E2" s="2533"/>
      <c r="F2" s="2533"/>
      <c r="G2" s="2533"/>
      <c r="H2" s="2533"/>
      <c r="I2" s="2533"/>
      <c r="J2" s="2533"/>
      <c r="K2" s="2533"/>
      <c r="L2" s="1466"/>
    </row>
    <row r="3" spans="1:12" ht="12.75" customHeight="1" x14ac:dyDescent="0.2">
      <c r="B3" s="2524" t="s">
        <v>1346</v>
      </c>
      <c r="C3" s="2524"/>
      <c r="D3" s="2524"/>
      <c r="E3" s="2524"/>
      <c r="F3" s="2524"/>
      <c r="G3" s="2524"/>
      <c r="H3" s="2524"/>
      <c r="I3" s="2524"/>
      <c r="J3" s="2524"/>
      <c r="K3" s="2524"/>
      <c r="L3" s="1377"/>
    </row>
    <row r="4" spans="1:12" ht="12.75" customHeight="1" x14ac:dyDescent="0.2">
      <c r="B4" s="2524" t="str">
        <f>'Single Audit Cover'!A4</f>
        <v>Year Ending June 30, 2018</v>
      </c>
      <c r="C4" s="2524"/>
      <c r="D4" s="2524"/>
      <c r="E4" s="2524"/>
      <c r="F4" s="2524"/>
      <c r="G4" s="2524"/>
      <c r="H4" s="2524"/>
      <c r="I4" s="2524"/>
      <c r="J4" s="2524"/>
      <c r="K4" s="2524"/>
      <c r="L4" s="1377"/>
    </row>
    <row r="5" spans="1:12" ht="5.25" customHeight="1" x14ac:dyDescent="0.2">
      <c r="B5" s="1260" t="s">
        <v>1230</v>
      </c>
      <c r="C5" s="1260"/>
      <c r="L5" s="322"/>
    </row>
    <row r="6" spans="1:12" ht="30.75" customHeight="1" x14ac:dyDescent="0.2">
      <c r="A6" s="322"/>
      <c r="B6" s="2534" t="s">
        <v>1374</v>
      </c>
      <c r="C6" s="2534"/>
      <c r="D6" s="2534"/>
      <c r="E6" s="2534"/>
      <c r="F6" s="2534"/>
      <c r="G6" s="2534"/>
      <c r="H6" s="2534"/>
      <c r="I6" s="2534"/>
      <c r="J6" s="2534"/>
      <c r="K6" s="2534"/>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3</v>
      </c>
      <c r="E8" s="322"/>
      <c r="F8" s="1384" t="s">
        <v>1361</v>
      </c>
      <c r="G8" s="1469" t="s">
        <v>2162</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15" t="s">
        <v>2246</v>
      </c>
      <c r="G12" s="2515"/>
      <c r="H12" s="2515"/>
      <c r="I12" s="2515"/>
      <c r="J12" s="2515"/>
      <c r="K12" s="251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28" t="s">
        <v>2247</v>
      </c>
      <c r="E14" s="2528"/>
      <c r="F14" s="2528"/>
      <c r="H14" s="1475" t="s">
        <v>1369</v>
      </c>
      <c r="I14" s="2529" t="s">
        <v>2248</v>
      </c>
      <c r="J14" s="2529"/>
      <c r="K14" s="252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29" t="s">
        <v>2249</v>
      </c>
      <c r="E16" s="2529"/>
      <c r="F16" s="2529"/>
      <c r="G16" s="2529"/>
      <c r="H16" s="2529"/>
      <c r="I16" s="2529"/>
      <c r="J16" s="2529"/>
      <c r="K16" s="2529"/>
      <c r="L16" s="322"/>
    </row>
    <row r="17" spans="2:12" ht="13.5" customHeight="1" x14ac:dyDescent="0.2">
      <c r="B17" s="1387" t="s">
        <v>1367</v>
      </c>
      <c r="C17" s="1387"/>
      <c r="D17" s="2530" t="s">
        <v>2250</v>
      </c>
      <c r="E17" s="2530"/>
      <c r="F17" s="2530"/>
      <c r="G17" s="2530"/>
      <c r="H17" s="2530"/>
      <c r="I17" s="2530"/>
      <c r="J17" s="2530"/>
      <c r="K17" s="253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23" t="s">
        <v>2245</v>
      </c>
      <c r="C20" s="2523"/>
      <c r="D20" s="2523"/>
      <c r="E20" s="2523"/>
      <c r="F20" s="2523"/>
      <c r="G20" s="2523"/>
      <c r="H20" s="2523"/>
      <c r="I20" s="2523"/>
      <c r="J20" s="2523"/>
      <c r="K20" s="252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23"/>
      <c r="C23" s="2523"/>
      <c r="D23" s="2523"/>
      <c r="E23" s="2523"/>
      <c r="F23" s="2523"/>
      <c r="G23" s="2523"/>
      <c r="H23" s="2523"/>
      <c r="I23" s="2523"/>
      <c r="J23" s="2523"/>
      <c r="K23" s="252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31">
        <v>0</v>
      </c>
      <c r="C26" s="2523"/>
      <c r="D26" s="2523"/>
      <c r="E26" s="2523"/>
      <c r="F26" s="2523"/>
      <c r="G26" s="2523"/>
      <c r="H26" s="2523"/>
      <c r="I26" s="2523"/>
      <c r="J26" s="2523"/>
      <c r="K26" s="252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23"/>
      <c r="C29" s="2523"/>
      <c r="D29" s="2523"/>
      <c r="E29" s="2523"/>
      <c r="F29" s="2523"/>
      <c r="G29" s="2523"/>
      <c r="H29" s="2523"/>
      <c r="I29" s="2523"/>
      <c r="J29" s="2523"/>
      <c r="K29" s="252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23"/>
      <c r="C32" s="2523"/>
      <c r="D32" s="2523"/>
      <c r="E32" s="2523"/>
      <c r="F32" s="2523"/>
      <c r="G32" s="2523"/>
      <c r="H32" s="2523"/>
      <c r="I32" s="2523"/>
      <c r="J32" s="2523"/>
      <c r="K32" s="252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23"/>
      <c r="C35" s="2523"/>
      <c r="D35" s="2523"/>
      <c r="E35" s="2523"/>
      <c r="F35" s="2523"/>
      <c r="G35" s="2523"/>
      <c r="H35" s="2523"/>
      <c r="I35" s="2523"/>
      <c r="J35" s="2523"/>
      <c r="K35" s="252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23"/>
      <c r="C38" s="2523"/>
      <c r="D38" s="2523"/>
      <c r="E38" s="2523"/>
      <c r="F38" s="2523"/>
      <c r="G38" s="2523"/>
      <c r="H38" s="2523"/>
      <c r="I38" s="2523"/>
      <c r="J38" s="2523"/>
      <c r="K38" s="252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23"/>
      <c r="C41" s="2523"/>
      <c r="D41" s="2523"/>
      <c r="E41" s="2523"/>
      <c r="F41" s="2523"/>
      <c r="G41" s="2523"/>
      <c r="H41" s="2523"/>
      <c r="I41" s="2523"/>
      <c r="J41" s="2523"/>
      <c r="K41" s="252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5" zoomScale="110" zoomScaleNormal="110" workbookViewId="0">
      <selection activeCell="B43" sqref="B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2" t="str">
        <f>'Single Audit Cover'!A7</f>
        <v>Quincy SD 172</v>
      </c>
      <c r="C1" s="2532"/>
      <c r="D1" s="2532"/>
      <c r="E1" s="2532"/>
      <c r="F1" s="2532"/>
      <c r="G1" s="2532"/>
      <c r="H1" s="2532"/>
      <c r="I1" s="2532"/>
      <c r="J1" s="2532"/>
      <c r="K1" s="2532"/>
      <c r="L1" s="1465"/>
    </row>
    <row r="2" spans="1:12" ht="12.75" customHeight="1" x14ac:dyDescent="0.2">
      <c r="B2" s="2533">
        <f>'Single Audit Cover'!E7</f>
        <v>1001172022</v>
      </c>
      <c r="C2" s="2533"/>
      <c r="D2" s="2533"/>
      <c r="E2" s="2533"/>
      <c r="F2" s="2533"/>
      <c r="G2" s="2533"/>
      <c r="H2" s="2533"/>
      <c r="I2" s="2533"/>
      <c r="J2" s="2533"/>
      <c r="K2" s="2533"/>
      <c r="L2" s="1466"/>
    </row>
    <row r="3" spans="1:12" ht="12.75" customHeight="1" x14ac:dyDescent="0.2">
      <c r="B3" s="2524" t="s">
        <v>1346</v>
      </c>
      <c r="C3" s="2524"/>
      <c r="D3" s="2524"/>
      <c r="E3" s="2524"/>
      <c r="F3" s="2524"/>
      <c r="G3" s="2524"/>
      <c r="H3" s="2524"/>
      <c r="I3" s="2524"/>
      <c r="J3" s="2524"/>
      <c r="K3" s="2524"/>
      <c r="L3" s="1983"/>
    </row>
    <row r="4" spans="1:12" ht="12.75" customHeight="1" x14ac:dyDescent="0.2">
      <c r="B4" s="2524" t="str">
        <f>'Single Audit Cover'!A4</f>
        <v>Year Ending June 30, 2018</v>
      </c>
      <c r="C4" s="2524"/>
      <c r="D4" s="2524"/>
      <c r="E4" s="2524"/>
      <c r="F4" s="2524"/>
      <c r="G4" s="2524"/>
      <c r="H4" s="2524"/>
      <c r="I4" s="2524"/>
      <c r="J4" s="2524"/>
      <c r="K4" s="2524"/>
      <c r="L4" s="1983"/>
    </row>
    <row r="5" spans="1:12" ht="5.25" customHeight="1" x14ac:dyDescent="0.2">
      <c r="B5" s="1260" t="s">
        <v>1230</v>
      </c>
      <c r="C5" s="1260"/>
      <c r="L5" s="322"/>
    </row>
    <row r="6" spans="1:12" ht="30.75" customHeight="1" x14ac:dyDescent="0.2">
      <c r="A6" s="322"/>
      <c r="B6" s="2534" t="s">
        <v>1374</v>
      </c>
      <c r="C6" s="2534"/>
      <c r="D6" s="2534"/>
      <c r="E6" s="2534"/>
      <c r="F6" s="2534"/>
      <c r="G6" s="2534"/>
      <c r="H6" s="2534"/>
      <c r="I6" s="2534"/>
      <c r="J6" s="2534"/>
      <c r="K6" s="2534"/>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4</v>
      </c>
      <c r="E8" s="322"/>
      <c r="F8" s="1384" t="s">
        <v>1361</v>
      </c>
      <c r="G8" s="1469" t="s">
        <v>2162</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15" t="s">
        <v>2253</v>
      </c>
      <c r="G12" s="2515"/>
      <c r="H12" s="2515"/>
      <c r="I12" s="2515"/>
      <c r="J12" s="2515"/>
      <c r="K12" s="251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28" t="s">
        <v>2247</v>
      </c>
      <c r="E14" s="2528"/>
      <c r="F14" s="2528"/>
      <c r="H14" s="1475" t="s">
        <v>1369</v>
      </c>
      <c r="I14" s="2529" t="s">
        <v>2248</v>
      </c>
      <c r="J14" s="2529"/>
      <c r="K14" s="252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29" t="s">
        <v>2249</v>
      </c>
      <c r="E16" s="2529"/>
      <c r="F16" s="2529"/>
      <c r="G16" s="2529"/>
      <c r="H16" s="2529"/>
      <c r="I16" s="2529"/>
      <c r="J16" s="2529"/>
      <c r="K16" s="2529"/>
      <c r="L16" s="322"/>
    </row>
    <row r="17" spans="2:12" ht="13.5" customHeight="1" x14ac:dyDescent="0.2">
      <c r="B17" s="1387" t="s">
        <v>1367</v>
      </c>
      <c r="C17" s="1387"/>
      <c r="D17" s="2530" t="s">
        <v>2250</v>
      </c>
      <c r="E17" s="2530"/>
      <c r="F17" s="2530"/>
      <c r="G17" s="2530"/>
      <c r="H17" s="2530"/>
      <c r="I17" s="2530"/>
      <c r="J17" s="2530"/>
      <c r="K17" s="253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23" t="s">
        <v>2254</v>
      </c>
      <c r="C20" s="2523"/>
      <c r="D20" s="2523"/>
      <c r="E20" s="2523"/>
      <c r="F20" s="2523"/>
      <c r="G20" s="2523"/>
      <c r="H20" s="2523"/>
      <c r="I20" s="2523"/>
      <c r="J20" s="2523"/>
      <c r="K20" s="252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23" t="s">
        <v>2257</v>
      </c>
      <c r="C23" s="2523"/>
      <c r="D23" s="2523"/>
      <c r="E23" s="2523"/>
      <c r="F23" s="2523"/>
      <c r="G23" s="2523"/>
      <c r="H23" s="2523"/>
      <c r="I23" s="2523"/>
      <c r="J23" s="2523"/>
      <c r="K23" s="252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31">
        <v>0</v>
      </c>
      <c r="C26" s="2523"/>
      <c r="D26" s="2523"/>
      <c r="E26" s="2523"/>
      <c r="F26" s="2523"/>
      <c r="G26" s="2523"/>
      <c r="H26" s="2523"/>
      <c r="I26" s="2523"/>
      <c r="J26" s="2523"/>
      <c r="K26" s="252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23" t="s">
        <v>2258</v>
      </c>
      <c r="C29" s="2523"/>
      <c r="D29" s="2523"/>
      <c r="E29" s="2523"/>
      <c r="F29" s="2523"/>
      <c r="G29" s="2523"/>
      <c r="H29" s="2523"/>
      <c r="I29" s="2523"/>
      <c r="J29" s="2523"/>
      <c r="K29" s="252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23" t="s">
        <v>2255</v>
      </c>
      <c r="C32" s="2523"/>
      <c r="D32" s="2523"/>
      <c r="E32" s="2523"/>
      <c r="F32" s="2523"/>
      <c r="G32" s="2523"/>
      <c r="H32" s="2523"/>
      <c r="I32" s="2523"/>
      <c r="J32" s="2523"/>
      <c r="K32" s="252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23" t="s">
        <v>2256</v>
      </c>
      <c r="C35" s="2523"/>
      <c r="D35" s="2523"/>
      <c r="E35" s="2523"/>
      <c r="F35" s="2523"/>
      <c r="G35" s="2523"/>
      <c r="H35" s="2523"/>
      <c r="I35" s="2523"/>
      <c r="J35" s="2523"/>
      <c r="K35" s="252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23" t="s">
        <v>2259</v>
      </c>
      <c r="C38" s="2523"/>
      <c r="D38" s="2523"/>
      <c r="E38" s="2523"/>
      <c r="F38" s="2523"/>
      <c r="G38" s="2523"/>
      <c r="H38" s="2523"/>
      <c r="I38" s="2523"/>
      <c r="J38" s="2523"/>
      <c r="K38" s="252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23" t="s">
        <v>2260</v>
      </c>
      <c r="C41" s="2523"/>
      <c r="D41" s="2523"/>
      <c r="E41" s="2523"/>
      <c r="F41" s="2523"/>
      <c r="G41" s="2523"/>
      <c r="H41" s="2523"/>
      <c r="I41" s="2523"/>
      <c r="J41" s="2523"/>
      <c r="K41" s="252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43" sqref="B43"/>
    </sheetView>
  </sheetViews>
  <sheetFormatPr defaultColWidth="9.140625" defaultRowHeight="12.75" x14ac:dyDescent="0.2"/>
  <cols>
    <col min="1" max="1" width="1.5703125" style="317" customWidth="1"/>
    <col min="2" max="2" width="14.7109375" style="317" customWidth="1"/>
    <col min="3" max="3" width="41.140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08" t="str">
        <f>'Single Audit Cover'!A7</f>
        <v>Quincy SD 172</v>
      </c>
      <c r="C1" s="2508"/>
      <c r="D1" s="2508"/>
      <c r="E1" s="1491"/>
    </row>
    <row r="2" spans="2:5" s="1282" customFormat="1" ht="12.75" customHeight="1" x14ac:dyDescent="0.2">
      <c r="B2" s="2510">
        <f>'Single Audit Cover'!E7</f>
        <v>1001172022</v>
      </c>
      <c r="C2" s="2510"/>
      <c r="D2" s="2510"/>
      <c r="E2" s="1492"/>
    </row>
    <row r="3" spans="2:5" ht="12.75" customHeight="1" x14ac:dyDescent="0.2">
      <c r="B3" s="2524" t="s">
        <v>1865</v>
      </c>
      <c r="C3" s="2524"/>
      <c r="D3" s="2524"/>
      <c r="E3" s="1274"/>
    </row>
    <row r="4" spans="2:5" s="1282" customFormat="1" ht="12.75" customHeight="1" x14ac:dyDescent="0.2">
      <c r="B4" s="2535" t="str">
        <f>'Single Audit Cover'!A4</f>
        <v>Year Ending June 30, 2018</v>
      </c>
      <c r="C4" s="2535"/>
      <c r="D4" s="2535"/>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2215</v>
      </c>
      <c r="C8" s="324" t="s">
        <v>2216</v>
      </c>
      <c r="D8" s="1984" t="s">
        <v>2251</v>
      </c>
      <c r="E8" s="324"/>
    </row>
    <row r="9" spans="2:5" ht="13.5" customHeight="1" x14ac:dyDescent="0.2">
      <c r="B9" s="1497"/>
      <c r="C9" s="323" t="s">
        <v>2217</v>
      </c>
      <c r="D9" s="1985"/>
      <c r="E9" s="323"/>
    </row>
    <row r="10" spans="2:5" ht="13.5" customHeight="1" x14ac:dyDescent="0.2">
      <c r="B10" s="1496"/>
      <c r="C10" s="323"/>
      <c r="D10" s="1985"/>
      <c r="E10" s="323"/>
    </row>
    <row r="11" spans="2:5" ht="13.5" customHeight="1" x14ac:dyDescent="0.2">
      <c r="B11" s="1496" t="s">
        <v>2218</v>
      </c>
      <c r="C11" s="323" t="s">
        <v>2219</v>
      </c>
      <c r="D11" s="1985" t="s">
        <v>2251</v>
      </c>
      <c r="E11" s="323"/>
    </row>
    <row r="12" spans="2:5" ht="13.5" customHeight="1" x14ac:dyDescent="0.2">
      <c r="B12" s="1496"/>
      <c r="C12" s="323" t="s">
        <v>2220</v>
      </c>
      <c r="D12" s="1985"/>
      <c r="E12" s="323"/>
    </row>
    <row r="13" spans="2:5" ht="13.5" customHeight="1" x14ac:dyDescent="0.2">
      <c r="B13" s="1496"/>
      <c r="C13" s="323" t="s">
        <v>2221</v>
      </c>
      <c r="D13" s="1985"/>
      <c r="E13" s="323"/>
    </row>
    <row r="14" spans="2:5" ht="13.5" customHeight="1" x14ac:dyDescent="0.2">
      <c r="B14" s="1496"/>
      <c r="C14" s="323" t="s">
        <v>2222</v>
      </c>
      <c r="D14" s="1985"/>
      <c r="E14" s="323"/>
    </row>
    <row r="15" spans="2:5" ht="13.5" customHeight="1" x14ac:dyDescent="0.2">
      <c r="B15" s="1496"/>
      <c r="C15" s="323"/>
      <c r="D15" s="1985"/>
      <c r="E15" s="323"/>
    </row>
    <row r="16" spans="2:5" ht="13.5" customHeight="1" x14ac:dyDescent="0.2">
      <c r="B16" s="1496" t="s">
        <v>2223</v>
      </c>
      <c r="C16" s="323" t="s">
        <v>2224</v>
      </c>
      <c r="D16" s="1985" t="s">
        <v>2252</v>
      </c>
      <c r="E16" s="323"/>
    </row>
    <row r="17" spans="2:5" ht="13.5" customHeight="1" x14ac:dyDescent="0.2">
      <c r="B17" s="1496"/>
      <c r="C17" s="323" t="s">
        <v>2225</v>
      </c>
      <c r="D17" s="1985"/>
      <c r="E17" s="323"/>
    </row>
    <row r="18" spans="2:5" ht="13.5" customHeight="1" x14ac:dyDescent="0.2">
      <c r="B18" s="1496"/>
      <c r="C18" s="323"/>
      <c r="D18" s="1985"/>
      <c r="E18" s="323"/>
    </row>
    <row r="19" spans="2:5" ht="13.5" customHeight="1" x14ac:dyDescent="0.2">
      <c r="B19" s="1496" t="s">
        <v>2226</v>
      </c>
      <c r="C19" s="323" t="s">
        <v>2227</v>
      </c>
      <c r="D19" s="1985" t="s">
        <v>2251</v>
      </c>
      <c r="E19" s="323"/>
    </row>
    <row r="20" spans="2:5" ht="13.5" customHeight="1" x14ac:dyDescent="0.2">
      <c r="B20" s="1496"/>
      <c r="C20" s="323" t="s">
        <v>2228</v>
      </c>
      <c r="D20" s="1985"/>
      <c r="E20" s="323"/>
    </row>
    <row r="21" spans="2:5" ht="13.5" customHeight="1" x14ac:dyDescent="0.2">
      <c r="B21" s="1496"/>
      <c r="C21" s="323" t="s">
        <v>2229</v>
      </c>
      <c r="D21" s="1985"/>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22" sqref="A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2" t="s">
        <v>403</v>
      </c>
      <c r="B1" s="2132"/>
      <c r="C1" s="2132"/>
      <c r="D1" s="2132"/>
      <c r="E1" s="2132"/>
      <c r="F1" s="2132"/>
      <c r="G1" s="2132"/>
      <c r="H1" s="2132"/>
      <c r="I1" s="2132"/>
      <c r="J1" s="2132"/>
      <c r="K1" s="2132"/>
      <c r="L1" s="2132"/>
      <c r="M1" s="213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908290482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1.84E-2</v>
      </c>
      <c r="E10" s="356" t="s">
        <v>1061</v>
      </c>
      <c r="F10" s="355">
        <v>5.0000000000000001E-3</v>
      </c>
      <c r="G10" s="356" t="s">
        <v>1061</v>
      </c>
      <c r="H10" s="355">
        <v>2E-3</v>
      </c>
      <c r="I10" s="356" t="s">
        <v>1062</v>
      </c>
      <c r="J10" s="1754">
        <f>ROUND(D10+F10+H10,5)</f>
        <v>2.5399999999999999E-2</v>
      </c>
      <c r="K10" s="222"/>
      <c r="L10" s="355">
        <v>5.0000000000000001E-4</v>
      </c>
      <c r="M10" s="222"/>
    </row>
    <row r="11" spans="1:14" ht="7.5" customHeight="1" x14ac:dyDescent="0.2">
      <c r="B11" s="222"/>
      <c r="C11" s="222"/>
      <c r="D11" s="2142" t="str">
        <f>IF(SUM(J10)&lt;=0.0999999,"","Enter the Tax Rates by moving the decimal two places to the left.")</f>
        <v/>
      </c>
      <c r="E11" s="2143"/>
      <c r="F11" s="2143"/>
      <c r="G11" s="2143"/>
      <c r="H11" s="2143"/>
      <c r="I11" s="2143"/>
      <c r="J11" s="214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62618812</v>
      </c>
      <c r="E16" s="356"/>
      <c r="F16" s="1755">
        <f>SUM('Acct Summary 7-8'!C17,'Acct Summary 7-8'!D17,'Acct Summary 7-8'!F17)</f>
        <v>58558623</v>
      </c>
      <c r="G16" s="356"/>
      <c r="H16" s="1755">
        <f>SUM(D16-F16)</f>
        <v>4060189</v>
      </c>
      <c r="I16" s="222"/>
      <c r="J16" s="1755">
        <f>SUM('Acct Summary 7-8'!C81,'Acct Summary 7-8'!D81,'Acct Summary 7-8'!F81,'Acct Summary 7-8'!I81)</f>
        <v>8800025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125344086.51600002</v>
      </c>
      <c r="I31" s="368"/>
      <c r="J31" s="222"/>
      <c r="K31" s="222"/>
      <c r="L31" s="222"/>
      <c r="M31" s="222"/>
    </row>
    <row r="32" spans="1:13" ht="13.35" customHeight="1" x14ac:dyDescent="0.2">
      <c r="B32" s="369" t="s">
        <v>2162</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93414892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3"/>
      <c r="C54" s="2134"/>
      <c r="D54" s="2134"/>
      <c r="E54" s="2134"/>
      <c r="F54" s="2134"/>
      <c r="G54" s="2134"/>
      <c r="H54" s="2134"/>
      <c r="I54" s="2134"/>
      <c r="J54" s="2134"/>
      <c r="K54" s="2134"/>
      <c r="L54" s="2135"/>
      <c r="M54" s="380"/>
    </row>
    <row r="55" spans="1:13" ht="12.75" customHeight="1" x14ac:dyDescent="0.2">
      <c r="B55" s="2136"/>
      <c r="C55" s="2137"/>
      <c r="D55" s="2137"/>
      <c r="E55" s="2137"/>
      <c r="F55" s="2137"/>
      <c r="G55" s="2137"/>
      <c r="H55" s="2137"/>
      <c r="I55" s="2137"/>
      <c r="J55" s="2137"/>
      <c r="K55" s="2137"/>
      <c r="L55" s="2138"/>
      <c r="M55" s="380"/>
    </row>
    <row r="56" spans="1:13" ht="12.75" customHeight="1" x14ac:dyDescent="0.2">
      <c r="B56" s="2136"/>
      <c r="C56" s="2137"/>
      <c r="D56" s="2137"/>
      <c r="E56" s="2137"/>
      <c r="F56" s="2137"/>
      <c r="G56" s="2137"/>
      <c r="H56" s="2137"/>
      <c r="I56" s="2137"/>
      <c r="J56" s="2137"/>
      <c r="K56" s="2137"/>
      <c r="L56" s="2138"/>
      <c r="M56" s="222"/>
    </row>
    <row r="57" spans="1:13" ht="12.75" customHeight="1" x14ac:dyDescent="0.2">
      <c r="B57" s="2136"/>
      <c r="C57" s="2137"/>
      <c r="D57" s="2137"/>
      <c r="E57" s="2137"/>
      <c r="F57" s="2137"/>
      <c r="G57" s="2137"/>
      <c r="H57" s="2137"/>
      <c r="I57" s="2137"/>
      <c r="J57" s="2137"/>
      <c r="K57" s="2137"/>
      <c r="L57" s="2138"/>
      <c r="M57" s="222"/>
    </row>
    <row r="58" spans="1:13" x14ac:dyDescent="0.2">
      <c r="B58" s="2139"/>
      <c r="C58" s="2140"/>
      <c r="D58" s="2140"/>
      <c r="E58" s="2140"/>
      <c r="F58" s="2140"/>
      <c r="G58" s="2140"/>
      <c r="H58" s="2140"/>
      <c r="I58" s="2140"/>
      <c r="J58" s="2140"/>
      <c r="K58" s="2140"/>
      <c r="L58" s="214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4"/>
      <c r="D61" s="214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22" sqref="A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7"/>
      <c r="B1" s="2148"/>
      <c r="C1" s="2148"/>
      <c r="D1" s="384"/>
      <c r="E1" s="384"/>
      <c r="F1" s="384"/>
      <c r="G1" s="384"/>
      <c r="H1" s="384"/>
      <c r="I1" s="384"/>
      <c r="J1" s="384"/>
      <c r="K1" s="384"/>
      <c r="L1" s="384"/>
      <c r="M1" s="384"/>
      <c r="N1" s="384"/>
      <c r="O1" s="2147"/>
      <c r="P1" s="2148"/>
      <c r="Q1" s="2148"/>
    </row>
    <row r="2" spans="1:18" ht="15" x14ac:dyDescent="0.2">
      <c r="A2" s="2151" t="s">
        <v>576</v>
      </c>
      <c r="B2" s="2151"/>
      <c r="C2" s="2151"/>
      <c r="D2" s="2151"/>
      <c r="E2" s="2151"/>
      <c r="F2" s="2151"/>
      <c r="G2" s="2151"/>
      <c r="H2" s="2151"/>
      <c r="I2" s="2151"/>
      <c r="J2" s="2151"/>
      <c r="K2" s="2151"/>
      <c r="L2" s="2151"/>
      <c r="M2" s="2151"/>
      <c r="N2" s="2151"/>
      <c r="O2" s="2151"/>
      <c r="P2" s="2151"/>
      <c r="Q2" s="2151"/>
      <c r="R2" s="2151"/>
    </row>
    <row r="3" spans="1:18" ht="12.75" x14ac:dyDescent="0.2">
      <c r="A3" s="2152" t="s">
        <v>1479</v>
      </c>
      <c r="B3" s="2152"/>
      <c r="C3" s="2152"/>
      <c r="D3" s="2152"/>
      <c r="E3" s="2152"/>
      <c r="F3" s="2152"/>
      <c r="G3" s="2152"/>
      <c r="H3" s="2152"/>
      <c r="I3" s="2152"/>
      <c r="J3" s="2152"/>
      <c r="K3" s="2152"/>
      <c r="L3" s="2152"/>
      <c r="M3" s="2152"/>
      <c r="N3" s="2152"/>
      <c r="O3" s="2152"/>
      <c r="P3" s="2152"/>
      <c r="Q3" s="2152"/>
      <c r="R3" s="2152"/>
    </row>
    <row r="4" spans="1:18" x14ac:dyDescent="0.2">
      <c r="A4" s="2153" t="s">
        <v>1634</v>
      </c>
      <c r="B4" s="2153"/>
      <c r="C4" s="2153"/>
      <c r="D4" s="2153"/>
      <c r="E4" s="2153"/>
      <c r="F4" s="2153"/>
      <c r="G4" s="2153"/>
      <c r="H4" s="2153"/>
      <c r="I4" s="2153"/>
      <c r="J4" s="2153"/>
      <c r="K4" s="2153"/>
      <c r="L4" s="2153"/>
      <c r="M4" s="2153"/>
      <c r="N4" s="2153"/>
      <c r="O4" s="2153"/>
      <c r="P4" s="2153"/>
      <c r="Q4" s="2153"/>
      <c r="R4" s="215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Quincy SD 172</v>
      </c>
      <c r="E7" s="391"/>
      <c r="G7" s="252"/>
      <c r="H7" s="387"/>
      <c r="I7" s="387"/>
      <c r="J7" s="387"/>
      <c r="K7" s="387"/>
      <c r="L7" s="329"/>
      <c r="M7" s="329"/>
      <c r="N7" s="329"/>
      <c r="O7" s="329"/>
      <c r="P7" s="329"/>
    </row>
    <row r="8" spans="1:18" ht="12.75" x14ac:dyDescent="0.2">
      <c r="A8" s="329"/>
      <c r="B8" s="329"/>
      <c r="C8" s="389" t="s">
        <v>1186</v>
      </c>
      <c r="D8" s="392">
        <f>COVER!A13</f>
        <v>1001172022</v>
      </c>
      <c r="E8" s="393"/>
      <c r="G8" s="329"/>
      <c r="H8" s="329"/>
      <c r="I8" s="329"/>
      <c r="J8" s="329"/>
      <c r="K8" s="329"/>
      <c r="L8" s="329"/>
      <c r="M8" s="329"/>
      <c r="N8" s="329"/>
      <c r="O8" s="329"/>
      <c r="P8" s="329"/>
    </row>
    <row r="9" spans="1:18" ht="12.75" x14ac:dyDescent="0.2">
      <c r="A9" s="329"/>
      <c r="B9" s="329"/>
      <c r="C9" s="389" t="s">
        <v>736</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8800025</v>
      </c>
      <c r="I12" s="404"/>
      <c r="J12" s="404"/>
      <c r="K12" s="405">
        <f>TRUNC((H12/H13*100000),5)/100000</f>
        <v>0.14053324740000001</v>
      </c>
      <c r="L12" s="406"/>
      <c r="M12" s="360" t="s">
        <v>1205</v>
      </c>
      <c r="N12" s="360"/>
      <c r="O12" s="407">
        <v>0.35</v>
      </c>
      <c r="P12" s="218"/>
      <c r="Q12" s="218"/>
    </row>
    <row r="13" spans="1:18" s="408" customFormat="1" ht="12.75" x14ac:dyDescent="0.2">
      <c r="A13" s="218"/>
      <c r="B13" s="401"/>
      <c r="C13" s="2149" t="s">
        <v>1390</v>
      </c>
      <c r="D13" s="2150"/>
      <c r="E13" s="218"/>
      <c r="F13" s="409" t="s">
        <v>825</v>
      </c>
      <c r="G13" s="402"/>
      <c r="H13" s="403">
        <f>SUM('Acct Summary 7-8'!C8+'Acct Summary 7-8'!D8+'Acct Summary 7-8'!F8+'Acct Summary 7-8'!I8)+H14</f>
        <v>62618812</v>
      </c>
      <c r="I13" s="404"/>
      <c r="J13" s="404"/>
      <c r="K13" s="410"/>
      <c r="L13" s="218"/>
      <c r="M13" s="360" t="s">
        <v>1206</v>
      </c>
      <c r="N13" s="360"/>
      <c r="O13" s="411">
        <f>(O11*O12)</f>
        <v>1.0499999999999998</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58558623</v>
      </c>
      <c r="I17" s="404"/>
      <c r="J17" s="416"/>
      <c r="K17" s="405">
        <f>TRUNC((H17/H18*100000),5)/100000</f>
        <v>0.93516023579999996</v>
      </c>
      <c r="L17" s="406"/>
      <c r="M17" s="417" t="s">
        <v>1232</v>
      </c>
      <c r="O17" s="418" t="str">
        <f>IF(AND(O16="2", J20 &gt; 2),"1",IF(AND(O16 = "1", J20 &gt; 2),"2",IF(AND(O16="1", J20 &gt;1),"1","0")))</f>
        <v>0</v>
      </c>
      <c r="P17" s="218"/>
    </row>
    <row r="18" spans="1:18" s="408" customFormat="1" ht="11.25" x14ac:dyDescent="0.2">
      <c r="A18" s="218"/>
      <c r="B18" s="401"/>
      <c r="C18" s="2149" t="s">
        <v>1383</v>
      </c>
      <c r="D18" s="2150"/>
      <c r="E18" s="218"/>
      <c r="F18" s="419" t="s">
        <v>826</v>
      </c>
      <c r="G18" s="402"/>
      <c r="H18" s="403">
        <f>SUM('Acct Summary 7-8'!C8+'Acct Summary 7-8'!D8+'Acct Summary 7-8'!F8+'Acct Summary 7-8'!I8)+H19</f>
        <v>62618812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46" t="s">
        <v>1478</v>
      </c>
      <c r="D24" s="2146"/>
      <c r="E24" s="218"/>
      <c r="F24" s="218" t="s">
        <v>464</v>
      </c>
      <c r="G24" s="402"/>
      <c r="H24" s="403">
        <f>SUM('Assets-Liab 5-6'!C4+'Assets-Liab 5-6'!D4+'Assets-Liab 5-6'!F4+'Assets-Liab 5-6'!I4+'Assets-Liab 5-6'!C5+'Assets-Liab 5-6'!D5+'Assets-Liab 5-6'!F5+'Assets-Liab 5-6'!I5)</f>
        <v>8800031</v>
      </c>
      <c r="I24" s="422"/>
      <c r="J24" s="422"/>
      <c r="K24" s="423">
        <f>TRUNC(((H24/H25*100000)/100000),2)</f>
        <v>54.09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162662.84166999999</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19609991.506379999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93414892</v>
      </c>
      <c r="I32" s="420"/>
      <c r="J32" s="420"/>
      <c r="K32" s="423">
        <f>TRUNC(100-((((H32/H33*100))*100)/100),2)</f>
        <v>25.47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125344086.51600002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A22" sqref="A22"/>
      <selection pane="bottomLeft" activeCell="A22" sqref="A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6" t="s">
        <v>1029</v>
      </c>
      <c r="B3" s="2157"/>
      <c r="C3" s="1581"/>
      <c r="D3" s="1582"/>
      <c r="E3" s="1582"/>
      <c r="F3" s="1582"/>
      <c r="G3" s="1582"/>
      <c r="H3" s="1582"/>
      <c r="I3" s="1582"/>
      <c r="J3" s="1582"/>
      <c r="K3" s="1582"/>
      <c r="L3" s="1582"/>
      <c r="M3" s="1583"/>
      <c r="N3" s="1584"/>
    </row>
    <row r="4" spans="1:14" ht="13.5" customHeight="1" x14ac:dyDescent="0.2">
      <c r="A4" s="463" t="s">
        <v>1749</v>
      </c>
      <c r="B4" s="464"/>
      <c r="C4" s="465">
        <v>3391420</v>
      </c>
      <c r="D4" s="466">
        <v>493309</v>
      </c>
      <c r="E4" s="466">
        <v>1123849</v>
      </c>
      <c r="F4" s="466">
        <v>408180</v>
      </c>
      <c r="G4" s="466">
        <v>2582937</v>
      </c>
      <c r="H4" s="466">
        <v>26974603</v>
      </c>
      <c r="I4" s="466">
        <v>4507122</v>
      </c>
      <c r="J4" s="467">
        <v>3272602</v>
      </c>
      <c r="K4" s="466">
        <v>3632480</v>
      </c>
      <c r="L4" s="466">
        <v>297635</v>
      </c>
      <c r="M4" s="468"/>
      <c r="N4" s="469"/>
    </row>
    <row r="5" spans="1:14" x14ac:dyDescent="0.2">
      <c r="A5" s="463" t="s">
        <v>1048</v>
      </c>
      <c r="B5" s="470">
        <v>120</v>
      </c>
      <c r="C5" s="465"/>
      <c r="D5" s="466"/>
      <c r="E5" s="466"/>
      <c r="F5" s="466"/>
      <c r="G5" s="466">
        <v>1381350</v>
      </c>
      <c r="H5" s="466"/>
      <c r="I5" s="466"/>
      <c r="J5" s="467"/>
      <c r="K5" s="471">
        <v>510914</v>
      </c>
      <c r="L5" s="472">
        <v>538594</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3391420</v>
      </c>
      <c r="D13" s="1759">
        <f t="shared" ref="D13:L13" si="0">SUM(D4:D12)</f>
        <v>493309</v>
      </c>
      <c r="E13" s="1759">
        <f t="shared" si="0"/>
        <v>1123849</v>
      </c>
      <c r="F13" s="1759">
        <f t="shared" si="0"/>
        <v>408180</v>
      </c>
      <c r="G13" s="1759">
        <f t="shared" si="0"/>
        <v>3964287</v>
      </c>
      <c r="H13" s="1759">
        <f t="shared" si="0"/>
        <v>26974603</v>
      </c>
      <c r="I13" s="1759">
        <f t="shared" si="0"/>
        <v>4507122</v>
      </c>
      <c r="J13" s="1759">
        <f t="shared" si="0"/>
        <v>3272602</v>
      </c>
      <c r="K13" s="1759">
        <f t="shared" si="0"/>
        <v>4143394</v>
      </c>
      <c r="L13" s="1759">
        <f t="shared" si="0"/>
        <v>836229</v>
      </c>
      <c r="M13" s="468"/>
      <c r="N13" s="469"/>
    </row>
    <row r="14" spans="1:14" ht="18" customHeight="1" thickTop="1" x14ac:dyDescent="0.2">
      <c r="A14" s="2158" t="s">
        <v>149</v>
      </c>
      <c r="B14" s="215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3237685</v>
      </c>
      <c r="N16" s="484"/>
    </row>
    <row r="17" spans="1:14" s="485" customFormat="1" ht="12.75" customHeight="1" x14ac:dyDescent="0.2">
      <c r="A17" s="482" t="s">
        <v>1469</v>
      </c>
      <c r="B17" s="483">
        <v>230</v>
      </c>
      <c r="C17" s="477"/>
      <c r="D17" s="477"/>
      <c r="E17" s="477"/>
      <c r="F17" s="477"/>
      <c r="G17" s="477"/>
      <c r="H17" s="477"/>
      <c r="I17" s="477"/>
      <c r="J17" s="477"/>
      <c r="K17" s="477"/>
      <c r="L17" s="477"/>
      <c r="M17" s="467">
        <v>81924158</v>
      </c>
      <c r="N17" s="484"/>
    </row>
    <row r="18" spans="1:14" s="485" customFormat="1" ht="12.75" customHeight="1" x14ac:dyDescent="0.2">
      <c r="A18" s="482" t="s">
        <v>1470</v>
      </c>
      <c r="B18" s="483">
        <v>240</v>
      </c>
      <c r="C18" s="477"/>
      <c r="D18" s="477"/>
      <c r="E18" s="477"/>
      <c r="F18" s="477"/>
      <c r="G18" s="477"/>
      <c r="H18" s="477"/>
      <c r="I18" s="477"/>
      <c r="J18" s="477"/>
      <c r="K18" s="477"/>
      <c r="L18" s="477"/>
      <c r="M18" s="467">
        <v>6487151</v>
      </c>
      <c r="N18" s="484"/>
    </row>
    <row r="19" spans="1:14" s="485" customFormat="1" ht="12.75" customHeight="1" x14ac:dyDescent="0.2">
      <c r="A19" s="482" t="s">
        <v>1471</v>
      </c>
      <c r="B19" s="483">
        <v>250</v>
      </c>
      <c r="C19" s="477"/>
      <c r="D19" s="477"/>
      <c r="E19" s="477"/>
      <c r="F19" s="477"/>
      <c r="G19" s="477"/>
      <c r="H19" s="477"/>
      <c r="I19" s="477"/>
      <c r="J19" s="477"/>
      <c r="K19" s="477"/>
      <c r="L19" s="477"/>
      <c r="M19" s="467">
        <v>9005426</v>
      </c>
      <c r="N19" s="484"/>
    </row>
    <row r="20" spans="1:14" s="485" customFormat="1" ht="12.75" customHeight="1" x14ac:dyDescent="0.2">
      <c r="A20" s="482" t="s">
        <v>1472</v>
      </c>
      <c r="B20" s="483">
        <v>260</v>
      </c>
      <c r="C20" s="477"/>
      <c r="D20" s="477"/>
      <c r="E20" s="477"/>
      <c r="F20" s="477"/>
      <c r="G20" s="477"/>
      <c r="H20" s="477"/>
      <c r="I20" s="477"/>
      <c r="J20" s="477"/>
      <c r="K20" s="477"/>
      <c r="L20" s="477"/>
      <c r="M20" s="467">
        <v>31382607</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1123849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92291043</v>
      </c>
    </row>
    <row r="23" spans="1:14" ht="13.5" customHeight="1" thickBot="1" x14ac:dyDescent="0.25">
      <c r="A23" s="1758" t="s">
        <v>663</v>
      </c>
      <c r="B23" s="1763"/>
      <c r="C23" s="468"/>
      <c r="D23" s="468"/>
      <c r="E23" s="468"/>
      <c r="F23" s="468"/>
      <c r="G23" s="468"/>
      <c r="H23" s="468"/>
      <c r="I23" s="468"/>
      <c r="J23" s="468"/>
      <c r="K23" s="468"/>
      <c r="L23" s="468"/>
      <c r="M23" s="1710">
        <f>SUM(M15:M22)</f>
        <v>132037027</v>
      </c>
      <c r="N23" s="1710">
        <f>SUM(N21:N22)</f>
        <v>93414892</v>
      </c>
    </row>
    <row r="24" spans="1:14" ht="18" customHeight="1" thickTop="1" x14ac:dyDescent="0.2">
      <c r="A24" s="2160" t="s">
        <v>618</v>
      </c>
      <c r="B24" s="216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v>6</v>
      </c>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741300</v>
      </c>
      <c r="M33" s="468"/>
      <c r="N33" s="469"/>
    </row>
    <row r="34" spans="1:14" ht="13.5" customHeight="1" thickBot="1" x14ac:dyDescent="0.25">
      <c r="A34" s="1760" t="s">
        <v>674</v>
      </c>
      <c r="B34" s="1761"/>
      <c r="C34" s="1762">
        <f>SUM(C25:C33)</f>
        <v>0</v>
      </c>
      <c r="D34" s="1762">
        <f t="shared" ref="D34:K34" si="1">SUM(D25:D33)</f>
        <v>0</v>
      </c>
      <c r="E34" s="1762">
        <f t="shared" si="1"/>
        <v>0</v>
      </c>
      <c r="F34" s="1762">
        <f t="shared" si="1"/>
        <v>6</v>
      </c>
      <c r="G34" s="1762">
        <f t="shared" si="1"/>
        <v>0</v>
      </c>
      <c r="H34" s="1762">
        <f t="shared" si="1"/>
        <v>0</v>
      </c>
      <c r="I34" s="1762">
        <f t="shared" si="1"/>
        <v>0</v>
      </c>
      <c r="J34" s="1762">
        <f t="shared" si="1"/>
        <v>0</v>
      </c>
      <c r="K34" s="1762">
        <f t="shared" si="1"/>
        <v>0</v>
      </c>
      <c r="L34" s="1743">
        <f>SUM(L33)</f>
        <v>741300</v>
      </c>
      <c r="M34" s="468"/>
      <c r="N34" s="480"/>
    </row>
    <row r="35" spans="1:14" ht="18" customHeight="1" thickTop="1" x14ac:dyDescent="0.2">
      <c r="A35" s="2162" t="s">
        <v>549</v>
      </c>
      <c r="B35" s="216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93414892</v>
      </c>
    </row>
    <row r="37" spans="1:14" ht="13.5" thickBot="1" x14ac:dyDescent="0.25">
      <c r="A37" s="1758" t="s">
        <v>673</v>
      </c>
      <c r="B37" s="1763"/>
      <c r="C37" s="477"/>
      <c r="D37" s="477"/>
      <c r="E37" s="477"/>
      <c r="F37" s="477"/>
      <c r="G37" s="477"/>
      <c r="H37" s="477"/>
      <c r="I37" s="477"/>
      <c r="J37" s="477"/>
      <c r="K37" s="477"/>
      <c r="L37" s="480"/>
      <c r="M37" s="468"/>
      <c r="N37" s="1710">
        <f>SUM(N36:N36)</f>
        <v>93414892</v>
      </c>
    </row>
    <row r="38" spans="1:14" s="329" customFormat="1" ht="13.5" customHeight="1" thickTop="1" x14ac:dyDescent="0.2">
      <c r="A38" s="496" t="s">
        <v>439</v>
      </c>
      <c r="B38" s="483">
        <v>714</v>
      </c>
      <c r="C38" s="466">
        <v>133205</v>
      </c>
      <c r="D38" s="466"/>
      <c r="E38" s="466"/>
      <c r="F38" s="466"/>
      <c r="G38" s="466">
        <v>747241</v>
      </c>
      <c r="H38" s="466"/>
      <c r="I38" s="466"/>
      <c r="J38" s="467"/>
      <c r="K38" s="466"/>
      <c r="L38" s="481">
        <v>94929</v>
      </c>
      <c r="M38" s="497"/>
      <c r="N38" s="497"/>
    </row>
    <row r="39" spans="1:14" s="329" customFormat="1" ht="13.5" customHeight="1" x14ac:dyDescent="0.2">
      <c r="A39" s="496" t="s">
        <v>359</v>
      </c>
      <c r="B39" s="483">
        <v>730</v>
      </c>
      <c r="C39" s="466">
        <v>3258215</v>
      </c>
      <c r="D39" s="466">
        <v>493309</v>
      </c>
      <c r="E39" s="466">
        <v>1123849</v>
      </c>
      <c r="F39" s="466">
        <v>408174</v>
      </c>
      <c r="G39" s="466">
        <v>3217046</v>
      </c>
      <c r="H39" s="466">
        <v>26974603</v>
      </c>
      <c r="I39" s="466">
        <v>4507122</v>
      </c>
      <c r="J39" s="467">
        <v>3272602</v>
      </c>
      <c r="K39" s="466">
        <v>4143394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132037027</v>
      </c>
      <c r="N40" s="497"/>
    </row>
    <row r="41" spans="1:14" ht="13.5" customHeight="1" thickBot="1" x14ac:dyDescent="0.25">
      <c r="A41" s="1758" t="s">
        <v>675</v>
      </c>
      <c r="B41" s="1728"/>
      <c r="C41" s="1710">
        <f>(SUM(C34,C37,C38,C39))</f>
        <v>3391420</v>
      </c>
      <c r="D41" s="1710">
        <f t="shared" ref="D41:L41" si="2">SUM(D34,D37,D38:D39)</f>
        <v>493309</v>
      </c>
      <c r="E41" s="1710">
        <f t="shared" si="2"/>
        <v>1123849</v>
      </c>
      <c r="F41" s="1710">
        <f t="shared" si="2"/>
        <v>408180</v>
      </c>
      <c r="G41" s="1710">
        <f t="shared" si="2"/>
        <v>3964287</v>
      </c>
      <c r="H41" s="1710">
        <f t="shared" si="2"/>
        <v>26974603</v>
      </c>
      <c r="I41" s="1710">
        <f t="shared" si="2"/>
        <v>4507122</v>
      </c>
      <c r="J41" s="1710">
        <f t="shared" si="2"/>
        <v>3272602</v>
      </c>
      <c r="K41" s="1710">
        <f t="shared" si="2"/>
        <v>4143394</v>
      </c>
      <c r="L41" s="1710">
        <f t="shared" si="2"/>
        <v>836229</v>
      </c>
      <c r="M41" s="1710">
        <f>SUM(M40)</f>
        <v>132037027</v>
      </c>
      <c r="N41" s="1710">
        <f>SUM(N37)</f>
        <v>93414892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 activePane="bottomLeft" state="frozenSplit"/>
      <selection activeCell="A22" sqref="A22"/>
      <selection pane="bottomLeft" activeCell="A22" sqref="A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4" t="s">
        <v>1236</v>
      </c>
      <c r="B3" s="2185"/>
      <c r="C3" s="1595"/>
      <c r="D3" s="1596"/>
      <c r="E3" s="1596"/>
      <c r="F3" s="1596"/>
      <c r="G3" s="1596"/>
      <c r="H3" s="1596"/>
      <c r="I3" s="1596"/>
      <c r="J3" s="1596"/>
      <c r="K3" s="1597"/>
      <c r="L3" s="506"/>
    </row>
    <row r="4" spans="1:13" ht="15.75" customHeight="1" x14ac:dyDescent="0.2">
      <c r="A4" s="1954" t="s">
        <v>1578</v>
      </c>
      <c r="B4" s="1955">
        <v>1000</v>
      </c>
      <c r="C4" s="1764">
        <f>'Revenues 9-14'!C109</f>
        <v>23796945</v>
      </c>
      <c r="D4" s="1764">
        <f>'Revenues 9-14'!D109</f>
        <v>5503409</v>
      </c>
      <c r="E4" s="1764">
        <f>'Revenues 9-14'!E109</f>
        <v>5598745</v>
      </c>
      <c r="F4" s="1764">
        <f>'Revenues 9-14'!F109</f>
        <v>2057500</v>
      </c>
      <c r="G4" s="1764">
        <f>'Revenues 9-14'!G109</f>
        <v>3540351</v>
      </c>
      <c r="H4" s="1764">
        <f>'Revenues 9-14'!H109</f>
        <v>175409</v>
      </c>
      <c r="I4" s="1764">
        <f>'Revenues 9-14'!I109</f>
        <v>471937</v>
      </c>
      <c r="J4" s="1764">
        <f>'Revenues 9-14'!J109</f>
        <v>2156080</v>
      </c>
      <c r="K4" s="1764">
        <f>'Revenues 9-14'!K109</f>
        <v>452383</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19539404</v>
      </c>
      <c r="D6" s="1765">
        <f>'Revenues 9-14'!D173</f>
        <v>100000</v>
      </c>
      <c r="E6" s="1765">
        <f>'Revenues 9-14'!E173</f>
        <v>0</v>
      </c>
      <c r="F6" s="1765">
        <f>'Revenues 9-14'!F173</f>
        <v>2178171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8971446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52307795</v>
      </c>
      <c r="D8" s="1710">
        <f t="shared" ref="D8:K8" si="0">SUM(D4:D7)</f>
        <v>5603409</v>
      </c>
      <c r="E8" s="1710">
        <f t="shared" si="0"/>
        <v>5598745</v>
      </c>
      <c r="F8" s="1710">
        <f t="shared" si="0"/>
        <v>4235671</v>
      </c>
      <c r="G8" s="1710">
        <f t="shared" si="0"/>
        <v>3540351</v>
      </c>
      <c r="H8" s="1710">
        <f t="shared" si="0"/>
        <v>175409</v>
      </c>
      <c r="I8" s="1710">
        <f t="shared" si="0"/>
        <v>471937</v>
      </c>
      <c r="J8" s="1710">
        <f t="shared" si="0"/>
        <v>2156080</v>
      </c>
      <c r="K8" s="1710">
        <f t="shared" si="0"/>
        <v>452383</v>
      </c>
      <c r="L8" s="347"/>
    </row>
    <row r="9" spans="1:13" ht="15.75" thickTop="1" x14ac:dyDescent="0.2">
      <c r="A9" s="514" t="s">
        <v>1751</v>
      </c>
      <c r="B9" s="515">
        <v>3998</v>
      </c>
      <c r="C9" s="481">
        <v>19032643</v>
      </c>
      <c r="D9" s="516"/>
      <c r="E9" s="481"/>
      <c r="F9" s="481"/>
      <c r="G9" s="517"/>
      <c r="H9" s="481"/>
      <c r="I9" s="509" t="s">
        <v>1230</v>
      </c>
      <c r="J9" s="478"/>
      <c r="K9" s="481"/>
      <c r="L9" s="347"/>
    </row>
    <row r="10" spans="1:13" s="519" customFormat="1" ht="13.5" thickBot="1" x14ac:dyDescent="0.25">
      <c r="A10" s="1758" t="s">
        <v>1234</v>
      </c>
      <c r="B10" s="1731"/>
      <c r="C10" s="1710">
        <f>SUM(C8:C9)</f>
        <v>71340438</v>
      </c>
      <c r="D10" s="1710">
        <f t="shared" ref="D10:K10" si="1">SUM(D8:D9)</f>
        <v>5603409</v>
      </c>
      <c r="E10" s="1710">
        <f t="shared" si="1"/>
        <v>5598745</v>
      </c>
      <c r="F10" s="1710">
        <f t="shared" si="1"/>
        <v>4235671</v>
      </c>
      <c r="G10" s="1710">
        <f t="shared" si="1"/>
        <v>3540351</v>
      </c>
      <c r="H10" s="1710">
        <f t="shared" si="1"/>
        <v>175409</v>
      </c>
      <c r="I10" s="1710">
        <f t="shared" si="1"/>
        <v>471937</v>
      </c>
      <c r="J10" s="1710">
        <f t="shared" si="1"/>
        <v>2156080</v>
      </c>
      <c r="K10" s="1710">
        <f t="shared" si="1"/>
        <v>452383</v>
      </c>
      <c r="L10" s="518"/>
    </row>
    <row r="11" spans="1:13" s="519" customFormat="1" ht="16.7" customHeight="1" thickTop="1" x14ac:dyDescent="0.2">
      <c r="A11" s="2158" t="s">
        <v>1237</v>
      </c>
      <c r="B11" s="2159"/>
      <c r="C11" s="1592"/>
      <c r="D11" s="1593"/>
      <c r="E11" s="1593"/>
      <c r="F11" s="1593"/>
      <c r="G11" s="1593"/>
      <c r="H11" s="1593"/>
      <c r="I11" s="1593"/>
      <c r="J11" s="1593"/>
      <c r="K11" s="1594"/>
      <c r="L11" s="518"/>
    </row>
    <row r="12" spans="1:13" ht="15.75" customHeight="1" x14ac:dyDescent="0.2">
      <c r="A12" s="1598" t="s">
        <v>475</v>
      </c>
      <c r="B12" s="1600">
        <v>1000</v>
      </c>
      <c r="C12" s="1764">
        <f>'Expenditures 15-22'!K33</f>
        <v>36167012</v>
      </c>
      <c r="D12" s="520" t="s">
        <v>1230</v>
      </c>
      <c r="E12" s="468" t="s">
        <v>1230</v>
      </c>
      <c r="F12" s="468" t="s">
        <v>1230</v>
      </c>
      <c r="G12" s="1764">
        <f>'Expenditures 15-22'!K229</f>
        <v>1217846</v>
      </c>
      <c r="H12" s="521"/>
      <c r="I12" s="468" t="s">
        <v>1230</v>
      </c>
      <c r="J12" s="468" t="s">
        <v>1230</v>
      </c>
      <c r="K12" s="521" t="s">
        <v>1230</v>
      </c>
      <c r="L12" s="347"/>
    </row>
    <row r="13" spans="1:13" ht="15.75" customHeight="1" x14ac:dyDescent="0.2">
      <c r="A13" s="1598" t="s">
        <v>476</v>
      </c>
      <c r="B13" s="1600">
        <v>2000</v>
      </c>
      <c r="C13" s="1765">
        <f>'Expenditures 15-22'!K74</f>
        <v>12916440</v>
      </c>
      <c r="D13" s="1765">
        <f>'Expenditures 15-22'!K129</f>
        <v>5071590</v>
      </c>
      <c r="E13" s="469" t="s">
        <v>1230</v>
      </c>
      <c r="F13" s="1765">
        <f>'Expenditures 15-22'!K184</f>
        <v>3653046</v>
      </c>
      <c r="G13" s="1765">
        <f>'Expenditures 15-22'!K279</f>
        <v>1937329</v>
      </c>
      <c r="H13" s="1765">
        <f>'Expenditures 15-22'!K303</f>
        <v>27463953</v>
      </c>
      <c r="I13" s="468" t="s">
        <v>1230</v>
      </c>
      <c r="J13" s="1765">
        <f>'Expenditures 15-22'!K330</f>
        <v>2390941</v>
      </c>
      <c r="K13" s="1769">
        <f>'Expenditures 15-22'!K352</f>
        <v>879482</v>
      </c>
      <c r="L13" s="347"/>
    </row>
    <row r="14" spans="1:13" ht="15.75" customHeight="1" x14ac:dyDescent="0.2">
      <c r="A14" s="1598" t="s">
        <v>468</v>
      </c>
      <c r="B14" s="1600">
        <v>3000</v>
      </c>
      <c r="C14" s="1765">
        <f>'Expenditures 15-22'!K75</f>
        <v>210669</v>
      </c>
      <c r="D14" s="1765">
        <f>'Expenditures 15-22'!K130</f>
        <v>0</v>
      </c>
      <c r="E14" s="520" t="s">
        <v>1230</v>
      </c>
      <c r="F14" s="1765">
        <f>'Expenditures 15-22'!K185</f>
        <v>0</v>
      </c>
      <c r="G14" s="1765">
        <f>'Expenditures 15-22'!K280</f>
        <v>14319</v>
      </c>
      <c r="H14" s="512"/>
      <c r="I14" s="468" t="s">
        <v>1230</v>
      </c>
      <c r="J14" s="468" t="s">
        <v>1230</v>
      </c>
      <c r="K14" s="512" t="s">
        <v>1230</v>
      </c>
      <c r="L14" s="347"/>
    </row>
    <row r="15" spans="1:13" ht="15.75" customHeight="1" x14ac:dyDescent="0.2">
      <c r="A15" s="1598" t="s">
        <v>109</v>
      </c>
      <c r="B15" s="1600">
        <v>4000</v>
      </c>
      <c r="C15" s="1765">
        <f>'Expenditures 15-22'!K102</f>
        <v>539866</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6387503</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49833987</v>
      </c>
      <c r="D17" s="1710">
        <f t="shared" si="2"/>
        <v>5071590</v>
      </c>
      <c r="E17" s="1710">
        <f t="shared" si="2"/>
        <v>6387503</v>
      </c>
      <c r="F17" s="1710">
        <f t="shared" si="2"/>
        <v>3653046</v>
      </c>
      <c r="G17" s="1710">
        <f t="shared" si="2"/>
        <v>3169494</v>
      </c>
      <c r="H17" s="1710">
        <f t="shared" si="2"/>
        <v>27463953</v>
      </c>
      <c r="I17" s="468"/>
      <c r="J17" s="1710">
        <f>SUM(J12:J16)</f>
        <v>2390941</v>
      </c>
      <c r="K17" s="1710">
        <f>SUM(K12:K16)</f>
        <v>879482</v>
      </c>
      <c r="L17" s="347"/>
    </row>
    <row r="18" spans="1:12" ht="15" customHeight="1" thickTop="1" x14ac:dyDescent="0.2">
      <c r="A18" s="1766" t="s">
        <v>1752</v>
      </c>
      <c r="B18" s="1767">
        <v>4180</v>
      </c>
      <c r="C18" s="1764">
        <f t="shared" ref="C18:H18" si="3">C9</f>
        <v>19032643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68866630</v>
      </c>
      <c r="D19" s="1710">
        <f t="shared" si="4"/>
        <v>5071590</v>
      </c>
      <c r="E19" s="1710">
        <f t="shared" si="4"/>
        <v>6387503</v>
      </c>
      <c r="F19" s="1710">
        <f t="shared" si="4"/>
        <v>3653046</v>
      </c>
      <c r="G19" s="1710">
        <f t="shared" si="4"/>
        <v>3169494</v>
      </c>
      <c r="H19" s="1710">
        <f t="shared" si="4"/>
        <v>27463953</v>
      </c>
      <c r="I19" s="468"/>
      <c r="J19" s="1710">
        <f>SUM(J17:J18)</f>
        <v>2390941</v>
      </c>
      <c r="K19" s="1710">
        <f>SUM(K17:K18)</f>
        <v>879482</v>
      </c>
      <c r="L19" s="347"/>
    </row>
    <row r="20" spans="1:12" ht="16.5" thickTop="1" thickBot="1" x14ac:dyDescent="0.25">
      <c r="A20" s="2174" t="s">
        <v>1753</v>
      </c>
      <c r="B20" s="2175"/>
      <c r="C20" s="1768">
        <f>C8-C17</f>
        <v>2473808</v>
      </c>
      <c r="D20" s="1768">
        <f t="shared" ref="D20:K20" si="5">D8-D17</f>
        <v>531819</v>
      </c>
      <c r="E20" s="1768">
        <f t="shared" si="5"/>
        <v>-788758</v>
      </c>
      <c r="F20" s="1768">
        <f t="shared" si="5"/>
        <v>582625</v>
      </c>
      <c r="G20" s="1768">
        <f t="shared" si="5"/>
        <v>370857</v>
      </c>
      <c r="H20" s="1768">
        <f t="shared" si="5"/>
        <v>-27288544</v>
      </c>
      <c r="I20" s="1768">
        <f t="shared" si="5"/>
        <v>471937</v>
      </c>
      <c r="J20" s="1768">
        <f t="shared" si="5"/>
        <v>-234861</v>
      </c>
      <c r="K20" s="1768">
        <f t="shared" si="5"/>
        <v>-427099</v>
      </c>
      <c r="L20" s="347"/>
    </row>
    <row r="21" spans="1:12" ht="16.7" customHeight="1" thickTop="1" x14ac:dyDescent="0.2">
      <c r="A21" s="2186" t="s">
        <v>615</v>
      </c>
      <c r="B21" s="2187"/>
      <c r="C21" s="1592"/>
      <c r="D21" s="1593"/>
      <c r="E21" s="1593"/>
      <c r="F21" s="1593"/>
      <c r="G21" s="1593"/>
      <c r="H21" s="1593"/>
      <c r="I21" s="1593"/>
      <c r="J21" s="1593"/>
      <c r="K21" s="1594"/>
      <c r="L21" s="524"/>
    </row>
    <row r="22" spans="1:12" ht="15.75" customHeight="1" collapsed="1" x14ac:dyDescent="0.2">
      <c r="A22" s="2182" t="s">
        <v>616</v>
      </c>
      <c r="B22" s="2183"/>
      <c r="C22" s="477"/>
      <c r="D22" s="477"/>
      <c r="E22" s="477"/>
      <c r="F22" s="477"/>
      <c r="G22" s="477"/>
      <c r="H22" s="477"/>
      <c r="I22" s="477"/>
      <c r="J22" s="477"/>
      <c r="K22" s="477"/>
      <c r="L22" s="347"/>
    </row>
    <row r="23" spans="1:12" s="485" customFormat="1" ht="15.75" customHeight="1" x14ac:dyDescent="0.2">
      <c r="A23" s="2178" t="s">
        <v>310</v>
      </c>
      <c r="B23" s="217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439261</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80" t="s">
        <v>1037</v>
      </c>
      <c r="B32" s="2181"/>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v>18185000</v>
      </c>
      <c r="I33" s="467"/>
      <c r="J33" s="467"/>
      <c r="K33" s="467">
        <v>3325000</v>
      </c>
      <c r="L33" s="524"/>
    </row>
    <row r="34" spans="1:12" s="485" customFormat="1" x14ac:dyDescent="0.2">
      <c r="A34" s="1511" t="s">
        <v>1057</v>
      </c>
      <c r="B34" s="525">
        <v>7220</v>
      </c>
      <c r="C34" s="467"/>
      <c r="D34" s="467"/>
      <c r="E34" s="467">
        <v>924778</v>
      </c>
      <c r="F34" s="467"/>
      <c r="G34" s="477"/>
      <c r="H34" s="478">
        <v>69666</v>
      </c>
      <c r="I34" s="478"/>
      <c r="J34" s="478"/>
      <c r="K34" s="478">
        <v>417</v>
      </c>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88" t="s">
        <v>391</v>
      </c>
      <c r="B44" s="2189"/>
      <c r="C44" s="1725">
        <f>SUM(C24:C43)</f>
        <v>439261</v>
      </c>
      <c r="D44" s="1725">
        <f t="shared" ref="D44:K44" si="6">SUM(D24:D43)</f>
        <v>0</v>
      </c>
      <c r="E44" s="1725">
        <f t="shared" si="6"/>
        <v>924778</v>
      </c>
      <c r="F44" s="1725">
        <f t="shared" si="6"/>
        <v>0</v>
      </c>
      <c r="G44" s="1725">
        <f t="shared" si="6"/>
        <v>0</v>
      </c>
      <c r="H44" s="1725">
        <f t="shared" si="6"/>
        <v>18254666</v>
      </c>
      <c r="I44" s="1725">
        <f t="shared" si="6"/>
        <v>0</v>
      </c>
      <c r="J44" s="1725">
        <f t="shared" si="6"/>
        <v>0</v>
      </c>
      <c r="K44" s="1725">
        <f t="shared" si="6"/>
        <v>3325417</v>
      </c>
      <c r="L44" s="524"/>
    </row>
    <row r="45" spans="1:12" ht="15.75" customHeight="1" thickTop="1" x14ac:dyDescent="0.2">
      <c r="A45" s="2182" t="s">
        <v>110</v>
      </c>
      <c r="B45" s="2183"/>
      <c r="C45" s="528"/>
      <c r="D45" s="528"/>
      <c r="E45" s="528"/>
      <c r="F45" s="528"/>
      <c r="G45" s="528"/>
      <c r="H45" s="528"/>
      <c r="I45" s="528"/>
      <c r="J45" s="528"/>
      <c r="K45" s="528"/>
      <c r="L45" s="347"/>
    </row>
    <row r="46" spans="1:12" s="485" customFormat="1" ht="15.75" customHeight="1" x14ac:dyDescent="0.2">
      <c r="A46" s="2190" t="s">
        <v>111</v>
      </c>
      <c r="B46" s="219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439261</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64" t="s">
        <v>459</v>
      </c>
      <c r="B76" s="2165"/>
      <c r="C76" s="1725">
        <f t="shared" ref="C76:K76" si="7">SUM(C47:C75)</f>
        <v>0</v>
      </c>
      <c r="D76" s="1725">
        <f t="shared" si="7"/>
        <v>0</v>
      </c>
      <c r="E76" s="1725">
        <f t="shared" si="7"/>
        <v>0</v>
      </c>
      <c r="F76" s="1725">
        <f t="shared" si="7"/>
        <v>0</v>
      </c>
      <c r="G76" s="1725">
        <f t="shared" si="7"/>
        <v>0</v>
      </c>
      <c r="H76" s="1725">
        <f t="shared" si="7"/>
        <v>0</v>
      </c>
      <c r="I76" s="1725">
        <f t="shared" si="7"/>
        <v>439261</v>
      </c>
      <c r="J76" s="1725">
        <f t="shared" si="7"/>
        <v>0</v>
      </c>
      <c r="K76" s="1725">
        <f t="shared" si="7"/>
        <v>0</v>
      </c>
      <c r="L76" s="524"/>
    </row>
    <row r="77" spans="1:12" ht="14.25" thickTop="1" thickBot="1" x14ac:dyDescent="0.25">
      <c r="A77" s="2166" t="s">
        <v>1238</v>
      </c>
      <c r="B77" s="2167"/>
      <c r="C77" s="1725">
        <f t="shared" ref="C77:K77" si="8">C44-C76</f>
        <v>439261</v>
      </c>
      <c r="D77" s="1725">
        <f t="shared" si="8"/>
        <v>0</v>
      </c>
      <c r="E77" s="1725">
        <f t="shared" si="8"/>
        <v>924778</v>
      </c>
      <c r="F77" s="1725">
        <f t="shared" si="8"/>
        <v>0</v>
      </c>
      <c r="G77" s="1725">
        <f t="shared" si="8"/>
        <v>0</v>
      </c>
      <c r="H77" s="1725">
        <f t="shared" si="8"/>
        <v>18254666</v>
      </c>
      <c r="I77" s="1725">
        <f t="shared" si="8"/>
        <v>-439261</v>
      </c>
      <c r="J77" s="1725">
        <f t="shared" si="8"/>
        <v>0</v>
      </c>
      <c r="K77" s="1725">
        <f t="shared" si="8"/>
        <v>3325417</v>
      </c>
      <c r="L77" s="347"/>
    </row>
    <row r="78" spans="1:12" ht="21.75" customHeight="1" thickTop="1" thickBot="1" x14ac:dyDescent="0.25">
      <c r="A78" s="2170" t="s">
        <v>617</v>
      </c>
      <c r="B78" s="2171"/>
      <c r="C78" s="1724">
        <f t="shared" ref="C78:K78" si="9">C20+C77</f>
        <v>2913069</v>
      </c>
      <c r="D78" s="1724">
        <f t="shared" si="9"/>
        <v>531819</v>
      </c>
      <c r="E78" s="1724">
        <f t="shared" si="9"/>
        <v>136020</v>
      </c>
      <c r="F78" s="1724">
        <f t="shared" si="9"/>
        <v>582625</v>
      </c>
      <c r="G78" s="1724">
        <f t="shared" si="9"/>
        <v>370857</v>
      </c>
      <c r="H78" s="1724">
        <f t="shared" si="9"/>
        <v>-9033878</v>
      </c>
      <c r="I78" s="1724">
        <f t="shared" si="9"/>
        <v>32676</v>
      </c>
      <c r="J78" s="1724">
        <f t="shared" si="9"/>
        <v>-234861</v>
      </c>
      <c r="K78" s="1724">
        <f t="shared" si="9"/>
        <v>2898318</v>
      </c>
      <c r="L78" s="533"/>
    </row>
    <row r="79" spans="1:12" ht="13.5" thickTop="1" x14ac:dyDescent="0.2">
      <c r="A79" s="1516" t="s">
        <v>2069</v>
      </c>
      <c r="B79" s="534"/>
      <c r="C79" s="478">
        <v>478351</v>
      </c>
      <c r="D79" s="535">
        <v>-38510</v>
      </c>
      <c r="E79" s="535">
        <v>987829</v>
      </c>
      <c r="F79" s="535">
        <v>-174451</v>
      </c>
      <c r="G79" s="535">
        <v>3593430</v>
      </c>
      <c r="H79" s="535">
        <v>36008481</v>
      </c>
      <c r="I79" s="535">
        <v>4474446</v>
      </c>
      <c r="J79" s="535">
        <v>3507463</v>
      </c>
      <c r="K79" s="535">
        <v>1245076</v>
      </c>
      <c r="L79" s="347"/>
    </row>
    <row r="80" spans="1:12" x14ac:dyDescent="0.2">
      <c r="A80" s="2176" t="s">
        <v>1894</v>
      </c>
      <c r="B80" s="2177"/>
      <c r="C80" s="467"/>
      <c r="D80" s="467"/>
      <c r="E80" s="467"/>
      <c r="F80" s="467"/>
      <c r="G80" s="467"/>
      <c r="H80" s="467"/>
      <c r="I80" s="467"/>
      <c r="J80" s="467"/>
      <c r="K80" s="467"/>
      <c r="L80" s="347"/>
    </row>
    <row r="81" spans="1:12" ht="13.5" thickBot="1" x14ac:dyDescent="0.25">
      <c r="A81" s="2168" t="s">
        <v>2070</v>
      </c>
      <c r="B81" s="2169"/>
      <c r="C81" s="1710">
        <f>(SUM(C78:C80))</f>
        <v>3391420</v>
      </c>
      <c r="D81" s="1710">
        <f>SUM(D78:D80)</f>
        <v>493309</v>
      </c>
      <c r="E81" s="1710">
        <f t="shared" ref="E81:K81" si="10">SUM(E78:E80)</f>
        <v>1123849</v>
      </c>
      <c r="F81" s="1710">
        <f t="shared" si="10"/>
        <v>408174</v>
      </c>
      <c r="G81" s="1710">
        <f t="shared" si="10"/>
        <v>3964287</v>
      </c>
      <c r="H81" s="1710">
        <f t="shared" si="10"/>
        <v>26974603</v>
      </c>
      <c r="I81" s="1710">
        <f t="shared" si="10"/>
        <v>4507122</v>
      </c>
      <c r="J81" s="1710">
        <f t="shared" si="10"/>
        <v>3272602</v>
      </c>
      <c r="K81" s="1710">
        <f t="shared" si="10"/>
        <v>4143394</v>
      </c>
      <c r="L81" s="347"/>
    </row>
    <row r="82" spans="1:12" ht="0.75" customHeight="1" thickTop="1" thickBot="1" x14ac:dyDescent="0.25">
      <c r="A82" s="536" t="s">
        <v>360</v>
      </c>
      <c r="B82" s="537"/>
      <c r="C82" s="538">
        <f>(C81-C79)</f>
        <v>2913069</v>
      </c>
      <c r="D82" s="538">
        <f t="shared" ref="D82:K82" si="11">(D81-D79)</f>
        <v>531819</v>
      </c>
      <c r="E82" s="538">
        <f t="shared" si="11"/>
        <v>136020</v>
      </c>
      <c r="F82" s="538">
        <f t="shared" si="11"/>
        <v>582625</v>
      </c>
      <c r="G82" s="538">
        <f t="shared" si="11"/>
        <v>370857</v>
      </c>
      <c r="H82" s="538">
        <f t="shared" si="11"/>
        <v>-9033878</v>
      </c>
      <c r="I82" s="538">
        <f t="shared" si="11"/>
        <v>32676</v>
      </c>
      <c r="J82" s="538">
        <f t="shared" si="11"/>
        <v>-234861</v>
      </c>
      <c r="K82" s="538">
        <f t="shared" si="11"/>
        <v>2898318</v>
      </c>
    </row>
    <row r="83" spans="1:12" ht="14.25" hidden="1" thickTop="1" thickBot="1" x14ac:dyDescent="0.25">
      <c r="A83" s="539" t="s">
        <v>361</v>
      </c>
      <c r="B83" s="464"/>
      <c r="C83" s="540">
        <f>C82/C81</f>
        <v>0.85895259212955044</v>
      </c>
      <c r="D83" s="540">
        <f t="shared" ref="D83:K83" si="12">D82/D81</f>
        <v>1.0780646612974829</v>
      </c>
      <c r="E83" s="540">
        <f t="shared" si="12"/>
        <v>0.12103049431017868</v>
      </c>
      <c r="F83" s="540">
        <f t="shared" si="12"/>
        <v>1.427393709545439</v>
      </c>
      <c r="G83" s="540">
        <f t="shared" si="12"/>
        <v>9.3549483173140588E-2</v>
      </c>
      <c r="H83" s="540">
        <f t="shared" si="12"/>
        <v>-0.33490309384720141</v>
      </c>
      <c r="I83" s="540">
        <f t="shared" si="12"/>
        <v>7.2498592228033764E-3</v>
      </c>
      <c r="J83" s="540">
        <f t="shared" si="12"/>
        <v>-7.1765830369840272E-2</v>
      </c>
      <c r="K83" s="540">
        <f t="shared" si="12"/>
        <v>0.69950335401364194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22" sqref="A2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2" t="s">
        <v>1901</v>
      </c>
      <c r="B1" s="452"/>
      <c r="C1" s="453" t="s">
        <v>444</v>
      </c>
      <c r="D1" s="453" t="s">
        <v>445</v>
      </c>
      <c r="E1" s="453" t="s">
        <v>446</v>
      </c>
      <c r="F1" s="453" t="s">
        <v>447</v>
      </c>
      <c r="G1" s="453" t="s">
        <v>448</v>
      </c>
      <c r="H1" s="453" t="s">
        <v>449</v>
      </c>
      <c r="I1" s="453" t="s">
        <v>450</v>
      </c>
      <c r="J1" s="453" t="s">
        <v>451</v>
      </c>
      <c r="K1" s="453" t="s">
        <v>779</v>
      </c>
    </row>
    <row r="2" spans="1:12" ht="36" x14ac:dyDescent="0.2">
      <c r="A2" s="217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16164836</v>
      </c>
      <c r="D5" s="481">
        <v>4392609</v>
      </c>
      <c r="E5" s="466">
        <v>5575076</v>
      </c>
      <c r="F5" s="548">
        <v>1757044</v>
      </c>
      <c r="G5" s="466">
        <v>1417481</v>
      </c>
      <c r="H5" s="466"/>
      <c r="I5" s="466">
        <v>439261</v>
      </c>
      <c r="J5" s="467">
        <v>2125156</v>
      </c>
      <c r="K5" s="466">
        <v>439261</v>
      </c>
    </row>
    <row r="6" spans="1:12" ht="15" x14ac:dyDescent="0.2">
      <c r="A6" s="463" t="s">
        <v>1760</v>
      </c>
      <c r="B6" s="470">
        <v>1130</v>
      </c>
      <c r="C6" s="466">
        <v>263557</v>
      </c>
      <c r="D6" s="466">
        <v>175704</v>
      </c>
      <c r="E6" s="475"/>
      <c r="F6" s="475"/>
      <c r="G6" s="468"/>
      <c r="H6" s="468"/>
      <c r="I6" s="468"/>
      <c r="J6" s="468"/>
      <c r="K6" s="468"/>
    </row>
    <row r="7" spans="1:12" x14ac:dyDescent="0.2">
      <c r="A7" s="463" t="s">
        <v>112</v>
      </c>
      <c r="B7" s="549">
        <v>1140</v>
      </c>
      <c r="C7" s="466">
        <v>351409</v>
      </c>
      <c r="D7" s="466"/>
      <c r="E7" s="468"/>
      <c r="F7" s="467"/>
      <c r="G7" s="467"/>
      <c r="H7" s="467"/>
      <c r="I7" s="468"/>
      <c r="J7" s="468"/>
      <c r="K7" s="468"/>
    </row>
    <row r="8" spans="1:12" x14ac:dyDescent="0.2">
      <c r="A8" s="463" t="s">
        <v>432</v>
      </c>
      <c r="B8" s="470">
        <v>1150</v>
      </c>
      <c r="C8" s="475"/>
      <c r="D8" s="475"/>
      <c r="E8" s="477"/>
      <c r="F8" s="477"/>
      <c r="G8" s="481">
        <v>1849893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16779802</v>
      </c>
      <c r="D12" s="1729">
        <f t="shared" si="0"/>
        <v>4568313</v>
      </c>
      <c r="E12" s="1729">
        <f t="shared" si="0"/>
        <v>5575076</v>
      </c>
      <c r="F12" s="1729">
        <f t="shared" si="0"/>
        <v>1757044</v>
      </c>
      <c r="G12" s="1729">
        <f t="shared" si="0"/>
        <v>3267374</v>
      </c>
      <c r="H12" s="1729">
        <f t="shared" si="0"/>
        <v>0</v>
      </c>
      <c r="I12" s="1729">
        <f t="shared" si="0"/>
        <v>439261</v>
      </c>
      <c r="J12" s="1729">
        <f t="shared" si="0"/>
        <v>2125156</v>
      </c>
      <c r="K12" s="1710">
        <f t="shared" si="0"/>
        <v>439261</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20115</v>
      </c>
      <c r="D14" s="466">
        <v>5211</v>
      </c>
      <c r="E14" s="466">
        <v>500</v>
      </c>
      <c r="F14" s="466">
        <v>2084</v>
      </c>
      <c r="G14" s="466">
        <v>3876</v>
      </c>
      <c r="H14" s="466"/>
      <c r="I14" s="466">
        <v>521</v>
      </c>
      <c r="J14" s="467">
        <v>2521</v>
      </c>
      <c r="K14" s="466">
        <v>521</v>
      </c>
    </row>
    <row r="15" spans="1:12" ht="12.75" customHeight="1" x14ac:dyDescent="0.2">
      <c r="A15" s="463" t="s">
        <v>97</v>
      </c>
      <c r="B15" s="470">
        <v>1220</v>
      </c>
      <c r="C15" s="551">
        <v>11498</v>
      </c>
      <c r="D15" s="466">
        <v>3131</v>
      </c>
      <c r="E15" s="466">
        <v>3816</v>
      </c>
      <c r="F15" s="466">
        <v>1204</v>
      </c>
      <c r="G15" s="466">
        <v>2239</v>
      </c>
      <c r="H15" s="466"/>
      <c r="I15" s="466">
        <v>301</v>
      </c>
      <c r="J15" s="467">
        <v>1456</v>
      </c>
      <c r="K15" s="466">
        <v>301</v>
      </c>
    </row>
    <row r="16" spans="1:12" ht="15" customHeight="1" x14ac:dyDescent="0.2">
      <c r="A16" s="463" t="s">
        <v>1761</v>
      </c>
      <c r="B16" s="549">
        <v>1230</v>
      </c>
      <c r="C16" s="551">
        <v>3614727</v>
      </c>
      <c r="D16" s="466">
        <v>677761</v>
      </c>
      <c r="E16" s="466"/>
      <c r="F16" s="466"/>
      <c r="G16" s="466">
        <v>225921</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3646340</v>
      </c>
      <c r="D18" s="1732">
        <f t="shared" ref="D18:K18" si="1">SUM(D14:D17)</f>
        <v>686103</v>
      </c>
      <c r="E18" s="1732">
        <f t="shared" si="1"/>
        <v>4316</v>
      </c>
      <c r="F18" s="1732">
        <f t="shared" si="1"/>
        <v>3288</v>
      </c>
      <c r="G18" s="1732">
        <f t="shared" si="1"/>
        <v>232036</v>
      </c>
      <c r="H18" s="1732">
        <f t="shared" si="1"/>
        <v>0</v>
      </c>
      <c r="I18" s="1732">
        <f t="shared" si="1"/>
        <v>822</v>
      </c>
      <c r="J18" s="1732">
        <f t="shared" si="1"/>
        <v>3977</v>
      </c>
      <c r="K18" s="1733">
        <f t="shared" si="1"/>
        <v>822</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20852</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104942</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v>13590</v>
      </c>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139384</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159187</v>
      </c>
      <c r="G44" s="468"/>
      <c r="H44" s="468"/>
      <c r="I44" s="468"/>
      <c r="J44" s="468"/>
      <c r="K44" s="468"/>
    </row>
    <row r="45" spans="1:11" ht="12.75" customHeight="1" x14ac:dyDescent="0.2">
      <c r="A45" s="463" t="s">
        <v>258</v>
      </c>
      <c r="B45" s="470">
        <v>1415</v>
      </c>
      <c r="C45" s="468"/>
      <c r="D45" s="468"/>
      <c r="E45" s="468"/>
      <c r="F45" s="466">
        <v>95561</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254748</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50722</v>
      </c>
      <c r="D65" s="466">
        <v>14275</v>
      </c>
      <c r="E65" s="466">
        <v>19353</v>
      </c>
      <c r="F65" s="467">
        <v>6258</v>
      </c>
      <c r="G65" s="466">
        <v>40941</v>
      </c>
      <c r="H65" s="466">
        <v>163909</v>
      </c>
      <c r="I65" s="466">
        <v>31854</v>
      </c>
      <c r="J65" s="467">
        <v>26947</v>
      </c>
      <c r="K65" s="466">
        <v>12300</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50722</v>
      </c>
      <c r="D67" s="1710">
        <f t="shared" ref="D67:K67" si="2">SUM(D65:D66)</f>
        <v>14275</v>
      </c>
      <c r="E67" s="1710">
        <f t="shared" si="2"/>
        <v>19353</v>
      </c>
      <c r="F67" s="1710">
        <f t="shared" si="2"/>
        <v>6258</v>
      </c>
      <c r="G67" s="1710">
        <f t="shared" si="2"/>
        <v>40941</v>
      </c>
      <c r="H67" s="1710">
        <f t="shared" si="2"/>
        <v>163909</v>
      </c>
      <c r="I67" s="1710">
        <f t="shared" si="2"/>
        <v>31854</v>
      </c>
      <c r="J67" s="1710">
        <f t="shared" si="2"/>
        <v>26947</v>
      </c>
      <c r="K67" s="1710">
        <f t="shared" si="2"/>
        <v>12300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482891</v>
      </c>
      <c r="D69" s="468"/>
      <c r="E69" s="468"/>
      <c r="F69" s="468"/>
      <c r="G69" s="468"/>
      <c r="H69" s="468"/>
      <c r="I69" s="468"/>
      <c r="J69" s="468"/>
      <c r="K69" s="468"/>
    </row>
    <row r="70" spans="1:11" ht="12.75" customHeight="1" x14ac:dyDescent="0.2">
      <c r="A70" s="463" t="s">
        <v>1053</v>
      </c>
      <c r="B70" s="470">
        <v>1612</v>
      </c>
      <c r="C70" s="551">
        <v>48328</v>
      </c>
      <c r="D70" s="468"/>
      <c r="E70" s="468"/>
      <c r="F70" s="468"/>
      <c r="G70" s="468"/>
      <c r="H70" s="468"/>
      <c r="I70" s="468"/>
      <c r="J70" s="468"/>
      <c r="K70" s="468"/>
    </row>
    <row r="71" spans="1:11" ht="12.75" customHeight="1" x14ac:dyDescent="0.2">
      <c r="A71" s="463" t="s">
        <v>290</v>
      </c>
      <c r="B71" s="470">
        <v>1613</v>
      </c>
      <c r="C71" s="551">
        <v>445602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36123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1012944</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176624</v>
      </c>
      <c r="D77" s="466"/>
      <c r="E77" s="468"/>
      <c r="F77" s="468"/>
      <c r="G77" s="468"/>
      <c r="H77" s="468"/>
      <c r="I77" s="468"/>
      <c r="J77" s="468"/>
      <c r="K77" s="468"/>
    </row>
    <row r="78" spans="1:11" ht="12.75" customHeight="1" x14ac:dyDescent="0.2">
      <c r="A78" s="463" t="s">
        <v>78</v>
      </c>
      <c r="B78" s="470">
        <v>1719</v>
      </c>
      <c r="C78" s="551">
        <v>46000</v>
      </c>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57319</v>
      </c>
      <c r="D81" s="466"/>
      <c r="E81" s="468"/>
      <c r="F81" s="468"/>
      <c r="G81" s="468"/>
      <c r="H81" s="468"/>
      <c r="I81" s="468"/>
      <c r="J81" s="468"/>
      <c r="K81" s="468"/>
    </row>
    <row r="82" spans="1:11" ht="12.75" customHeight="1" thickBot="1" x14ac:dyDescent="0.25">
      <c r="A82" s="1730" t="s">
        <v>259</v>
      </c>
      <c r="B82" s="1731"/>
      <c r="C82" s="1729">
        <f>SUM(C77:C81)</f>
        <v>279943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226790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226790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4570</v>
      </c>
      <c r="D95" s="551">
        <v>31828</v>
      </c>
      <c r="E95" s="521"/>
      <c r="F95" s="521"/>
      <c r="G95" s="521"/>
      <c r="H95" s="521"/>
      <c r="I95" s="521"/>
      <c r="J95" s="521"/>
      <c r="K95" s="521"/>
    </row>
    <row r="96" spans="1:11" ht="12.75" customHeight="1" x14ac:dyDescent="0.2">
      <c r="A96" s="463" t="s">
        <v>408</v>
      </c>
      <c r="B96" s="470">
        <v>1920</v>
      </c>
      <c r="C96" s="551">
        <v>888361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67945</v>
      </c>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58767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83</v>
      </c>
      <c r="D106" s="489"/>
      <c r="E106" s="467"/>
      <c r="F106" s="467"/>
      <c r="G106" s="467"/>
      <c r="H106" s="467"/>
      <c r="I106" s="521"/>
      <c r="J106" s="467"/>
      <c r="K106" s="467"/>
    </row>
    <row r="107" spans="1:12" ht="12.75" customHeight="1" x14ac:dyDescent="0.2">
      <c r="A107" s="463" t="s">
        <v>80</v>
      </c>
      <c r="B107" s="470">
        <v>1999</v>
      </c>
      <c r="C107" s="551">
        <v>641294</v>
      </c>
      <c r="D107" s="466">
        <v>202890</v>
      </c>
      <c r="E107" s="466"/>
      <c r="F107" s="466">
        <v>36162</v>
      </c>
      <c r="G107" s="466"/>
      <c r="H107" s="466">
        <v>11500</v>
      </c>
      <c r="I107" s="466"/>
      <c r="J107" s="467"/>
      <c r="K107" s="466"/>
    </row>
    <row r="108" spans="1:12" ht="12.75" customHeight="1" thickBot="1" x14ac:dyDescent="0.25">
      <c r="A108" s="1730" t="s">
        <v>507</v>
      </c>
      <c r="B108" s="1734"/>
      <c r="C108" s="1729">
        <f>SUM(C95:C107)</f>
        <v>1661020</v>
      </c>
      <c r="D108" s="1729">
        <f t="shared" ref="D108:K108" si="3">SUM(D95:D107)</f>
        <v>234718</v>
      </c>
      <c r="E108" s="1729">
        <f t="shared" si="3"/>
        <v>0</v>
      </c>
      <c r="F108" s="1729">
        <f t="shared" si="3"/>
        <v>36162</v>
      </c>
      <c r="G108" s="1729">
        <f t="shared" si="3"/>
        <v>0</v>
      </c>
      <c r="H108" s="1729">
        <f t="shared" si="3"/>
        <v>11500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23796945</v>
      </c>
      <c r="D109" s="1737">
        <f t="shared" si="4"/>
        <v>5503409</v>
      </c>
      <c r="E109" s="1737">
        <f t="shared" si="4"/>
        <v>5598745</v>
      </c>
      <c r="F109" s="1737">
        <f t="shared" si="4"/>
        <v>2057500</v>
      </c>
      <c r="G109" s="1737">
        <f t="shared" si="4"/>
        <v>3540351</v>
      </c>
      <c r="H109" s="1737">
        <f t="shared" si="4"/>
        <v>175409</v>
      </c>
      <c r="I109" s="1737">
        <f t="shared" si="4"/>
        <v>471937</v>
      </c>
      <c r="J109" s="1737">
        <f t="shared" si="4"/>
        <v>2156080</v>
      </c>
      <c r="K109" s="1724">
        <f t="shared" si="4"/>
        <v>452383</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15204795</v>
      </c>
      <c r="D117" s="481">
        <v>100000</v>
      </c>
      <c r="E117" s="466"/>
      <c r="F117" s="481">
        <v>200000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v>285932</v>
      </c>
      <c r="D120" s="466"/>
      <c r="E120" s="466"/>
      <c r="F120" s="466"/>
      <c r="G120" s="466"/>
      <c r="H120" s="466"/>
      <c r="I120" s="468"/>
      <c r="J120" s="467"/>
      <c r="K120" s="466"/>
    </row>
    <row r="121" spans="1:11" ht="12.6" customHeight="1" thickBot="1" x14ac:dyDescent="0.25">
      <c r="A121" s="1730" t="s">
        <v>508</v>
      </c>
      <c r="B121" s="1741"/>
      <c r="C121" s="1729">
        <f t="shared" ref="C121:H121" si="5">SUM(C117:C120)</f>
        <v>15490727</v>
      </c>
      <c r="D121" s="1729">
        <f t="shared" si="5"/>
        <v>100000</v>
      </c>
      <c r="E121" s="1729">
        <f t="shared" si="5"/>
        <v>0</v>
      </c>
      <c r="F121" s="1729">
        <f t="shared" si="5"/>
        <v>200000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1256985</v>
      </c>
      <c r="D124" s="561"/>
      <c r="E124" s="468"/>
      <c r="F124" s="548"/>
      <c r="G124" s="468"/>
      <c r="H124" s="468"/>
      <c r="I124" s="468"/>
      <c r="J124" s="468"/>
      <c r="K124" s="468"/>
    </row>
    <row r="125" spans="1:11" ht="12.75" customHeight="1" x14ac:dyDescent="0.2">
      <c r="A125" s="463" t="s">
        <v>1520</v>
      </c>
      <c r="B125" s="562">
        <v>3105</v>
      </c>
      <c r="C125" s="466">
        <v>442799</v>
      </c>
      <c r="D125" s="561"/>
      <c r="E125" s="468"/>
      <c r="F125" s="466"/>
      <c r="G125" s="468"/>
      <c r="H125" s="468"/>
      <c r="I125" s="468"/>
      <c r="J125" s="468"/>
      <c r="K125" s="468"/>
    </row>
    <row r="126" spans="1:11" ht="12.75" customHeight="1" x14ac:dyDescent="0.2">
      <c r="A126" s="463" t="s">
        <v>921</v>
      </c>
      <c r="B126" s="562">
        <v>3110</v>
      </c>
      <c r="C126" s="551">
        <v>699317</v>
      </c>
      <c r="D126" s="466"/>
      <c r="E126" s="468"/>
      <c r="F126" s="466"/>
      <c r="G126" s="468"/>
      <c r="H126" s="468"/>
      <c r="I126" s="468"/>
      <c r="J126" s="468"/>
      <c r="K126" s="468"/>
    </row>
    <row r="127" spans="1:11" ht="12.75" customHeight="1" x14ac:dyDescent="0.2">
      <c r="A127" s="463" t="s">
        <v>107</v>
      </c>
      <c r="B127" s="562">
        <v>3120</v>
      </c>
      <c r="C127" s="466">
        <v>326314</v>
      </c>
      <c r="D127" s="561"/>
      <c r="E127" s="468"/>
      <c r="F127" s="466"/>
      <c r="G127" s="468"/>
      <c r="H127" s="468"/>
      <c r="I127" s="468"/>
      <c r="J127" s="468"/>
      <c r="K127" s="468"/>
    </row>
    <row r="128" spans="1:11" ht="12.75" customHeight="1" x14ac:dyDescent="0.2">
      <c r="A128" s="463" t="s">
        <v>1521</v>
      </c>
      <c r="B128" s="562">
        <v>3130</v>
      </c>
      <c r="C128" s="466">
        <v>75137</v>
      </c>
      <c r="D128" s="561"/>
      <c r="E128" s="468"/>
      <c r="F128" s="466"/>
      <c r="G128" s="468"/>
      <c r="H128" s="468"/>
      <c r="I128" s="468"/>
      <c r="J128" s="468"/>
      <c r="K128" s="468"/>
    </row>
    <row r="129" spans="1:11" ht="12.75" customHeight="1" x14ac:dyDescent="0.2">
      <c r="A129" s="463" t="s">
        <v>139</v>
      </c>
      <c r="B129" s="562">
        <v>3145</v>
      </c>
      <c r="C129" s="466">
        <v>6495</v>
      </c>
      <c r="D129" s="561"/>
      <c r="E129" s="468"/>
      <c r="F129" s="466"/>
      <c r="G129" s="468"/>
      <c r="H129" s="468"/>
      <c r="I129" s="468"/>
      <c r="J129" s="468"/>
      <c r="K129" s="468"/>
    </row>
    <row r="130" spans="1:11" ht="12.75" customHeight="1" x14ac:dyDescent="0.2">
      <c r="A130" s="463" t="s">
        <v>68</v>
      </c>
      <c r="B130" s="562">
        <v>3199</v>
      </c>
      <c r="C130" s="551">
        <v>5978</v>
      </c>
      <c r="D130" s="467"/>
      <c r="E130" s="468"/>
      <c r="F130" s="466"/>
      <c r="G130" s="468"/>
      <c r="H130" s="468"/>
      <c r="I130" s="468"/>
      <c r="J130" s="468"/>
      <c r="K130" s="468"/>
    </row>
    <row r="131" spans="1:11" ht="12.75" customHeight="1" thickBot="1" x14ac:dyDescent="0.25">
      <c r="A131" s="1730" t="s">
        <v>1091</v>
      </c>
      <c r="B131" s="1742"/>
      <c r="C131" s="1729">
        <f>SUM(C124:C130)</f>
        <v>2813025</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5000</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5000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34605</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75733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1152387</v>
      </c>
      <c r="G151" s="467"/>
      <c r="H151" s="468"/>
      <c r="I151" s="468"/>
      <c r="J151" s="468"/>
      <c r="K151" s="468"/>
    </row>
    <row r="152" spans="1:11" ht="12.75" customHeight="1" x14ac:dyDescent="0.2">
      <c r="A152" s="463" t="s">
        <v>1116</v>
      </c>
      <c r="B152" s="562">
        <v>3510</v>
      </c>
      <c r="C152" s="551"/>
      <c r="D152" s="466"/>
      <c r="E152" s="561"/>
      <c r="F152" s="466">
        <v>825784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1978171</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v>127257</v>
      </c>
      <c r="D157" s="468"/>
      <c r="E157" s="561"/>
      <c r="F157" s="576"/>
      <c r="G157" s="576"/>
      <c r="H157" s="468"/>
      <c r="I157" s="468"/>
      <c r="J157" s="468"/>
      <c r="K157" s="468"/>
    </row>
    <row r="158" spans="1:11" ht="12.75" customHeight="1" thickTop="1" thickBot="1" x14ac:dyDescent="0.25">
      <c r="A158" s="1522" t="s">
        <v>1110</v>
      </c>
      <c r="B158" s="574">
        <v>3705</v>
      </c>
      <c r="C158" s="576">
        <v>837510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155547</v>
      </c>
      <c r="D171" s="580"/>
      <c r="E171" s="580"/>
      <c r="F171" s="580"/>
      <c r="G171" s="581"/>
      <c r="H171" s="582"/>
      <c r="I171" s="581"/>
      <c r="J171" s="581"/>
      <c r="K171" s="582"/>
    </row>
    <row r="172" spans="1:11" ht="12.75" customHeight="1" thickTop="1" thickBot="1" x14ac:dyDescent="0.25">
      <c r="A172" s="2192" t="s">
        <v>417</v>
      </c>
      <c r="B172" s="2193"/>
      <c r="C172" s="1744">
        <f t="shared" ref="C172:K172" si="6">SUM(C131,C140,C144,C145:C149,C154,C155:C170,C171)</f>
        <v>4048677</v>
      </c>
      <c r="D172" s="1744">
        <f t="shared" si="6"/>
        <v>0</v>
      </c>
      <c r="E172" s="1744">
        <f t="shared" si="6"/>
        <v>0</v>
      </c>
      <c r="F172" s="1744">
        <f t="shared" si="6"/>
        <v>1978171</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19539404</v>
      </c>
      <c r="D173" s="1737">
        <f>SUM(D121,D172)</f>
        <v>100000</v>
      </c>
      <c r="E173" s="1737">
        <f>SUM(E121,E172)</f>
        <v>0</v>
      </c>
      <c r="F173" s="1737">
        <f t="shared" ref="F173:K173" si="7">SUM(F121,F172)</f>
        <v>2178171</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4" t="s">
        <v>1571</v>
      </c>
      <c r="B175" s="219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98" t="s">
        <v>1763</v>
      </c>
      <c r="B178" s="219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2" t="s">
        <v>1762</v>
      </c>
      <c r="B179" s="2203"/>
      <c r="C179" s="599"/>
      <c r="D179" s="600"/>
      <c r="E179" s="601"/>
      <c r="F179" s="602"/>
      <c r="G179" s="602"/>
      <c r="H179" s="602"/>
      <c r="I179" s="602"/>
      <c r="J179" s="602"/>
      <c r="K179" s="602"/>
    </row>
    <row r="180" spans="1:11" ht="12.75" customHeight="1" x14ac:dyDescent="0.2">
      <c r="A180" s="463" t="s">
        <v>1104</v>
      </c>
      <c r="B180" s="470">
        <v>4045</v>
      </c>
      <c r="C180" s="551">
        <v>1909675</v>
      </c>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00" t="s">
        <v>817</v>
      </c>
      <c r="B184" s="2201"/>
      <c r="C184" s="1729">
        <f>SUM(C180:C183)</f>
        <v>1909675</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96" t="s">
        <v>1902</v>
      </c>
      <c r="B185" s="219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1682620</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544599</v>
      </c>
      <c r="D196" s="468"/>
      <c r="E196" s="561"/>
      <c r="F196" s="468"/>
      <c r="G196" s="585"/>
      <c r="H196" s="468"/>
      <c r="I196" s="468"/>
      <c r="J196" s="468"/>
      <c r="K196" s="468"/>
    </row>
    <row r="197" spans="1:11" ht="12.75" customHeight="1" x14ac:dyDescent="0.2">
      <c r="A197" s="463" t="s">
        <v>1525</v>
      </c>
      <c r="B197" s="470">
        <v>4225</v>
      </c>
      <c r="C197" s="551">
        <v>64823</v>
      </c>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2292042</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1893299</v>
      </c>
      <c r="D203" s="466"/>
      <c r="E203" s="468"/>
      <c r="F203" s="466"/>
      <c r="G203" s="466"/>
      <c r="H203" s="468"/>
      <c r="I203" s="468"/>
      <c r="J203" s="468"/>
      <c r="K203" s="468"/>
    </row>
    <row r="204" spans="1:11" ht="12.75" customHeight="1" x14ac:dyDescent="0.2">
      <c r="A204" s="463" t="s">
        <v>974</v>
      </c>
      <c r="B204" s="470">
        <v>4305</v>
      </c>
      <c r="C204" s="551">
        <v>61706</v>
      </c>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v>54304</v>
      </c>
      <c r="D210" s="466"/>
      <c r="E210" s="468"/>
      <c r="F210" s="466"/>
      <c r="G210" s="466"/>
      <c r="H210" s="468"/>
      <c r="I210" s="468"/>
      <c r="J210" s="468"/>
      <c r="K210" s="468"/>
    </row>
    <row r="211" spans="1:11" ht="12.75" customHeight="1" thickBot="1" x14ac:dyDescent="0.25">
      <c r="A211" s="1730" t="s">
        <v>419</v>
      </c>
      <c r="B211" s="1731"/>
      <c r="C211" s="1729">
        <f>SUM(C203:C210)</f>
        <v>2009309</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v>262521</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262521</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95486</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948555</v>
      </c>
      <c r="D220" s="466"/>
      <c r="E220" s="468"/>
      <c r="F220" s="466"/>
      <c r="G220" s="466"/>
      <c r="H220" s="468"/>
      <c r="I220" s="468"/>
      <c r="J220" s="468"/>
      <c r="K220" s="468"/>
    </row>
    <row r="221" spans="1:11" ht="12.75" customHeight="1" x14ac:dyDescent="0.2">
      <c r="A221" s="463" t="s">
        <v>1113</v>
      </c>
      <c r="B221" s="470">
        <v>4625</v>
      </c>
      <c r="C221" s="551">
        <v>302240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1346281</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3495</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240483</v>
      </c>
      <c r="D270" s="576"/>
      <c r="E270" s="468"/>
      <c r="F270" s="576"/>
      <c r="G270" s="576"/>
      <c r="H270" s="468"/>
      <c r="I270" s="468"/>
      <c r="J270" s="468"/>
      <c r="K270" s="468"/>
    </row>
    <row r="271" spans="1:11" ht="12.75" customHeight="1" thickTop="1" thickBot="1" x14ac:dyDescent="0.25">
      <c r="A271" s="463" t="s">
        <v>394</v>
      </c>
      <c r="B271" s="470">
        <v>4992</v>
      </c>
      <c r="C271" s="575">
        <v>788902</v>
      </c>
      <c r="D271" s="576"/>
      <c r="E271" s="468"/>
      <c r="F271" s="576"/>
      <c r="G271" s="576"/>
      <c r="H271" s="468"/>
      <c r="I271" s="468"/>
      <c r="J271" s="468"/>
      <c r="K271" s="468"/>
    </row>
    <row r="272" spans="1:11" s="594" customFormat="1" ht="12.75" customHeight="1" thickTop="1" thickBot="1" x14ac:dyDescent="0.25">
      <c r="A272" s="563" t="s">
        <v>77</v>
      </c>
      <c r="B272" s="557">
        <v>4999</v>
      </c>
      <c r="C272" s="575">
        <v>118738</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7061771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8971446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52307795</v>
      </c>
      <c r="D275" s="1737">
        <f t="shared" si="12"/>
        <v>5603409</v>
      </c>
      <c r="E275" s="1737">
        <f t="shared" si="12"/>
        <v>5598745</v>
      </c>
      <c r="F275" s="1737">
        <f t="shared" si="12"/>
        <v>4235671</v>
      </c>
      <c r="G275" s="1737">
        <f t="shared" si="12"/>
        <v>3540351</v>
      </c>
      <c r="H275" s="1737">
        <f t="shared" si="12"/>
        <v>175409</v>
      </c>
      <c r="I275" s="1737">
        <f t="shared" si="12"/>
        <v>471937</v>
      </c>
      <c r="J275" s="1737">
        <f t="shared" si="12"/>
        <v>2156080</v>
      </c>
      <c r="K275" s="1724">
        <f t="shared" si="12"/>
        <v>452383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1" activePane="bottomLeft" state="frozen"/>
      <selection activeCell="A22" sqref="A22"/>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2"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0" t="s">
        <v>314</v>
      </c>
      <c r="B3" s="221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15651410</v>
      </c>
      <c r="D5" s="466">
        <v>3276831</v>
      </c>
      <c r="E5" s="466">
        <v>138862</v>
      </c>
      <c r="F5" s="466">
        <v>466833</v>
      </c>
      <c r="G5" s="466">
        <v>195546</v>
      </c>
      <c r="H5" s="466">
        <v>10112</v>
      </c>
      <c r="I5" s="467">
        <v>12686</v>
      </c>
      <c r="J5" s="467"/>
      <c r="K5" s="1693">
        <f>SUM(C5:J5)</f>
        <v>19752280</v>
      </c>
      <c r="L5" s="466">
        <v>14974817</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331142</v>
      </c>
      <c r="D7" s="467">
        <v>64835</v>
      </c>
      <c r="E7" s="467">
        <v>4000</v>
      </c>
      <c r="F7" s="467">
        <v>47253</v>
      </c>
      <c r="G7" s="467">
        <v>5880</v>
      </c>
      <c r="H7" s="467"/>
      <c r="I7" s="467"/>
      <c r="J7" s="467"/>
      <c r="K7" s="1693">
        <f t="shared" ref="K7:K32" si="0">SUM(C7:J7)</f>
        <v>453110</v>
      </c>
      <c r="L7" s="466">
        <v>5134011</v>
      </c>
    </row>
    <row r="8" spans="1:14" x14ac:dyDescent="0.2">
      <c r="A8" s="1526" t="s">
        <v>166</v>
      </c>
      <c r="B8" s="615">
        <v>1200</v>
      </c>
      <c r="C8" s="466">
        <v>7702296</v>
      </c>
      <c r="D8" s="466">
        <v>2016344</v>
      </c>
      <c r="E8" s="466">
        <v>204541</v>
      </c>
      <c r="F8" s="466">
        <v>62775</v>
      </c>
      <c r="G8" s="466">
        <v>20492</v>
      </c>
      <c r="H8" s="466"/>
      <c r="I8" s="467"/>
      <c r="J8" s="467"/>
      <c r="K8" s="1693">
        <f t="shared" si="0"/>
        <v>10006448</v>
      </c>
      <c r="L8" s="466">
        <v>10059936</v>
      </c>
    </row>
    <row r="9" spans="1:14" x14ac:dyDescent="0.2">
      <c r="A9" s="1526" t="s">
        <v>744</v>
      </c>
      <c r="B9" s="615" t="s">
        <v>1024</v>
      </c>
      <c r="C9" s="467">
        <v>78071</v>
      </c>
      <c r="D9" s="467">
        <v>26428</v>
      </c>
      <c r="E9" s="467"/>
      <c r="F9" s="467"/>
      <c r="G9" s="467"/>
      <c r="H9" s="467"/>
      <c r="I9" s="467"/>
      <c r="J9" s="467"/>
      <c r="K9" s="1693">
        <f t="shared" si="0"/>
        <v>104499</v>
      </c>
      <c r="L9" s="466">
        <v>90846</v>
      </c>
    </row>
    <row r="10" spans="1:14" x14ac:dyDescent="0.2">
      <c r="A10" s="1526" t="s">
        <v>745</v>
      </c>
      <c r="B10" s="615">
        <v>1250</v>
      </c>
      <c r="C10" s="466">
        <v>861718</v>
      </c>
      <c r="D10" s="466">
        <v>249864</v>
      </c>
      <c r="E10" s="466">
        <v>6646</v>
      </c>
      <c r="F10" s="466">
        <v>117050</v>
      </c>
      <c r="G10" s="466">
        <v>341162</v>
      </c>
      <c r="H10" s="466"/>
      <c r="I10" s="467"/>
      <c r="J10" s="467"/>
      <c r="K10" s="1693">
        <f t="shared" si="0"/>
        <v>1576440</v>
      </c>
      <c r="L10" s="466">
        <v>1996047</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v>3360</v>
      </c>
      <c r="D12" s="466">
        <v>66</v>
      </c>
      <c r="E12" s="466"/>
      <c r="F12" s="466"/>
      <c r="G12" s="466"/>
      <c r="H12" s="466"/>
      <c r="I12" s="467"/>
      <c r="J12" s="467"/>
      <c r="K12" s="1693">
        <f t="shared" si="0"/>
        <v>3426</v>
      </c>
      <c r="L12" s="466">
        <v>5097</v>
      </c>
    </row>
    <row r="13" spans="1:14" x14ac:dyDescent="0.2">
      <c r="A13" s="1526" t="s">
        <v>746</v>
      </c>
      <c r="B13" s="615">
        <v>1400</v>
      </c>
      <c r="C13" s="466"/>
      <c r="D13" s="466"/>
      <c r="E13" s="466"/>
      <c r="F13" s="466"/>
      <c r="G13" s="466"/>
      <c r="H13" s="466"/>
      <c r="I13" s="467"/>
      <c r="J13" s="467"/>
      <c r="K13" s="1693">
        <f t="shared" si="0"/>
        <v>0</v>
      </c>
      <c r="L13" s="466"/>
    </row>
    <row r="14" spans="1:14" x14ac:dyDescent="0.2">
      <c r="A14" s="1526" t="s">
        <v>1019</v>
      </c>
      <c r="B14" s="615">
        <v>1500</v>
      </c>
      <c r="C14" s="466">
        <v>385422</v>
      </c>
      <c r="D14" s="466">
        <v>4315</v>
      </c>
      <c r="E14" s="466">
        <v>274908</v>
      </c>
      <c r="F14" s="466">
        <v>319452</v>
      </c>
      <c r="G14" s="466">
        <v>92067</v>
      </c>
      <c r="H14" s="466">
        <v>31407</v>
      </c>
      <c r="I14" s="467">
        <v>677</v>
      </c>
      <c r="J14" s="467"/>
      <c r="K14" s="1693">
        <f t="shared" si="0"/>
        <v>1108248</v>
      </c>
      <c r="L14" s="466">
        <v>1176116</v>
      </c>
    </row>
    <row r="15" spans="1:14" x14ac:dyDescent="0.2">
      <c r="A15" s="1526" t="s">
        <v>1020</v>
      </c>
      <c r="B15" s="615">
        <v>1600</v>
      </c>
      <c r="C15" s="466">
        <v>95229</v>
      </c>
      <c r="D15" s="466">
        <v>1614</v>
      </c>
      <c r="E15" s="466"/>
      <c r="F15" s="466"/>
      <c r="G15" s="466"/>
      <c r="H15" s="466"/>
      <c r="I15" s="467"/>
      <c r="J15" s="467"/>
      <c r="K15" s="1693">
        <f t="shared" si="0"/>
        <v>96843</v>
      </c>
      <c r="L15" s="466">
        <v>100080</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146672</v>
      </c>
      <c r="D17" s="467">
        <v>23020</v>
      </c>
      <c r="E17" s="467">
        <v>15874</v>
      </c>
      <c r="F17" s="467">
        <v>5084</v>
      </c>
      <c r="G17" s="467"/>
      <c r="H17" s="467"/>
      <c r="I17" s="467"/>
      <c r="J17" s="467"/>
      <c r="K17" s="1693">
        <f t="shared" si="0"/>
        <v>190650</v>
      </c>
      <c r="L17" s="466">
        <v>157650</v>
      </c>
    </row>
    <row r="18" spans="1:12" x14ac:dyDescent="0.2">
      <c r="A18" s="1526" t="s">
        <v>1147</v>
      </c>
      <c r="B18" s="615">
        <v>1800</v>
      </c>
      <c r="C18" s="466">
        <v>24231</v>
      </c>
      <c r="D18" s="466">
        <v>23</v>
      </c>
      <c r="E18" s="466"/>
      <c r="F18" s="466"/>
      <c r="G18" s="466"/>
      <c r="H18" s="466"/>
      <c r="I18" s="467"/>
      <c r="J18" s="467"/>
      <c r="K18" s="1693">
        <f t="shared" si="0"/>
        <v>24254</v>
      </c>
      <c r="L18" s="466">
        <v>27601</v>
      </c>
    </row>
    <row r="19" spans="1:12" x14ac:dyDescent="0.2">
      <c r="A19" s="1526" t="s">
        <v>136</v>
      </c>
      <c r="B19" s="615">
        <v>1900</v>
      </c>
      <c r="C19" s="466">
        <v>39516</v>
      </c>
      <c r="D19" s="466">
        <v>3789</v>
      </c>
      <c r="E19" s="466"/>
      <c r="F19" s="466">
        <v>3450</v>
      </c>
      <c r="G19" s="466"/>
      <c r="H19" s="466"/>
      <c r="I19" s="467"/>
      <c r="J19" s="467"/>
      <c r="K19" s="1693">
        <f t="shared" si="0"/>
        <v>46755</v>
      </c>
      <c r="L19" s="466">
        <v>56297</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2804059</v>
      </c>
      <c r="I22" s="617"/>
      <c r="J22" s="477"/>
      <c r="K22" s="1693">
        <f t="shared" si="0"/>
        <v>2804059</v>
      </c>
      <c r="L22" s="471">
        <v>2925000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25319067</v>
      </c>
      <c r="D33" s="1692">
        <f t="shared" ref="D33:L33" si="1">SUM(D5:D32)</f>
        <v>5667129</v>
      </c>
      <c r="E33" s="1692">
        <f t="shared" si="1"/>
        <v>644831</v>
      </c>
      <c r="F33" s="1692">
        <f t="shared" si="1"/>
        <v>1021897</v>
      </c>
      <c r="G33" s="1692">
        <f t="shared" si="1"/>
        <v>655147</v>
      </c>
      <c r="H33" s="1692">
        <f t="shared" si="1"/>
        <v>2845578</v>
      </c>
      <c r="I33" s="1692">
        <f t="shared" si="1"/>
        <v>13363</v>
      </c>
      <c r="J33" s="1692">
        <f t="shared" si="1"/>
        <v>0</v>
      </c>
      <c r="K33" s="1692">
        <f t="shared" si="1"/>
        <v>36167012</v>
      </c>
      <c r="L33" s="1692">
        <f t="shared" si="1"/>
        <v>36703498</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910902</v>
      </c>
      <c r="D36" s="481">
        <v>209628</v>
      </c>
      <c r="E36" s="481">
        <v>6745</v>
      </c>
      <c r="F36" s="481">
        <v>3048</v>
      </c>
      <c r="G36" s="481"/>
      <c r="H36" s="481"/>
      <c r="I36" s="467"/>
      <c r="J36" s="467"/>
      <c r="K36" s="1693">
        <f t="shared" ref="K36:K41" si="2">SUM(C36:J36)</f>
        <v>1130323</v>
      </c>
      <c r="L36" s="466">
        <v>1109257</v>
      </c>
    </row>
    <row r="37" spans="1:14" x14ac:dyDescent="0.2">
      <c r="A37" s="1526" t="s">
        <v>1150</v>
      </c>
      <c r="B37" s="615">
        <v>2120</v>
      </c>
      <c r="C37" s="466">
        <v>666410</v>
      </c>
      <c r="D37" s="466">
        <v>131541</v>
      </c>
      <c r="E37" s="466">
        <v>27275</v>
      </c>
      <c r="F37" s="466">
        <v>404</v>
      </c>
      <c r="G37" s="466"/>
      <c r="H37" s="466"/>
      <c r="I37" s="467"/>
      <c r="J37" s="467"/>
      <c r="K37" s="1693">
        <f t="shared" si="2"/>
        <v>825630</v>
      </c>
      <c r="L37" s="466">
        <v>941580</v>
      </c>
    </row>
    <row r="38" spans="1:14" x14ac:dyDescent="0.2">
      <c r="A38" s="1526" t="s">
        <v>207</v>
      </c>
      <c r="B38" s="615">
        <v>2130</v>
      </c>
      <c r="C38" s="466">
        <v>848587</v>
      </c>
      <c r="D38" s="466">
        <v>210595</v>
      </c>
      <c r="E38" s="466">
        <v>20335</v>
      </c>
      <c r="F38" s="466">
        <v>8068</v>
      </c>
      <c r="G38" s="466"/>
      <c r="H38" s="466"/>
      <c r="I38" s="467">
        <v>1129</v>
      </c>
      <c r="J38" s="467"/>
      <c r="K38" s="1693">
        <f t="shared" si="2"/>
        <v>1088714</v>
      </c>
      <c r="L38" s="466">
        <v>1197602</v>
      </c>
    </row>
    <row r="39" spans="1:14" x14ac:dyDescent="0.2">
      <c r="A39" s="1526" t="s">
        <v>208</v>
      </c>
      <c r="B39" s="615">
        <v>2140</v>
      </c>
      <c r="C39" s="466">
        <v>310801</v>
      </c>
      <c r="D39" s="466">
        <v>85580</v>
      </c>
      <c r="E39" s="466">
        <v>5915</v>
      </c>
      <c r="F39" s="466">
        <v>3486</v>
      </c>
      <c r="G39" s="466"/>
      <c r="H39" s="466"/>
      <c r="I39" s="467"/>
      <c r="J39" s="467"/>
      <c r="K39" s="1693">
        <f t="shared" si="2"/>
        <v>405782</v>
      </c>
      <c r="L39" s="466">
        <v>386938</v>
      </c>
    </row>
    <row r="40" spans="1:14" x14ac:dyDescent="0.2">
      <c r="A40" s="1526" t="s">
        <v>209</v>
      </c>
      <c r="B40" s="615">
        <v>2150</v>
      </c>
      <c r="C40" s="466">
        <v>82123</v>
      </c>
      <c r="D40" s="466">
        <v>15994</v>
      </c>
      <c r="E40" s="466"/>
      <c r="F40" s="466"/>
      <c r="G40" s="466"/>
      <c r="H40" s="466"/>
      <c r="I40" s="467"/>
      <c r="J40" s="467"/>
      <c r="K40" s="1693">
        <f t="shared" si="2"/>
        <v>98117</v>
      </c>
      <c r="L40" s="466">
        <v>100328</v>
      </c>
    </row>
    <row r="41" spans="1:14" x14ac:dyDescent="0.2">
      <c r="A41" s="1526" t="s">
        <v>1767</v>
      </c>
      <c r="B41" s="615">
        <v>2190</v>
      </c>
      <c r="C41" s="466">
        <v>80992</v>
      </c>
      <c r="D41" s="466">
        <v>9</v>
      </c>
      <c r="E41" s="466">
        <v>720</v>
      </c>
      <c r="F41" s="466">
        <v>10430</v>
      </c>
      <c r="G41" s="466"/>
      <c r="H41" s="466"/>
      <c r="I41" s="467"/>
      <c r="J41" s="467"/>
      <c r="K41" s="1693">
        <f t="shared" si="2"/>
        <v>92151</v>
      </c>
      <c r="L41" s="466">
        <v>98234</v>
      </c>
    </row>
    <row r="42" spans="1:14" ht="12.75" customHeight="1" thickBot="1" x14ac:dyDescent="0.25">
      <c r="A42" s="1690" t="s">
        <v>580</v>
      </c>
      <c r="B42" s="1691" t="s">
        <v>739</v>
      </c>
      <c r="C42" s="1692">
        <f>SUM(C36:C41)</f>
        <v>2899815</v>
      </c>
      <c r="D42" s="1692">
        <f t="shared" ref="D42:L42" si="3">SUM(D36:D41)</f>
        <v>653347</v>
      </c>
      <c r="E42" s="1692">
        <f t="shared" si="3"/>
        <v>60990</v>
      </c>
      <c r="F42" s="1692">
        <f t="shared" si="3"/>
        <v>25436</v>
      </c>
      <c r="G42" s="1692">
        <f t="shared" si="3"/>
        <v>0</v>
      </c>
      <c r="H42" s="1692">
        <f t="shared" si="3"/>
        <v>0</v>
      </c>
      <c r="I42" s="1692">
        <f t="shared" si="3"/>
        <v>1129</v>
      </c>
      <c r="J42" s="1692">
        <f t="shared" si="3"/>
        <v>0</v>
      </c>
      <c r="K42" s="1692">
        <f t="shared" si="3"/>
        <v>3640717</v>
      </c>
      <c r="L42" s="1692">
        <f t="shared" si="3"/>
        <v>3833939</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570413</v>
      </c>
      <c r="D44" s="481">
        <v>122764</v>
      </c>
      <c r="E44" s="481">
        <v>503932</v>
      </c>
      <c r="F44" s="481">
        <v>345036</v>
      </c>
      <c r="G44" s="481">
        <v>35757</v>
      </c>
      <c r="H44" s="481">
        <v>1171</v>
      </c>
      <c r="I44" s="467"/>
      <c r="J44" s="467"/>
      <c r="K44" s="1694">
        <f>SUM(C44:J44)</f>
        <v>1579073</v>
      </c>
      <c r="L44" s="481">
        <v>1870243</v>
      </c>
    </row>
    <row r="45" spans="1:14" x14ac:dyDescent="0.2">
      <c r="A45" s="1526" t="s">
        <v>868</v>
      </c>
      <c r="B45" s="615">
        <v>2220</v>
      </c>
      <c r="C45" s="466">
        <v>134148</v>
      </c>
      <c r="D45" s="466">
        <v>34590</v>
      </c>
      <c r="E45" s="466"/>
      <c r="F45" s="466">
        <v>33469</v>
      </c>
      <c r="G45" s="466">
        <v>2407</v>
      </c>
      <c r="H45" s="466">
        <v>10821</v>
      </c>
      <c r="I45" s="467">
        <v>453</v>
      </c>
      <c r="J45" s="467"/>
      <c r="K45" s="1694">
        <f>SUM(C45:J45)</f>
        <v>215888</v>
      </c>
      <c r="L45" s="466">
        <v>224416</v>
      </c>
    </row>
    <row r="46" spans="1:14" x14ac:dyDescent="0.2">
      <c r="A46" s="1526" t="s">
        <v>869</v>
      </c>
      <c r="B46" s="615">
        <v>2230</v>
      </c>
      <c r="C46" s="466"/>
      <c r="D46" s="466"/>
      <c r="E46" s="466">
        <v>66858</v>
      </c>
      <c r="F46" s="466">
        <v>26</v>
      </c>
      <c r="G46" s="466"/>
      <c r="H46" s="466"/>
      <c r="I46" s="467"/>
      <c r="J46" s="467"/>
      <c r="K46" s="1694">
        <f>SUM(C46:J46)</f>
        <v>66884</v>
      </c>
      <c r="L46" s="466">
        <v>76744</v>
      </c>
    </row>
    <row r="47" spans="1:14" ht="12.75" customHeight="1" thickBot="1" x14ac:dyDescent="0.25">
      <c r="A47" s="1690" t="s">
        <v>581</v>
      </c>
      <c r="B47" s="1691" t="s">
        <v>32</v>
      </c>
      <c r="C47" s="1692">
        <f>SUM(C44:C46)</f>
        <v>704561</v>
      </c>
      <c r="D47" s="1692">
        <f t="shared" ref="D47:K47" si="4">SUM(D44:D46)</f>
        <v>157354</v>
      </c>
      <c r="E47" s="1692">
        <f t="shared" si="4"/>
        <v>570790</v>
      </c>
      <c r="F47" s="1692">
        <f t="shared" si="4"/>
        <v>378531</v>
      </c>
      <c r="G47" s="1692">
        <f t="shared" si="4"/>
        <v>38164</v>
      </c>
      <c r="H47" s="1692">
        <f t="shared" si="4"/>
        <v>11992</v>
      </c>
      <c r="I47" s="1692">
        <f t="shared" si="4"/>
        <v>453</v>
      </c>
      <c r="J47" s="1692">
        <f t="shared" si="4"/>
        <v>0</v>
      </c>
      <c r="K47" s="1692">
        <f t="shared" si="4"/>
        <v>1861845</v>
      </c>
      <c r="L47" s="1692">
        <f>SUM(L44:L46)</f>
        <v>2171403</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2619</v>
      </c>
      <c r="D49" s="481">
        <v>16975</v>
      </c>
      <c r="E49" s="481">
        <v>89950</v>
      </c>
      <c r="F49" s="481">
        <v>8291</v>
      </c>
      <c r="G49" s="481"/>
      <c r="H49" s="481">
        <v>12349</v>
      </c>
      <c r="I49" s="467"/>
      <c r="J49" s="467"/>
      <c r="K49" s="1694">
        <f>SUM(C49:J49)</f>
        <v>130184</v>
      </c>
      <c r="L49" s="481">
        <v>260137</v>
      </c>
    </row>
    <row r="50" spans="1:14" x14ac:dyDescent="0.2">
      <c r="A50" s="1526" t="s">
        <v>871</v>
      </c>
      <c r="B50" s="615">
        <v>2320</v>
      </c>
      <c r="C50" s="466">
        <v>109762</v>
      </c>
      <c r="D50" s="466">
        <v>9334</v>
      </c>
      <c r="E50" s="466">
        <v>558</v>
      </c>
      <c r="F50" s="466">
        <v>809</v>
      </c>
      <c r="G50" s="466"/>
      <c r="H50" s="466">
        <v>7068</v>
      </c>
      <c r="I50" s="467"/>
      <c r="J50" s="467"/>
      <c r="K50" s="1694">
        <f>SUM(C50:J50)</f>
        <v>127531</v>
      </c>
      <c r="L50" s="466">
        <v>137395</v>
      </c>
    </row>
    <row r="51" spans="1:14" x14ac:dyDescent="0.2">
      <c r="A51" s="1526" t="s">
        <v>44</v>
      </c>
      <c r="B51" s="615">
        <v>2330</v>
      </c>
      <c r="C51" s="466">
        <v>126811</v>
      </c>
      <c r="D51" s="466">
        <v>10090</v>
      </c>
      <c r="E51" s="466"/>
      <c r="F51" s="466">
        <v>2343</v>
      </c>
      <c r="G51" s="466"/>
      <c r="H51" s="466"/>
      <c r="I51" s="467"/>
      <c r="J51" s="467"/>
      <c r="K51" s="1694">
        <f>SUM(C51:J51)</f>
        <v>139244</v>
      </c>
      <c r="L51" s="466">
        <v>118591</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239192</v>
      </c>
      <c r="D53" s="1692">
        <f t="shared" ref="D53:L53" si="5">SUM(D49:D52)</f>
        <v>36399</v>
      </c>
      <c r="E53" s="1692">
        <f t="shared" si="5"/>
        <v>90508</v>
      </c>
      <c r="F53" s="1692">
        <f t="shared" si="5"/>
        <v>11443</v>
      </c>
      <c r="G53" s="1692">
        <f t="shared" si="5"/>
        <v>0</v>
      </c>
      <c r="H53" s="1692">
        <f t="shared" si="5"/>
        <v>19417</v>
      </c>
      <c r="I53" s="1692">
        <f t="shared" si="5"/>
        <v>0</v>
      </c>
      <c r="J53" s="1692">
        <f t="shared" si="5"/>
        <v>0</v>
      </c>
      <c r="K53" s="1692">
        <f t="shared" si="5"/>
        <v>396959</v>
      </c>
      <c r="L53" s="1692">
        <f t="shared" si="5"/>
        <v>516123</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2373217</v>
      </c>
      <c r="D55" s="481">
        <v>360504</v>
      </c>
      <c r="E55" s="481">
        <v>51481</v>
      </c>
      <c r="F55" s="481">
        <v>25995</v>
      </c>
      <c r="G55" s="481"/>
      <c r="H55" s="481">
        <v>279</v>
      </c>
      <c r="I55" s="467"/>
      <c r="J55" s="467"/>
      <c r="K55" s="1694">
        <f>SUM(C55:J55)</f>
        <v>2811476</v>
      </c>
      <c r="L55" s="481">
        <v>2975024</v>
      </c>
    </row>
    <row r="56" spans="1:14" ht="12.75" customHeight="1" x14ac:dyDescent="0.2">
      <c r="A56" s="1530" t="s">
        <v>393</v>
      </c>
      <c r="B56" s="629">
        <v>2490</v>
      </c>
      <c r="C56" s="466">
        <v>5750</v>
      </c>
      <c r="D56" s="466">
        <v>693</v>
      </c>
      <c r="E56" s="466"/>
      <c r="F56" s="466">
        <v>3281</v>
      </c>
      <c r="G56" s="466"/>
      <c r="H56" s="466"/>
      <c r="I56" s="467"/>
      <c r="J56" s="467"/>
      <c r="K56" s="1694">
        <f>SUM(C56:J56)</f>
        <v>9724</v>
      </c>
      <c r="L56" s="466"/>
    </row>
    <row r="57" spans="1:14" s="343" customFormat="1" ht="12.75" customHeight="1" thickBot="1" x14ac:dyDescent="0.25">
      <c r="A57" s="1690" t="s">
        <v>281</v>
      </c>
      <c r="B57" s="1695" t="s">
        <v>34</v>
      </c>
      <c r="C57" s="1696">
        <f>SUM(C55:C56)</f>
        <v>2378967</v>
      </c>
      <c r="D57" s="1696">
        <f t="shared" ref="D57:K57" si="6">SUM(D55:D56)</f>
        <v>361197</v>
      </c>
      <c r="E57" s="1696">
        <f t="shared" si="6"/>
        <v>51481</v>
      </c>
      <c r="F57" s="1696">
        <f t="shared" si="6"/>
        <v>29276</v>
      </c>
      <c r="G57" s="1696">
        <f t="shared" si="6"/>
        <v>0</v>
      </c>
      <c r="H57" s="1696">
        <f t="shared" si="6"/>
        <v>279</v>
      </c>
      <c r="I57" s="1696">
        <f t="shared" si="6"/>
        <v>0</v>
      </c>
      <c r="J57" s="1696">
        <f t="shared" si="6"/>
        <v>0</v>
      </c>
      <c r="K57" s="1696">
        <f t="shared" si="6"/>
        <v>2821200</v>
      </c>
      <c r="L57" s="1692">
        <f>SUM(L55:L56)</f>
        <v>2975024</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72930</v>
      </c>
      <c r="D59" s="481">
        <v>8114</v>
      </c>
      <c r="E59" s="481"/>
      <c r="F59" s="481"/>
      <c r="G59" s="481"/>
      <c r="H59" s="481"/>
      <c r="I59" s="467"/>
      <c r="J59" s="467"/>
      <c r="K59" s="1694">
        <f t="shared" ref="K59:K64" si="7">SUM(C59:J59)</f>
        <v>81044</v>
      </c>
      <c r="L59" s="481">
        <v>80357</v>
      </c>
      <c r="M59" s="610"/>
      <c r="N59" s="610"/>
    </row>
    <row r="60" spans="1:14" s="343" customFormat="1" x14ac:dyDescent="0.2">
      <c r="A60" s="1526" t="s">
        <v>482</v>
      </c>
      <c r="B60" s="615">
        <v>2520</v>
      </c>
      <c r="C60" s="466">
        <v>104239</v>
      </c>
      <c r="D60" s="466">
        <v>25241</v>
      </c>
      <c r="E60" s="466">
        <v>44685</v>
      </c>
      <c r="F60" s="466">
        <v>10078</v>
      </c>
      <c r="G60" s="466">
        <v>2207</v>
      </c>
      <c r="H60" s="466">
        <v>3285</v>
      </c>
      <c r="I60" s="467">
        <v>164</v>
      </c>
      <c r="J60" s="467"/>
      <c r="K60" s="1694">
        <f t="shared" si="7"/>
        <v>189899</v>
      </c>
      <c r="L60" s="466">
        <v>208910</v>
      </c>
      <c r="M60" s="610"/>
      <c r="N60" s="610"/>
    </row>
    <row r="61" spans="1:14" s="343" customFormat="1" x14ac:dyDescent="0.2">
      <c r="A61" s="1526" t="s">
        <v>206</v>
      </c>
      <c r="B61" s="615">
        <v>2540</v>
      </c>
      <c r="C61" s="466"/>
      <c r="D61" s="466"/>
      <c r="E61" s="466">
        <v>15687</v>
      </c>
      <c r="F61" s="466"/>
      <c r="G61" s="466"/>
      <c r="H61" s="466"/>
      <c r="I61" s="467"/>
      <c r="J61" s="467"/>
      <c r="K61" s="1694">
        <f t="shared" si="7"/>
        <v>15687</v>
      </c>
      <c r="L61" s="466">
        <v>14850</v>
      </c>
      <c r="M61" s="610"/>
      <c r="N61" s="610"/>
    </row>
    <row r="62" spans="1:14" s="343" customFormat="1" x14ac:dyDescent="0.2">
      <c r="A62" s="1526" t="s">
        <v>1009</v>
      </c>
      <c r="B62" s="615">
        <v>2550</v>
      </c>
      <c r="C62" s="466">
        <v>9966</v>
      </c>
      <c r="D62" s="466">
        <v>798</v>
      </c>
      <c r="E62" s="466">
        <v>48672</v>
      </c>
      <c r="F62" s="466">
        <v>19439</v>
      </c>
      <c r="G62" s="466"/>
      <c r="H62" s="466"/>
      <c r="I62" s="467"/>
      <c r="J62" s="467"/>
      <c r="K62" s="1694">
        <f t="shared" si="7"/>
        <v>78875</v>
      </c>
      <c r="L62" s="466">
        <v>131883</v>
      </c>
      <c r="M62" s="610"/>
      <c r="N62" s="610"/>
    </row>
    <row r="63" spans="1:14" s="610" customFormat="1" x14ac:dyDescent="0.2">
      <c r="A63" s="1526" t="s">
        <v>102</v>
      </c>
      <c r="B63" s="615">
        <v>2560</v>
      </c>
      <c r="C63" s="466">
        <v>1185996</v>
      </c>
      <c r="D63" s="466">
        <v>355254</v>
      </c>
      <c r="E63" s="466">
        <v>6434</v>
      </c>
      <c r="F63" s="466">
        <v>1363190</v>
      </c>
      <c r="G63" s="466">
        <v>1009</v>
      </c>
      <c r="H63" s="466">
        <v>728</v>
      </c>
      <c r="I63" s="467"/>
      <c r="J63" s="467"/>
      <c r="K63" s="1694">
        <f t="shared" si="7"/>
        <v>2912611</v>
      </c>
      <c r="L63" s="466">
        <v>3318436</v>
      </c>
    </row>
    <row r="64" spans="1:14" s="610" customFormat="1" x14ac:dyDescent="0.2">
      <c r="A64" s="1531" t="s">
        <v>103</v>
      </c>
      <c r="B64" s="631">
        <v>2570</v>
      </c>
      <c r="C64" s="481"/>
      <c r="D64" s="481"/>
      <c r="E64" s="481">
        <v>54716</v>
      </c>
      <c r="F64" s="481">
        <v>846</v>
      </c>
      <c r="G64" s="481"/>
      <c r="H64" s="481">
        <v>11644</v>
      </c>
      <c r="I64" s="467"/>
      <c r="J64" s="467"/>
      <c r="K64" s="1694">
        <f t="shared" si="7"/>
        <v>67206</v>
      </c>
      <c r="L64" s="481">
        <v>82800</v>
      </c>
    </row>
    <row r="65" spans="1:14" s="343" customFormat="1" ht="12.75" customHeight="1" thickBot="1" x14ac:dyDescent="0.25">
      <c r="A65" s="1690" t="s">
        <v>742</v>
      </c>
      <c r="B65" s="1691" t="s">
        <v>35</v>
      </c>
      <c r="C65" s="1692">
        <f>SUM(C59:C64)</f>
        <v>1373131</v>
      </c>
      <c r="D65" s="1692">
        <f t="shared" ref="D65:L65" si="8">SUM(D59:D64)</f>
        <v>389407</v>
      </c>
      <c r="E65" s="1692">
        <f t="shared" si="8"/>
        <v>170194</v>
      </c>
      <c r="F65" s="1692">
        <f t="shared" si="8"/>
        <v>1393553</v>
      </c>
      <c r="G65" s="1692">
        <f t="shared" si="8"/>
        <v>3216</v>
      </c>
      <c r="H65" s="1692">
        <f t="shared" si="8"/>
        <v>15657</v>
      </c>
      <c r="I65" s="1692">
        <f t="shared" si="8"/>
        <v>164</v>
      </c>
      <c r="J65" s="1692">
        <f t="shared" si="8"/>
        <v>0</v>
      </c>
      <c r="K65" s="1692">
        <f t="shared" si="8"/>
        <v>3345322</v>
      </c>
      <c r="L65" s="1692">
        <f t="shared" si="8"/>
        <v>3837236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109364</v>
      </c>
      <c r="D67" s="466">
        <v>19898</v>
      </c>
      <c r="E67" s="466">
        <v>24209</v>
      </c>
      <c r="F67" s="466">
        <v>1005</v>
      </c>
      <c r="G67" s="466"/>
      <c r="H67" s="466">
        <v>1399</v>
      </c>
      <c r="I67" s="467"/>
      <c r="J67" s="467"/>
      <c r="K67" s="1694">
        <f>SUM(C67:J67)</f>
        <v>155875</v>
      </c>
      <c r="L67" s="481">
        <v>148544</v>
      </c>
      <c r="M67" s="610"/>
      <c r="N67" s="610"/>
    </row>
    <row r="68" spans="1:14" s="343" customFormat="1" x14ac:dyDescent="0.2">
      <c r="A68" s="1526" t="s">
        <v>627</v>
      </c>
      <c r="B68" s="615">
        <v>2620</v>
      </c>
      <c r="C68" s="466">
        <v>78000</v>
      </c>
      <c r="D68" s="466">
        <v>16240</v>
      </c>
      <c r="E68" s="466">
        <v>16437</v>
      </c>
      <c r="F68" s="466"/>
      <c r="G68" s="466"/>
      <c r="H68" s="466"/>
      <c r="I68" s="467"/>
      <c r="J68" s="467"/>
      <c r="K68" s="1694">
        <f>SUM(C68:J68)</f>
        <v>110677</v>
      </c>
      <c r="L68" s="466">
        <v>137656</v>
      </c>
      <c r="M68" s="610"/>
      <c r="N68" s="610"/>
    </row>
    <row r="69" spans="1:14" s="343" customFormat="1" x14ac:dyDescent="0.2">
      <c r="A69" s="1526" t="s">
        <v>1120</v>
      </c>
      <c r="B69" s="615">
        <v>2630</v>
      </c>
      <c r="C69" s="466">
        <v>25714</v>
      </c>
      <c r="D69" s="466">
        <v>14817</v>
      </c>
      <c r="E69" s="466"/>
      <c r="F69" s="466"/>
      <c r="G69" s="466"/>
      <c r="H69" s="466"/>
      <c r="I69" s="467"/>
      <c r="J69" s="467"/>
      <c r="K69" s="1694">
        <f>SUM(C69:J69)</f>
        <v>40531</v>
      </c>
      <c r="L69" s="466">
        <v>28676</v>
      </c>
      <c r="M69" s="610"/>
      <c r="N69" s="610"/>
    </row>
    <row r="70" spans="1:14" s="343" customFormat="1" x14ac:dyDescent="0.2">
      <c r="A70" s="1526" t="s">
        <v>422</v>
      </c>
      <c r="B70" s="615">
        <v>2640</v>
      </c>
      <c r="C70" s="466">
        <v>206065</v>
      </c>
      <c r="D70" s="466">
        <v>31401</v>
      </c>
      <c r="E70" s="466">
        <v>15858</v>
      </c>
      <c r="F70" s="466">
        <v>46408</v>
      </c>
      <c r="G70" s="466"/>
      <c r="H70" s="466">
        <v>4540</v>
      </c>
      <c r="I70" s="467"/>
      <c r="J70" s="467"/>
      <c r="K70" s="1694">
        <f>SUM(C70:J70)</f>
        <v>304272</v>
      </c>
      <c r="L70" s="466">
        <v>308334</v>
      </c>
      <c r="M70" s="610"/>
      <c r="N70" s="610"/>
    </row>
    <row r="71" spans="1:14" s="343" customFormat="1" x14ac:dyDescent="0.2">
      <c r="A71" s="1526" t="s">
        <v>423</v>
      </c>
      <c r="B71" s="615">
        <v>2660</v>
      </c>
      <c r="C71" s="466">
        <v>143422</v>
      </c>
      <c r="D71" s="466">
        <v>30808</v>
      </c>
      <c r="E71" s="466"/>
      <c r="F71" s="466"/>
      <c r="G71" s="466"/>
      <c r="H71" s="466"/>
      <c r="I71" s="467"/>
      <c r="J71" s="467"/>
      <c r="K71" s="1694">
        <f>SUM(C71:J71)</f>
        <v>174230</v>
      </c>
      <c r="L71" s="466">
        <v>201969</v>
      </c>
      <c r="M71" s="610"/>
      <c r="N71" s="610"/>
    </row>
    <row r="72" spans="1:14" s="343" customFormat="1" ht="12.75" customHeight="1" thickBot="1" x14ac:dyDescent="0.25">
      <c r="A72" s="1690" t="s">
        <v>37</v>
      </c>
      <c r="B72" s="1697" t="s">
        <v>36</v>
      </c>
      <c r="C72" s="1692">
        <f>SUM(C67:C71)</f>
        <v>562565</v>
      </c>
      <c r="D72" s="1692">
        <f t="shared" ref="D72:K72" si="9">SUM(D67:D71)</f>
        <v>113164</v>
      </c>
      <c r="E72" s="1692">
        <f t="shared" si="9"/>
        <v>56504</v>
      </c>
      <c r="F72" s="1692">
        <f t="shared" si="9"/>
        <v>47413</v>
      </c>
      <c r="G72" s="1692">
        <f t="shared" si="9"/>
        <v>0</v>
      </c>
      <c r="H72" s="1692">
        <f t="shared" si="9"/>
        <v>5939</v>
      </c>
      <c r="I72" s="1692">
        <f t="shared" si="9"/>
        <v>0</v>
      </c>
      <c r="J72" s="1692">
        <f t="shared" si="9"/>
        <v>0</v>
      </c>
      <c r="K72" s="1692">
        <f t="shared" si="9"/>
        <v>785585</v>
      </c>
      <c r="L72" s="1692">
        <f>SUM(L67:L71)</f>
        <v>825179</v>
      </c>
      <c r="M72" s="610"/>
      <c r="N72" s="610"/>
    </row>
    <row r="73" spans="1:14" s="343" customFormat="1" ht="14.25" thickTop="1" thickBot="1" x14ac:dyDescent="0.25">
      <c r="A73" s="1532" t="s">
        <v>1036</v>
      </c>
      <c r="B73" s="633" t="s">
        <v>594</v>
      </c>
      <c r="C73" s="573">
        <v>46592</v>
      </c>
      <c r="D73" s="573">
        <v>17376</v>
      </c>
      <c r="E73" s="573">
        <v>130</v>
      </c>
      <c r="F73" s="573">
        <v>714</v>
      </c>
      <c r="G73" s="573"/>
      <c r="H73" s="573"/>
      <c r="I73" s="531"/>
      <c r="J73" s="531"/>
      <c r="K73" s="1692">
        <f>SUM(C73:J73)</f>
        <v>64812</v>
      </c>
      <c r="L73" s="576">
        <v>120312</v>
      </c>
      <c r="M73" s="610"/>
      <c r="N73" s="610"/>
    </row>
    <row r="74" spans="1:14" ht="12.75" customHeight="1" thickTop="1" thickBot="1" x14ac:dyDescent="0.25">
      <c r="A74" s="1690" t="s">
        <v>864</v>
      </c>
      <c r="B74" s="1698">
        <v>2000</v>
      </c>
      <c r="C74" s="1699">
        <f>SUM(C42,C47,C53,C57,C65,C72,C73)</f>
        <v>8204823</v>
      </c>
      <c r="D74" s="1699">
        <f t="shared" ref="D74:K74" si="10">SUM(D42,D47,D53,D57,D65,D72,D73)</f>
        <v>1728244</v>
      </c>
      <c r="E74" s="1699">
        <f t="shared" si="10"/>
        <v>1000597</v>
      </c>
      <c r="F74" s="1699">
        <f t="shared" si="10"/>
        <v>1886366</v>
      </c>
      <c r="G74" s="1699">
        <f t="shared" si="10"/>
        <v>41380</v>
      </c>
      <c r="H74" s="1699">
        <f t="shared" si="10"/>
        <v>53284</v>
      </c>
      <c r="I74" s="1699">
        <f t="shared" si="10"/>
        <v>1746</v>
      </c>
      <c r="J74" s="1699">
        <f t="shared" si="10"/>
        <v>0</v>
      </c>
      <c r="K74" s="1699">
        <f t="shared" si="10"/>
        <v>12916440</v>
      </c>
      <c r="L74" s="1699">
        <f>SUM(L42,L47,L53,L57,L65,L72,L73)</f>
        <v>14279216</v>
      </c>
    </row>
    <row r="75" spans="1:14" s="259" customFormat="1" ht="15.75" customHeight="1" thickTop="1" thickBot="1" x14ac:dyDescent="0.25">
      <c r="A75" s="1632" t="s">
        <v>49</v>
      </c>
      <c r="B75" s="1633" t="s">
        <v>595</v>
      </c>
      <c r="C75" s="573">
        <v>172785</v>
      </c>
      <c r="D75" s="573">
        <v>9522</v>
      </c>
      <c r="E75" s="573">
        <v>10031</v>
      </c>
      <c r="F75" s="573">
        <v>15475</v>
      </c>
      <c r="G75" s="573">
        <v>2856</v>
      </c>
      <c r="H75" s="573"/>
      <c r="I75" s="531"/>
      <c r="J75" s="531"/>
      <c r="K75" s="1692">
        <f>SUM(C75:J75)</f>
        <v>210669</v>
      </c>
      <c r="L75" s="576">
        <v>474630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v>79736</v>
      </c>
      <c r="I79" s="477"/>
      <c r="J79" s="477"/>
      <c r="K79" s="1693">
        <f t="shared" si="11"/>
        <v>79736</v>
      </c>
      <c r="L79" s="466">
        <v>319000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79736</v>
      </c>
      <c r="I84" s="477"/>
      <c r="J84" s="477"/>
      <c r="K84" s="1692">
        <f>SUM(K78:K83)</f>
        <v>79736</v>
      </c>
      <c r="L84" s="1692">
        <f>SUM(L78:L83)</f>
        <v>319000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460130</v>
      </c>
      <c r="I88" s="477"/>
      <c r="J88" s="477"/>
      <c r="K88" s="1699">
        <f t="shared" si="12"/>
        <v>460130</v>
      </c>
      <c r="L88" s="530">
        <v>515000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460130</v>
      </c>
      <c r="I92" s="477"/>
      <c r="J92" s="477"/>
      <c r="K92" s="1699">
        <f t="shared" si="12"/>
        <v>460130</v>
      </c>
      <c r="L92" s="1692">
        <f>SUM(L85:L91)</f>
        <v>515000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539866</v>
      </c>
      <c r="I102" s="477"/>
      <c r="J102" s="477"/>
      <c r="K102" s="1699">
        <f>SUM(K84,K92,K100,K101)</f>
        <v>539866</v>
      </c>
      <c r="L102" s="1699">
        <f>SUM(L84,L92,L100,L101)</f>
        <v>834000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33696675</v>
      </c>
      <c r="D114" s="1692">
        <f t="shared" ref="D114:K114" si="13">SUM(D33,D74,D75,D102,D112,D113)</f>
        <v>7404895</v>
      </c>
      <c r="E114" s="1692">
        <f t="shared" si="13"/>
        <v>1655459</v>
      </c>
      <c r="F114" s="1692">
        <f t="shared" si="13"/>
        <v>2923738</v>
      </c>
      <c r="G114" s="1692">
        <f t="shared" si="13"/>
        <v>699383</v>
      </c>
      <c r="H114" s="1692">
        <f>SUM(H33,H74,H75,H102,H112,H113)</f>
        <v>3438728</v>
      </c>
      <c r="I114" s="1692">
        <f t="shared" si="13"/>
        <v>15109</v>
      </c>
      <c r="J114" s="1692">
        <f t="shared" si="13"/>
        <v>0</v>
      </c>
      <c r="K114" s="1692">
        <f t="shared" si="13"/>
        <v>49833987</v>
      </c>
      <c r="L114" s="1692">
        <f>SUM(L33,L74,L75,L102,L112,L113)</f>
        <v>52291344</v>
      </c>
    </row>
    <row r="115" spans="1:14" ht="13.5" thickTop="1" x14ac:dyDescent="0.2">
      <c r="A115" s="2229" t="s">
        <v>1052</v>
      </c>
      <c r="B115" s="2230"/>
      <c r="C115" s="619"/>
      <c r="D115" s="619"/>
      <c r="E115" s="619"/>
      <c r="F115" s="619"/>
      <c r="G115" s="619"/>
      <c r="H115" s="619"/>
      <c r="I115" s="619"/>
      <c r="J115" s="619"/>
      <c r="K115" s="1706">
        <f>'Revenues 9-14'!C275-'Expenditures 15-22'!K114</f>
        <v>2473808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7" t="s">
        <v>313</v>
      </c>
      <c r="B117" s="220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11700</v>
      </c>
      <c r="F123" s="466"/>
      <c r="G123" s="466"/>
      <c r="H123" s="466"/>
      <c r="I123" s="467"/>
      <c r="J123" s="467"/>
      <c r="K123" s="1692">
        <f>SUM(C123:J123)</f>
        <v>11700</v>
      </c>
      <c r="L123" s="466"/>
    </row>
    <row r="124" spans="1:14" ht="14.25" thickTop="1" thickBot="1" x14ac:dyDescent="0.25">
      <c r="A124" s="1526" t="s">
        <v>206</v>
      </c>
      <c r="B124" s="615">
        <v>2540</v>
      </c>
      <c r="C124" s="466">
        <v>2648820</v>
      </c>
      <c r="D124" s="466">
        <v>519287</v>
      </c>
      <c r="E124" s="466">
        <v>1410335</v>
      </c>
      <c r="F124" s="466">
        <v>432137</v>
      </c>
      <c r="G124" s="466">
        <v>48217</v>
      </c>
      <c r="H124" s="466">
        <v>685</v>
      </c>
      <c r="I124" s="467">
        <v>409</v>
      </c>
      <c r="J124" s="467"/>
      <c r="K124" s="1692">
        <f>SUM(C124:J124)</f>
        <v>5059890</v>
      </c>
      <c r="L124" s="466">
        <v>5635398</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2648820</v>
      </c>
      <c r="D127" s="1692">
        <f t="shared" ref="D127:L127" si="14">SUM(D122:D126)</f>
        <v>519287</v>
      </c>
      <c r="E127" s="1692">
        <f t="shared" si="14"/>
        <v>1422035</v>
      </c>
      <c r="F127" s="1692">
        <f t="shared" si="14"/>
        <v>432137</v>
      </c>
      <c r="G127" s="1692">
        <f t="shared" si="14"/>
        <v>48217</v>
      </c>
      <c r="H127" s="1692">
        <f t="shared" si="14"/>
        <v>685</v>
      </c>
      <c r="I127" s="1692">
        <f t="shared" si="14"/>
        <v>409</v>
      </c>
      <c r="J127" s="1692">
        <f t="shared" si="14"/>
        <v>0</v>
      </c>
      <c r="K127" s="1692">
        <f t="shared" si="14"/>
        <v>5071590</v>
      </c>
      <c r="L127" s="1692">
        <f t="shared" si="14"/>
        <v>5635398</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2648820</v>
      </c>
      <c r="D129" s="1699">
        <f t="shared" ref="D129:L129" si="15">SUM(D120,D127,D128)</f>
        <v>519287</v>
      </c>
      <c r="E129" s="1699">
        <f t="shared" si="15"/>
        <v>1422035</v>
      </c>
      <c r="F129" s="1699">
        <f t="shared" si="15"/>
        <v>432137</v>
      </c>
      <c r="G129" s="1699">
        <f t="shared" si="15"/>
        <v>48217</v>
      </c>
      <c r="H129" s="1699">
        <f t="shared" si="15"/>
        <v>685</v>
      </c>
      <c r="I129" s="1699">
        <f t="shared" si="15"/>
        <v>409</v>
      </c>
      <c r="J129" s="1699">
        <f t="shared" si="15"/>
        <v>0</v>
      </c>
      <c r="K129" s="1699">
        <f t="shared" si="15"/>
        <v>5071590</v>
      </c>
      <c r="L129" s="1699">
        <f t="shared" si="15"/>
        <v>5635398</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219" t="s">
        <v>640</v>
      </c>
      <c r="B151" s="2201"/>
      <c r="C151" s="1692">
        <f>SUM(C129,C130,C139,C149,C150)</f>
        <v>2648820</v>
      </c>
      <c r="D151" s="1692">
        <f t="shared" ref="D151:K151" si="16">SUM(D129,D130,D139,D149,D150)</f>
        <v>519287</v>
      </c>
      <c r="E151" s="1692">
        <f t="shared" si="16"/>
        <v>1422035</v>
      </c>
      <c r="F151" s="1692">
        <f t="shared" si="16"/>
        <v>432137</v>
      </c>
      <c r="G151" s="1692">
        <f t="shared" si="16"/>
        <v>48217</v>
      </c>
      <c r="H151" s="1692">
        <f t="shared" si="16"/>
        <v>685</v>
      </c>
      <c r="I151" s="1692">
        <f t="shared" si="16"/>
        <v>409</v>
      </c>
      <c r="J151" s="1692">
        <f t="shared" si="16"/>
        <v>0</v>
      </c>
      <c r="K151" s="1692">
        <f t="shared" si="16"/>
        <v>5071590</v>
      </c>
      <c r="L151" s="1692">
        <f>SUM(L129,L130,L139,L149,L150)</f>
        <v>5635398</v>
      </c>
    </row>
    <row r="152" spans="1:14" ht="12.75" customHeight="1" thickTop="1" x14ac:dyDescent="0.2">
      <c r="A152" s="2222" t="s">
        <v>1239</v>
      </c>
      <c r="B152" s="2223"/>
      <c r="C152" s="619"/>
      <c r="D152" s="619"/>
      <c r="E152" s="619"/>
      <c r="F152" s="619"/>
      <c r="G152" s="619"/>
      <c r="H152" s="619"/>
      <c r="I152" s="619"/>
      <c r="J152" s="617"/>
      <c r="K152" s="1706">
        <f>'Revenues 9-14'!D275-'Expenditures 15-22'!K151</f>
        <v>531819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7" t="s">
        <v>641</v>
      </c>
      <c r="B154" s="220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2507640</v>
      </c>
      <c r="I169" s="617"/>
      <c r="J169" s="617"/>
      <c r="K169" s="1693">
        <f>SUM(C169:H169)</f>
        <v>2507640</v>
      </c>
      <c r="L169" s="657">
        <v>2484518</v>
      </c>
    </row>
    <row r="170" spans="1:14" ht="33.75" customHeight="1" x14ac:dyDescent="0.2">
      <c r="A170" s="670" t="s">
        <v>1768</v>
      </c>
      <c r="B170" s="672" t="s">
        <v>31</v>
      </c>
      <c r="C170" s="617"/>
      <c r="D170" s="617"/>
      <c r="E170" s="617"/>
      <c r="F170" s="617"/>
      <c r="G170" s="617"/>
      <c r="H170" s="569">
        <v>3510000</v>
      </c>
      <c r="I170" s="617"/>
      <c r="J170" s="617"/>
      <c r="K170" s="1693">
        <f>SUM(C170:J170)</f>
        <v>3510000</v>
      </c>
      <c r="L170" s="569">
        <v>3115000</v>
      </c>
    </row>
    <row r="171" spans="1:14" ht="15.75" customHeight="1" x14ac:dyDescent="0.2">
      <c r="A171" s="622" t="s">
        <v>789</v>
      </c>
      <c r="B171" s="673" t="s">
        <v>86</v>
      </c>
      <c r="C171" s="617"/>
      <c r="D171" s="617"/>
      <c r="E171" s="466"/>
      <c r="F171" s="617"/>
      <c r="G171" s="617"/>
      <c r="H171" s="569">
        <v>369863</v>
      </c>
      <c r="I171" s="477"/>
      <c r="J171" s="617"/>
      <c r="K171" s="1693">
        <f>SUM(C171:J171)</f>
        <v>369863</v>
      </c>
      <c r="L171" s="569">
        <v>369150</v>
      </c>
    </row>
    <row r="172" spans="1:14" ht="12.75" customHeight="1" thickBot="1" x14ac:dyDescent="0.25">
      <c r="A172" s="1690" t="s">
        <v>658</v>
      </c>
      <c r="B172" s="1691" t="s">
        <v>512</v>
      </c>
      <c r="C172" s="617"/>
      <c r="D172" s="617"/>
      <c r="E172" s="1699">
        <f>SUM(E168,E169,E170,E171)</f>
        <v>0</v>
      </c>
      <c r="F172" s="617"/>
      <c r="G172" s="617"/>
      <c r="H172" s="1699">
        <f>SUM(H168,H169,H170,H171)</f>
        <v>6387503</v>
      </c>
      <c r="I172" s="639"/>
      <c r="J172" s="617"/>
      <c r="K172" s="1699">
        <f>SUM(K168,K169,K170,K171)</f>
        <v>6387503</v>
      </c>
      <c r="L172" s="1699">
        <f>SUM(L168,L169,L170,L171)</f>
        <v>5968668</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6387503</v>
      </c>
      <c r="I174" s="639"/>
      <c r="J174" s="617"/>
      <c r="K174" s="1699">
        <f>SUM(K160,K172,K173)</f>
        <v>6387503</v>
      </c>
      <c r="L174" s="1699">
        <f>SUM(L160,L172,L173)</f>
        <v>5968668</v>
      </c>
    </row>
    <row r="175" spans="1:14" ht="13.5" thickTop="1" x14ac:dyDescent="0.2">
      <c r="A175" s="2229" t="s">
        <v>1052</v>
      </c>
      <c r="B175" s="2230"/>
      <c r="C175" s="617"/>
      <c r="D175" s="617"/>
      <c r="E175" s="617"/>
      <c r="F175" s="617"/>
      <c r="G175" s="617"/>
      <c r="H175" s="619"/>
      <c r="I175" s="617"/>
      <c r="J175" s="617"/>
      <c r="K175" s="1706">
        <f>'Revenues 9-14'!E275-'Expenditures 15-22'!K174</f>
        <v>-788758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1878536</v>
      </c>
      <c r="D182" s="466">
        <v>447122</v>
      </c>
      <c r="E182" s="466">
        <v>849427</v>
      </c>
      <c r="F182" s="466">
        <v>421950</v>
      </c>
      <c r="G182" s="466">
        <v>36572</v>
      </c>
      <c r="H182" s="466">
        <v>890</v>
      </c>
      <c r="I182" s="467"/>
      <c r="J182" s="467"/>
      <c r="K182" s="1693">
        <f>SUM(C182:J182)</f>
        <v>3634497</v>
      </c>
      <c r="L182" s="466">
        <v>3840079</v>
      </c>
    </row>
    <row r="183" spans="1:14" ht="12.75" customHeight="1" thickBot="1" x14ac:dyDescent="0.25">
      <c r="A183" s="1531" t="s">
        <v>1036</v>
      </c>
      <c r="B183" s="678">
        <v>2900</v>
      </c>
      <c r="C183" s="573"/>
      <c r="D183" s="573"/>
      <c r="E183" s="573">
        <v>18549</v>
      </c>
      <c r="F183" s="573"/>
      <c r="G183" s="573"/>
      <c r="H183" s="573"/>
      <c r="I183" s="532"/>
      <c r="J183" s="532"/>
      <c r="K183" s="1699">
        <f>SUM(C183:J183)</f>
        <v>18549</v>
      </c>
      <c r="L183" s="573">
        <v>45769</v>
      </c>
    </row>
    <row r="184" spans="1:14" ht="12.75" customHeight="1" thickTop="1" thickBot="1" x14ac:dyDescent="0.25">
      <c r="A184" s="1713" t="s">
        <v>864</v>
      </c>
      <c r="B184" s="1691" t="s">
        <v>589</v>
      </c>
      <c r="C184" s="1699">
        <f>SUM(C180,C182,C183)</f>
        <v>1878536</v>
      </c>
      <c r="D184" s="1699">
        <f t="shared" ref="D184:J184" si="17">SUM(D180,D182,D183)</f>
        <v>447122</v>
      </c>
      <c r="E184" s="1699">
        <f t="shared" si="17"/>
        <v>867976</v>
      </c>
      <c r="F184" s="1699">
        <f t="shared" si="17"/>
        <v>421950</v>
      </c>
      <c r="G184" s="1699">
        <f t="shared" si="17"/>
        <v>36572</v>
      </c>
      <c r="H184" s="1699">
        <f t="shared" si="17"/>
        <v>890</v>
      </c>
      <c r="I184" s="1699">
        <f t="shared" si="17"/>
        <v>0</v>
      </c>
      <c r="J184" s="1699">
        <f t="shared" si="17"/>
        <v>0</v>
      </c>
      <c r="K184" s="1699">
        <f>SUM(K180,K182,K183)</f>
        <v>3653046</v>
      </c>
      <c r="L184" s="1699">
        <f>SUM(L180, L182:L183)</f>
        <v>3885848</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1878536</v>
      </c>
      <c r="D210" s="1692">
        <f>SUM(D184,D185)</f>
        <v>447122</v>
      </c>
      <c r="E210" s="1692">
        <f>SUM(E184,E185,E196)</f>
        <v>867976</v>
      </c>
      <c r="F210" s="1692">
        <f>SUM(F184,F185)</f>
        <v>421950</v>
      </c>
      <c r="G210" s="1692">
        <f>SUM(G184,G185)</f>
        <v>36572</v>
      </c>
      <c r="H210" s="1692">
        <f>SUM(H184,H185,H196,H208,H209)</f>
        <v>890</v>
      </c>
      <c r="I210" s="1692">
        <f>SUM(I184,I185)</f>
        <v>0</v>
      </c>
      <c r="J210" s="1692">
        <f>SUM(J184,J185)</f>
        <v>0</v>
      </c>
      <c r="K210" s="1693">
        <f>SUM(K184,K185,K196,K208,K209)</f>
        <v>3653046</v>
      </c>
      <c r="L210" s="1692">
        <f>SUM(L184,L185,L196,L208,L209)</f>
        <v>3885848</v>
      </c>
    </row>
    <row r="211" spans="1:14" ht="13.5" thickTop="1" x14ac:dyDescent="0.2">
      <c r="A211" s="2229" t="s">
        <v>1052</v>
      </c>
      <c r="B211" s="2230"/>
      <c r="C211" s="619"/>
      <c r="D211" s="619"/>
      <c r="E211" s="619"/>
      <c r="F211" s="619"/>
      <c r="G211" s="619"/>
      <c r="H211" s="619"/>
      <c r="I211" s="617"/>
      <c r="J211" s="617"/>
      <c r="K211" s="1706">
        <f>'Revenues 9-14'!F275-'Expenditures 15-22'!K210</f>
        <v>582625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4" t="s">
        <v>1021</v>
      </c>
      <c r="B213" s="222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529870</v>
      </c>
      <c r="E215" s="617"/>
      <c r="F215" s="617"/>
      <c r="G215" s="617"/>
      <c r="H215" s="617"/>
      <c r="I215" s="617"/>
      <c r="J215" s="617"/>
      <c r="K215" s="1693">
        <f>D215</f>
        <v>529870</v>
      </c>
      <c r="L215" s="466">
        <v>413421</v>
      </c>
    </row>
    <row r="216" spans="1:14" x14ac:dyDescent="0.2">
      <c r="A216" s="1526" t="s">
        <v>165</v>
      </c>
      <c r="B216" s="615" t="s">
        <v>1023</v>
      </c>
      <c r="C216" s="617"/>
      <c r="D216" s="467">
        <v>22922</v>
      </c>
      <c r="E216" s="617"/>
      <c r="F216" s="617"/>
      <c r="G216" s="617"/>
      <c r="H216" s="617"/>
      <c r="I216" s="617"/>
      <c r="J216" s="617"/>
      <c r="K216" s="1693">
        <f t="shared" ref="K216:K228" si="19">D216</f>
        <v>22922</v>
      </c>
      <c r="L216" s="466">
        <v>100695</v>
      </c>
    </row>
    <row r="217" spans="1:14" x14ac:dyDescent="0.2">
      <c r="A217" s="1526" t="s">
        <v>166</v>
      </c>
      <c r="B217" s="615">
        <v>1200</v>
      </c>
      <c r="C217" s="617"/>
      <c r="D217" s="466">
        <v>589473</v>
      </c>
      <c r="E217" s="617"/>
      <c r="F217" s="617"/>
      <c r="G217" s="617"/>
      <c r="H217" s="617"/>
      <c r="I217" s="617"/>
      <c r="J217" s="617"/>
      <c r="K217" s="1693">
        <f t="shared" si="19"/>
        <v>589473</v>
      </c>
      <c r="L217" s="466">
        <v>539733</v>
      </c>
    </row>
    <row r="218" spans="1:14" x14ac:dyDescent="0.2">
      <c r="A218" s="1526" t="s">
        <v>295</v>
      </c>
      <c r="B218" s="615" t="s">
        <v>1024</v>
      </c>
      <c r="C218" s="617"/>
      <c r="D218" s="467">
        <v>13538</v>
      </c>
      <c r="E218" s="617"/>
      <c r="F218" s="617"/>
      <c r="G218" s="617"/>
      <c r="H218" s="617"/>
      <c r="I218" s="617"/>
      <c r="J218" s="617"/>
      <c r="K218" s="1693">
        <f t="shared" si="19"/>
        <v>13538</v>
      </c>
      <c r="L218" s="466">
        <v>12073</v>
      </c>
    </row>
    <row r="219" spans="1:14" x14ac:dyDescent="0.2">
      <c r="A219" s="1526" t="s">
        <v>296</v>
      </c>
      <c r="B219" s="615">
        <v>1250</v>
      </c>
      <c r="C219" s="617"/>
      <c r="D219" s="466">
        <v>12287</v>
      </c>
      <c r="E219" s="617"/>
      <c r="F219" s="617"/>
      <c r="G219" s="617"/>
      <c r="H219" s="617"/>
      <c r="I219" s="617"/>
      <c r="J219" s="617"/>
      <c r="K219" s="1693">
        <f t="shared" si="19"/>
        <v>12287</v>
      </c>
      <c r="L219" s="466">
        <v>10202</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v>49</v>
      </c>
      <c r="E221" s="617"/>
      <c r="F221" s="617"/>
      <c r="G221" s="617"/>
      <c r="H221" s="617"/>
      <c r="I221" s="617"/>
      <c r="J221" s="617"/>
      <c r="K221" s="1693">
        <f t="shared" si="19"/>
        <v>49</v>
      </c>
      <c r="L221" s="466">
        <v>29</v>
      </c>
    </row>
    <row r="222" spans="1:14" x14ac:dyDescent="0.2">
      <c r="A222" s="1526" t="s">
        <v>746</v>
      </c>
      <c r="B222" s="615">
        <v>1400</v>
      </c>
      <c r="C222" s="617"/>
      <c r="D222" s="466">
        <v>8382</v>
      </c>
      <c r="E222" s="617"/>
      <c r="F222" s="617"/>
      <c r="G222" s="617"/>
      <c r="H222" s="617"/>
      <c r="I222" s="617"/>
      <c r="J222" s="617"/>
      <c r="K222" s="1693">
        <f t="shared" si="19"/>
        <v>8382</v>
      </c>
      <c r="L222" s="466">
        <v>10157</v>
      </c>
    </row>
    <row r="223" spans="1:14" x14ac:dyDescent="0.2">
      <c r="A223" s="1526" t="s">
        <v>1019</v>
      </c>
      <c r="B223" s="615">
        <v>1500</v>
      </c>
      <c r="C223" s="617"/>
      <c r="D223" s="466">
        <v>25780</v>
      </c>
      <c r="E223" s="617"/>
      <c r="F223" s="617"/>
      <c r="G223" s="617"/>
      <c r="H223" s="617"/>
      <c r="I223" s="617"/>
      <c r="J223" s="617"/>
      <c r="K223" s="1693">
        <f t="shared" si="19"/>
        <v>25780</v>
      </c>
      <c r="L223" s="466">
        <v>31979</v>
      </c>
    </row>
    <row r="224" spans="1:14" x14ac:dyDescent="0.2">
      <c r="A224" s="1526" t="s">
        <v>1020</v>
      </c>
      <c r="B224" s="615">
        <v>1600</v>
      </c>
      <c r="C224" s="617"/>
      <c r="D224" s="466">
        <v>8438</v>
      </c>
      <c r="E224" s="617"/>
      <c r="F224" s="617"/>
      <c r="G224" s="617"/>
      <c r="H224" s="617"/>
      <c r="I224" s="617"/>
      <c r="J224" s="617"/>
      <c r="K224" s="1693">
        <f t="shared" si="19"/>
        <v>8438</v>
      </c>
      <c r="L224" s="466">
        <v>9228</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2010</v>
      </c>
      <c r="E226" s="617"/>
      <c r="F226" s="617"/>
      <c r="G226" s="617"/>
      <c r="H226" s="617"/>
      <c r="I226" s="617"/>
      <c r="J226" s="617"/>
      <c r="K226" s="1693">
        <f t="shared" si="19"/>
        <v>2010</v>
      </c>
      <c r="L226" s="466">
        <v>1642</v>
      </c>
    </row>
    <row r="227" spans="1:12" x14ac:dyDescent="0.2">
      <c r="A227" s="1526" t="s">
        <v>1147</v>
      </c>
      <c r="B227" s="615">
        <v>1800</v>
      </c>
      <c r="C227" s="617"/>
      <c r="D227" s="466">
        <v>351</v>
      </c>
      <c r="E227" s="617"/>
      <c r="F227" s="617"/>
      <c r="G227" s="617"/>
      <c r="H227" s="617"/>
      <c r="I227" s="617"/>
      <c r="J227" s="617"/>
      <c r="K227" s="1693">
        <f t="shared" si="19"/>
        <v>351</v>
      </c>
      <c r="L227" s="466">
        <v>429</v>
      </c>
    </row>
    <row r="228" spans="1:12" x14ac:dyDescent="0.2">
      <c r="A228" s="1526" t="s">
        <v>1148</v>
      </c>
      <c r="B228" s="615">
        <v>1900</v>
      </c>
      <c r="C228" s="617"/>
      <c r="D228" s="466">
        <v>4746</v>
      </c>
      <c r="E228" s="617"/>
      <c r="F228" s="617"/>
      <c r="G228" s="617"/>
      <c r="H228" s="617"/>
      <c r="I228" s="617"/>
      <c r="J228" s="617"/>
      <c r="K228" s="1693">
        <f t="shared" si="19"/>
        <v>4746</v>
      </c>
      <c r="L228" s="466">
        <v>4267</v>
      </c>
    </row>
    <row r="229" spans="1:12" ht="12.75" customHeight="1" thickBot="1" x14ac:dyDescent="0.25">
      <c r="A229" s="1690" t="s">
        <v>738</v>
      </c>
      <c r="B229" s="1697" t="s">
        <v>590</v>
      </c>
      <c r="C229" s="617"/>
      <c r="D229" s="1692">
        <f>SUM(D215:D228)</f>
        <v>1217846</v>
      </c>
      <c r="E229" s="617"/>
      <c r="F229" s="617"/>
      <c r="G229" s="617"/>
      <c r="H229" s="617"/>
      <c r="I229" s="617"/>
      <c r="J229" s="617"/>
      <c r="K229" s="1692">
        <f>SUM(K215:K228)</f>
        <v>1217846</v>
      </c>
      <c r="L229" s="1692">
        <f>SUM(L215:L228)</f>
        <v>1133855</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34236</v>
      </c>
      <c r="E232" s="617"/>
      <c r="F232" s="617"/>
      <c r="G232" s="617"/>
      <c r="H232" s="617"/>
      <c r="I232" s="617"/>
      <c r="J232" s="617"/>
      <c r="K232" s="1693">
        <f t="shared" ref="K232:K237" si="20">D232</f>
        <v>34236</v>
      </c>
      <c r="L232" s="466">
        <v>33073</v>
      </c>
    </row>
    <row r="233" spans="1:12" x14ac:dyDescent="0.2">
      <c r="A233" s="1526" t="s">
        <v>1150</v>
      </c>
      <c r="B233" s="615">
        <v>2120</v>
      </c>
      <c r="C233" s="617"/>
      <c r="D233" s="466">
        <v>29182</v>
      </c>
      <c r="E233" s="617"/>
      <c r="F233" s="617"/>
      <c r="G233" s="617"/>
      <c r="H233" s="617"/>
      <c r="I233" s="617"/>
      <c r="J233" s="617"/>
      <c r="K233" s="1693">
        <f t="shared" si="20"/>
        <v>29182</v>
      </c>
      <c r="L233" s="466">
        <v>27882</v>
      </c>
    </row>
    <row r="234" spans="1:12" x14ac:dyDescent="0.2">
      <c r="A234" s="1526" t="s">
        <v>207</v>
      </c>
      <c r="B234" s="615">
        <v>2130</v>
      </c>
      <c r="C234" s="617"/>
      <c r="D234" s="466">
        <v>125079</v>
      </c>
      <c r="E234" s="617"/>
      <c r="F234" s="617"/>
      <c r="G234" s="617"/>
      <c r="H234" s="617"/>
      <c r="I234" s="617"/>
      <c r="J234" s="617"/>
      <c r="K234" s="1693">
        <f t="shared" si="20"/>
        <v>125079</v>
      </c>
      <c r="L234" s="466">
        <v>117392</v>
      </c>
    </row>
    <row r="235" spans="1:12" x14ac:dyDescent="0.2">
      <c r="A235" s="1526" t="s">
        <v>208</v>
      </c>
      <c r="B235" s="615">
        <v>2140</v>
      </c>
      <c r="C235" s="617"/>
      <c r="D235" s="466">
        <v>4813</v>
      </c>
      <c r="E235" s="617"/>
      <c r="F235" s="617"/>
      <c r="G235" s="617"/>
      <c r="H235" s="617"/>
      <c r="I235" s="617"/>
      <c r="J235" s="617"/>
      <c r="K235" s="1693">
        <f t="shared" si="20"/>
        <v>4813</v>
      </c>
      <c r="L235" s="466">
        <v>3554</v>
      </c>
    </row>
    <row r="236" spans="1:12" x14ac:dyDescent="0.2">
      <c r="A236" s="1526" t="s">
        <v>209</v>
      </c>
      <c r="B236" s="615">
        <v>2150</v>
      </c>
      <c r="C236" s="617"/>
      <c r="D236" s="466">
        <v>1148</v>
      </c>
      <c r="E236" s="617"/>
      <c r="F236" s="617"/>
      <c r="G236" s="617"/>
      <c r="H236" s="617"/>
      <c r="I236" s="617"/>
      <c r="J236" s="617"/>
      <c r="K236" s="1693">
        <f t="shared" si="20"/>
        <v>1148</v>
      </c>
      <c r="L236" s="466">
        <v>1137</v>
      </c>
    </row>
    <row r="237" spans="1:12" x14ac:dyDescent="0.2">
      <c r="A237" s="1526" t="s">
        <v>167</v>
      </c>
      <c r="B237" s="615">
        <v>2190</v>
      </c>
      <c r="C237" s="617"/>
      <c r="D237" s="466">
        <v>7764</v>
      </c>
      <c r="E237" s="617"/>
      <c r="F237" s="617"/>
      <c r="G237" s="617"/>
      <c r="H237" s="617"/>
      <c r="I237" s="617"/>
      <c r="J237" s="617"/>
      <c r="K237" s="1693">
        <f t="shared" si="20"/>
        <v>7764</v>
      </c>
      <c r="L237" s="466">
        <v>6336</v>
      </c>
    </row>
    <row r="238" spans="1:12" ht="12.75" customHeight="1" thickBot="1" x14ac:dyDescent="0.25">
      <c r="A238" s="1690" t="s">
        <v>580</v>
      </c>
      <c r="B238" s="1697" t="s">
        <v>739</v>
      </c>
      <c r="C238" s="617"/>
      <c r="D238" s="1692">
        <f>SUM(D232:D237)</f>
        <v>202222</v>
      </c>
      <c r="E238" s="617"/>
      <c r="F238" s="617"/>
      <c r="G238" s="617"/>
      <c r="H238" s="617"/>
      <c r="I238" s="617"/>
      <c r="J238" s="617"/>
      <c r="K238" s="1692">
        <f>SUM(K232:K237)</f>
        <v>202222</v>
      </c>
      <c r="L238" s="1692">
        <f>SUM(L232:L237)</f>
        <v>189374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75030</v>
      </c>
      <c r="E240" s="617"/>
      <c r="F240" s="617"/>
      <c r="G240" s="617"/>
      <c r="H240" s="617"/>
      <c r="I240" s="617"/>
      <c r="J240" s="617"/>
      <c r="K240" s="1694">
        <f>D240</f>
        <v>75030</v>
      </c>
      <c r="L240" s="481">
        <v>78787</v>
      </c>
    </row>
    <row r="241" spans="1:12" x14ac:dyDescent="0.2">
      <c r="A241" s="1526" t="s">
        <v>868</v>
      </c>
      <c r="B241" s="615">
        <v>2220</v>
      </c>
      <c r="C241" s="617"/>
      <c r="D241" s="466">
        <v>18241</v>
      </c>
      <c r="E241" s="617"/>
      <c r="F241" s="617"/>
      <c r="G241" s="617"/>
      <c r="H241" s="617"/>
      <c r="I241" s="617"/>
      <c r="J241" s="617"/>
      <c r="K241" s="1694">
        <f>D241</f>
        <v>18241</v>
      </c>
      <c r="L241" s="466">
        <v>18899</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93271</v>
      </c>
      <c r="E243" s="617"/>
      <c r="F243" s="617"/>
      <c r="G243" s="617"/>
      <c r="H243" s="617"/>
      <c r="I243" s="617"/>
      <c r="J243" s="617"/>
      <c r="K243" s="1692">
        <f>SUM(K240:K242)</f>
        <v>93271</v>
      </c>
      <c r="L243" s="1692">
        <f>SUM(L240:L242)</f>
        <v>97686</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28052</v>
      </c>
      <c r="E245" s="617"/>
      <c r="F245" s="617"/>
      <c r="G245" s="617"/>
      <c r="H245" s="617"/>
      <c r="I245" s="617"/>
      <c r="J245" s="617"/>
      <c r="K245" s="1694">
        <f>D245</f>
        <v>28052</v>
      </c>
      <c r="L245" s="481">
        <v>572</v>
      </c>
    </row>
    <row r="246" spans="1:12" x14ac:dyDescent="0.2">
      <c r="A246" s="1526" t="s">
        <v>871</v>
      </c>
      <c r="B246" s="615">
        <v>2320</v>
      </c>
      <c r="C246" s="617"/>
      <c r="D246" s="466">
        <v>3311</v>
      </c>
      <c r="E246" s="617"/>
      <c r="F246" s="617"/>
      <c r="G246" s="617"/>
      <c r="H246" s="617"/>
      <c r="I246" s="617"/>
      <c r="J246" s="617"/>
      <c r="K246" s="1694">
        <f t="shared" ref="K246:K256" si="21">D246</f>
        <v>3311</v>
      </c>
      <c r="L246" s="466">
        <v>3044</v>
      </c>
    </row>
    <row r="247" spans="1:12" x14ac:dyDescent="0.2">
      <c r="A247" s="1526" t="s">
        <v>872</v>
      </c>
      <c r="B247" s="615">
        <v>2330</v>
      </c>
      <c r="C247" s="617"/>
      <c r="D247" s="466">
        <v>27904</v>
      </c>
      <c r="E247" s="617"/>
      <c r="F247" s="617"/>
      <c r="G247" s="617"/>
      <c r="H247" s="617"/>
      <c r="I247" s="617"/>
      <c r="J247" s="617"/>
      <c r="K247" s="1694">
        <f t="shared" si="21"/>
        <v>27904</v>
      </c>
      <c r="L247" s="466">
        <v>23013</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v>4704</v>
      </c>
      <c r="E254" s="617"/>
      <c r="F254" s="617"/>
      <c r="G254" s="617"/>
      <c r="H254" s="617"/>
      <c r="I254" s="617"/>
      <c r="J254" s="617"/>
      <c r="K254" s="1694">
        <f t="shared" si="21"/>
        <v>4704</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63971</v>
      </c>
      <c r="E257" s="617"/>
      <c r="F257" s="617"/>
      <c r="G257" s="617"/>
      <c r="H257" s="617"/>
      <c r="I257" s="617"/>
      <c r="J257" s="617"/>
      <c r="K257" s="1692">
        <f>SUM(K245:K256)</f>
        <v>63971</v>
      </c>
      <c r="L257" s="1692">
        <f>SUM(L245:L256)</f>
        <v>26629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194938</v>
      </c>
      <c r="E259" s="617"/>
      <c r="F259" s="617"/>
      <c r="G259" s="617"/>
      <c r="H259" s="617"/>
      <c r="I259" s="617"/>
      <c r="J259" s="617"/>
      <c r="K259" s="1694">
        <f>D259</f>
        <v>194938</v>
      </c>
      <c r="L259" s="481">
        <v>206164</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194938</v>
      </c>
      <c r="E261" s="617"/>
      <c r="F261" s="617"/>
      <c r="G261" s="617"/>
      <c r="H261" s="617"/>
      <c r="I261" s="617"/>
      <c r="J261" s="617"/>
      <c r="K261" s="1692">
        <f>SUM(K259:K260)</f>
        <v>194938</v>
      </c>
      <c r="L261" s="1692">
        <f>SUM(L259:L260)</f>
        <v>206164</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19202</v>
      </c>
      <c r="E263" s="617"/>
      <c r="F263" s="617"/>
      <c r="G263" s="617"/>
      <c r="H263" s="617"/>
      <c r="I263" s="617"/>
      <c r="J263" s="617"/>
      <c r="K263" s="1694">
        <f>D263</f>
        <v>19202</v>
      </c>
      <c r="L263" s="481">
        <v>28684</v>
      </c>
    </row>
    <row r="264" spans="1:14" x14ac:dyDescent="0.2">
      <c r="A264" s="1526" t="s">
        <v>482</v>
      </c>
      <c r="B264" s="686">
        <v>2520</v>
      </c>
      <c r="C264" s="617"/>
      <c r="D264" s="466">
        <v>21656</v>
      </c>
      <c r="E264" s="617"/>
      <c r="F264" s="617"/>
      <c r="G264" s="617"/>
      <c r="H264" s="617"/>
      <c r="I264" s="617"/>
      <c r="J264" s="617"/>
      <c r="K264" s="1694">
        <f t="shared" ref="K264:K269" si="22">D264</f>
        <v>21656</v>
      </c>
      <c r="L264" s="466">
        <v>38931</v>
      </c>
    </row>
    <row r="265" spans="1:14" x14ac:dyDescent="0.2">
      <c r="A265" s="1526" t="s">
        <v>4</v>
      </c>
      <c r="B265" s="615">
        <v>2530</v>
      </c>
      <c r="C265" s="617"/>
      <c r="D265" s="466">
        <v>13324</v>
      </c>
      <c r="E265" s="617"/>
      <c r="F265" s="617"/>
      <c r="G265" s="617"/>
      <c r="H265" s="617"/>
      <c r="I265" s="617"/>
      <c r="J265" s="617"/>
      <c r="K265" s="1694">
        <f t="shared" si="22"/>
        <v>13324</v>
      </c>
      <c r="L265" s="466">
        <v>2904</v>
      </c>
    </row>
    <row r="266" spans="1:14" x14ac:dyDescent="0.2">
      <c r="A266" s="1526" t="s">
        <v>206</v>
      </c>
      <c r="B266" s="615">
        <v>2540</v>
      </c>
      <c r="C266" s="617"/>
      <c r="D266" s="466">
        <v>676152</v>
      </c>
      <c r="E266" s="617"/>
      <c r="F266" s="617"/>
      <c r="G266" s="617"/>
      <c r="H266" s="617"/>
      <c r="I266" s="617"/>
      <c r="J266" s="617"/>
      <c r="K266" s="1694">
        <f t="shared" si="22"/>
        <v>676152</v>
      </c>
      <c r="L266" s="466">
        <v>713484</v>
      </c>
    </row>
    <row r="267" spans="1:14" x14ac:dyDescent="0.2">
      <c r="A267" s="1526" t="s">
        <v>1009</v>
      </c>
      <c r="B267" s="615">
        <v>2550</v>
      </c>
      <c r="C267" s="617"/>
      <c r="D267" s="466">
        <v>347550</v>
      </c>
      <c r="E267" s="617"/>
      <c r="F267" s="617"/>
      <c r="G267" s="617"/>
      <c r="H267" s="617"/>
      <c r="I267" s="617"/>
      <c r="J267" s="617"/>
      <c r="K267" s="1694">
        <f t="shared" si="22"/>
        <v>347550</v>
      </c>
      <c r="L267" s="466">
        <v>360928</v>
      </c>
    </row>
    <row r="268" spans="1:14" x14ac:dyDescent="0.2">
      <c r="A268" s="1526" t="s">
        <v>102</v>
      </c>
      <c r="B268" s="615">
        <v>2560</v>
      </c>
      <c r="C268" s="617"/>
      <c r="D268" s="466">
        <v>219165</v>
      </c>
      <c r="E268" s="617"/>
      <c r="F268" s="617"/>
      <c r="G268" s="617"/>
      <c r="H268" s="617"/>
      <c r="I268" s="617"/>
      <c r="J268" s="617"/>
      <c r="K268" s="1694">
        <f t="shared" si="22"/>
        <v>219165</v>
      </c>
      <c r="L268" s="466">
        <v>235931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1297049</v>
      </c>
      <c r="E270" s="617"/>
      <c r="F270" s="617"/>
      <c r="G270" s="617"/>
      <c r="H270" s="617"/>
      <c r="I270" s="617"/>
      <c r="J270" s="617"/>
      <c r="K270" s="1692">
        <f>SUM(K263:K269)</f>
        <v>1297049</v>
      </c>
      <c r="L270" s="1692">
        <f>SUM(L263:L269)</f>
        <v>1380862</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1525</v>
      </c>
      <c r="E272" s="617"/>
      <c r="F272" s="617"/>
      <c r="G272" s="617"/>
      <c r="H272" s="617"/>
      <c r="I272" s="617"/>
      <c r="J272" s="617"/>
      <c r="K272" s="1694">
        <f>D272</f>
        <v>1525</v>
      </c>
      <c r="L272" s="481">
        <v>19687</v>
      </c>
    </row>
    <row r="273" spans="1:12" x14ac:dyDescent="0.2">
      <c r="A273" s="1526" t="s">
        <v>627</v>
      </c>
      <c r="B273" s="629">
        <v>2620</v>
      </c>
      <c r="C273" s="617"/>
      <c r="D273" s="466">
        <v>1100</v>
      </c>
      <c r="E273" s="617"/>
      <c r="F273" s="617"/>
      <c r="G273" s="617"/>
      <c r="H273" s="617"/>
      <c r="I273" s="617"/>
      <c r="J273" s="617"/>
      <c r="K273" s="1694">
        <f>D273</f>
        <v>1100</v>
      </c>
      <c r="L273" s="466"/>
    </row>
    <row r="274" spans="1:12" ht="12" customHeight="1" x14ac:dyDescent="0.2">
      <c r="A274" s="1526" t="s">
        <v>1120</v>
      </c>
      <c r="B274" s="615">
        <v>2630</v>
      </c>
      <c r="C274" s="617"/>
      <c r="D274" s="466">
        <v>4787</v>
      </c>
      <c r="E274" s="617"/>
      <c r="F274" s="617"/>
      <c r="G274" s="617"/>
      <c r="H274" s="617"/>
      <c r="I274" s="617"/>
      <c r="J274" s="617"/>
      <c r="K274" s="1694">
        <f>D274</f>
        <v>4787</v>
      </c>
      <c r="L274" s="466">
        <v>5350</v>
      </c>
    </row>
    <row r="275" spans="1:12" x14ac:dyDescent="0.2">
      <c r="A275" s="1526" t="s">
        <v>422</v>
      </c>
      <c r="B275" s="615">
        <v>2640</v>
      </c>
      <c r="C275" s="617"/>
      <c r="D275" s="466">
        <v>42936</v>
      </c>
      <c r="E275" s="617"/>
      <c r="F275" s="617"/>
      <c r="G275" s="617"/>
      <c r="H275" s="617"/>
      <c r="I275" s="617"/>
      <c r="J275" s="617"/>
      <c r="K275" s="1694">
        <f>D275</f>
        <v>42936</v>
      </c>
      <c r="L275" s="466">
        <v>38561</v>
      </c>
    </row>
    <row r="276" spans="1:12" x14ac:dyDescent="0.2">
      <c r="A276" s="1526" t="s">
        <v>423</v>
      </c>
      <c r="B276" s="615">
        <v>2660</v>
      </c>
      <c r="C276" s="617"/>
      <c r="D276" s="466">
        <v>29484</v>
      </c>
      <c r="E276" s="617"/>
      <c r="F276" s="617"/>
      <c r="G276" s="617"/>
      <c r="H276" s="617"/>
      <c r="I276" s="617"/>
      <c r="J276" s="617"/>
      <c r="K276" s="1694">
        <f>D276</f>
        <v>29484</v>
      </c>
      <c r="L276" s="466">
        <v>33624</v>
      </c>
    </row>
    <row r="277" spans="1:12" ht="12.75" customHeight="1" thickBot="1" x14ac:dyDescent="0.25">
      <c r="A277" s="1713" t="s">
        <v>37</v>
      </c>
      <c r="B277" s="1691" t="s">
        <v>36</v>
      </c>
      <c r="C277" s="617"/>
      <c r="D277" s="1692">
        <f>SUM(D272:D276)</f>
        <v>79832</v>
      </c>
      <c r="E277" s="617"/>
      <c r="F277" s="617"/>
      <c r="G277" s="617"/>
      <c r="H277" s="617"/>
      <c r="I277" s="617"/>
      <c r="J277" s="617"/>
      <c r="K277" s="1692">
        <f>SUM(K272:K276)</f>
        <v>79832</v>
      </c>
      <c r="L277" s="1692">
        <f>SUM(L272:L276)</f>
        <v>97222</v>
      </c>
    </row>
    <row r="278" spans="1:12" ht="13.5" customHeight="1" thickTop="1" x14ac:dyDescent="0.2">
      <c r="A278" s="1532" t="s">
        <v>1036</v>
      </c>
      <c r="B278" s="656" t="s">
        <v>594</v>
      </c>
      <c r="C278" s="617"/>
      <c r="D278" s="657">
        <v>6046</v>
      </c>
      <c r="E278" s="617"/>
      <c r="F278" s="617"/>
      <c r="G278" s="617"/>
      <c r="H278" s="617"/>
      <c r="I278" s="617"/>
      <c r="J278" s="617"/>
      <c r="K278" s="1707">
        <f>D278</f>
        <v>6046</v>
      </c>
      <c r="L278" s="657">
        <v>157</v>
      </c>
    </row>
    <row r="279" spans="1:12" ht="12.75" customHeight="1" thickBot="1" x14ac:dyDescent="0.25">
      <c r="A279" s="1720" t="s">
        <v>864</v>
      </c>
      <c r="B279" s="1703">
        <v>2000</v>
      </c>
      <c r="C279" s="617"/>
      <c r="D279" s="1699">
        <f>SUM(D238,D243,D257,D261,D270,D277,D278)</f>
        <v>1937329</v>
      </c>
      <c r="E279" s="617"/>
      <c r="F279" s="617"/>
      <c r="G279" s="617"/>
      <c r="H279" s="617"/>
      <c r="I279" s="617"/>
      <c r="J279" s="617"/>
      <c r="K279" s="1699">
        <f>SUM(K238,K243,K257,K261,K270,K277,K278)</f>
        <v>1937329</v>
      </c>
      <c r="L279" s="1699">
        <f>SUM(L238,L243,L257,L261,L270,L277,L278)</f>
        <v>1998094</v>
      </c>
    </row>
    <row r="280" spans="1:12" ht="15.75" customHeight="1" thickTop="1" thickBot="1" x14ac:dyDescent="0.25">
      <c r="A280" s="1646" t="s">
        <v>929</v>
      </c>
      <c r="B280" s="1635">
        <v>3000</v>
      </c>
      <c r="C280" s="617"/>
      <c r="D280" s="576">
        <v>14319</v>
      </c>
      <c r="E280" s="617"/>
      <c r="F280" s="617"/>
      <c r="G280" s="617"/>
      <c r="H280" s="617"/>
      <c r="I280" s="617"/>
      <c r="J280" s="617"/>
      <c r="K280" s="1701">
        <f>D280</f>
        <v>14319</v>
      </c>
      <c r="L280" s="576">
        <v>10159</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24200</v>
      </c>
    </row>
    <row r="295" spans="1:14" ht="12.75" customHeight="1" thickTop="1" thickBot="1" x14ac:dyDescent="0.25">
      <c r="A295" s="2220" t="s">
        <v>525</v>
      </c>
      <c r="B295" s="2221"/>
      <c r="C295" s="617"/>
      <c r="D295" s="1692">
        <f>SUM(D229,D279,D280,D285)</f>
        <v>3169494</v>
      </c>
      <c r="E295" s="617"/>
      <c r="F295" s="617"/>
      <c r="G295" s="617"/>
      <c r="H295" s="1692">
        <f>H293</f>
        <v>0</v>
      </c>
      <c r="I295" s="617"/>
      <c r="J295" s="617"/>
      <c r="K295" s="1692">
        <f>SUM(K229,K279,K280,K285,K293,K294)</f>
        <v>3169494</v>
      </c>
      <c r="L295" s="1692">
        <f>SUM(L229,L279,L280,L285,L293,L294)</f>
        <v>3166308</v>
      </c>
    </row>
    <row r="296" spans="1:14" ht="13.5" thickTop="1" x14ac:dyDescent="0.2">
      <c r="A296" s="2229" t="s">
        <v>1052</v>
      </c>
      <c r="B296" s="2230"/>
      <c r="C296" s="617"/>
      <c r="D296" s="619"/>
      <c r="E296" s="617"/>
      <c r="F296" s="617"/>
      <c r="G296" s="617"/>
      <c r="H296" s="688"/>
      <c r="I296" s="617"/>
      <c r="J296" s="617"/>
      <c r="K296" s="1706">
        <f>'Revenues 9-14'!G275-'Expenditures 15-22'!K295</f>
        <v>370857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2" t="s">
        <v>145</v>
      </c>
      <c r="B298" s="220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56400</v>
      </c>
      <c r="D301" s="466"/>
      <c r="E301" s="466">
        <v>61564</v>
      </c>
      <c r="F301" s="466"/>
      <c r="G301" s="466">
        <v>27345889</v>
      </c>
      <c r="H301" s="466"/>
      <c r="I301" s="467">
        <v>100</v>
      </c>
      <c r="J301" s="467"/>
      <c r="K301" s="1693">
        <f>SUM(C301:J301)</f>
        <v>27463953</v>
      </c>
      <c r="L301" s="467">
        <v>36194405</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56400</v>
      </c>
      <c r="D303" s="1699">
        <f t="shared" ref="D303:L303" si="23">SUM(D301:D302)</f>
        <v>0</v>
      </c>
      <c r="E303" s="1699">
        <f t="shared" si="23"/>
        <v>61564</v>
      </c>
      <c r="F303" s="1699">
        <f t="shared" si="23"/>
        <v>0</v>
      </c>
      <c r="G303" s="1699">
        <f t="shared" si="23"/>
        <v>27345889</v>
      </c>
      <c r="H303" s="1699">
        <f t="shared" si="23"/>
        <v>0</v>
      </c>
      <c r="I303" s="1699">
        <f t="shared" si="23"/>
        <v>100</v>
      </c>
      <c r="J303" s="1699">
        <f t="shared" si="23"/>
        <v>0</v>
      </c>
      <c r="K303" s="1699">
        <f t="shared" si="23"/>
        <v>27463953</v>
      </c>
      <c r="L303" s="1699">
        <f t="shared" si="23"/>
        <v>36194405</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217" t="s">
        <v>294</v>
      </c>
      <c r="B312" s="2218"/>
      <c r="C312" s="1692">
        <f>SUM(C303)</f>
        <v>56400</v>
      </c>
      <c r="D312" s="1692">
        <f>SUM(D303)</f>
        <v>0</v>
      </c>
      <c r="E312" s="1692">
        <f>SUM(E303,E310)</f>
        <v>61564</v>
      </c>
      <c r="F312" s="1692">
        <f>SUM(F303)</f>
        <v>0</v>
      </c>
      <c r="G312" s="1692">
        <f>SUM(G303)</f>
        <v>27345889</v>
      </c>
      <c r="H312" s="1692">
        <f>SUM(H303,H310)</f>
        <v>0</v>
      </c>
      <c r="I312" s="1692">
        <f>SUM(I303)</f>
        <v>100</v>
      </c>
      <c r="J312" s="1692">
        <f>SUM(J303)</f>
        <v>0</v>
      </c>
      <c r="K312" s="1692">
        <f>SUM(K303,K310,K311)</f>
        <v>27463953</v>
      </c>
      <c r="L312" s="1692">
        <f>SUM(L303,L310,L311)</f>
        <v>36194405</v>
      </c>
      <c r="M312" s="666"/>
      <c r="N312" s="666"/>
    </row>
    <row r="313" spans="1:14" ht="13.5" thickTop="1" x14ac:dyDescent="0.2">
      <c r="A313" s="2213" t="s">
        <v>1052</v>
      </c>
      <c r="B313" s="2214"/>
      <c r="C313" s="627"/>
      <c r="D313" s="627"/>
      <c r="E313" s="627"/>
      <c r="F313" s="627"/>
      <c r="G313" s="627"/>
      <c r="H313" s="627"/>
      <c r="I313" s="627"/>
      <c r="J313" s="627"/>
      <c r="K313" s="1707">
        <f>'Revenues 9-14'!H275-'Expenditures 15-22'!K312</f>
        <v>-27288544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6" t="s">
        <v>151</v>
      </c>
      <c r="B315" s="222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8" t="s">
        <v>953</v>
      </c>
      <c r="B317" s="222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596828</v>
      </c>
      <c r="F320" s="467"/>
      <c r="G320" s="467"/>
      <c r="H320" s="467"/>
      <c r="I320" s="467"/>
      <c r="J320" s="467"/>
      <c r="K320" s="1693">
        <f t="shared" ref="K320:K327" si="24">SUM(C320:J320)</f>
        <v>596828</v>
      </c>
      <c r="L320" s="467">
        <v>532427</v>
      </c>
      <c r="M320" s="666"/>
      <c r="N320" s="666"/>
    </row>
    <row r="321" spans="1:14" s="675" customFormat="1" x14ac:dyDescent="0.2">
      <c r="A321" s="1541" t="s">
        <v>317</v>
      </c>
      <c r="B321" s="698" t="s">
        <v>300</v>
      </c>
      <c r="C321" s="467"/>
      <c r="D321" s="467"/>
      <c r="E321" s="467">
        <v>2840</v>
      </c>
      <c r="F321" s="467"/>
      <c r="G321" s="467"/>
      <c r="H321" s="467"/>
      <c r="I321" s="467"/>
      <c r="J321" s="467"/>
      <c r="K321" s="1693">
        <f t="shared" si="24"/>
        <v>2840</v>
      </c>
      <c r="L321" s="467">
        <v>4000</v>
      </c>
      <c r="M321" s="666"/>
      <c r="N321" s="666"/>
    </row>
    <row r="322" spans="1:14" s="675" customFormat="1" x14ac:dyDescent="0.2">
      <c r="A322" s="1541" t="s">
        <v>256</v>
      </c>
      <c r="B322" s="698" t="s">
        <v>301</v>
      </c>
      <c r="C322" s="467"/>
      <c r="D322" s="467"/>
      <c r="E322" s="467">
        <v>243102</v>
      </c>
      <c r="F322" s="467"/>
      <c r="G322" s="467"/>
      <c r="H322" s="467"/>
      <c r="I322" s="467"/>
      <c r="J322" s="467"/>
      <c r="K322" s="1693">
        <f t="shared" si="24"/>
        <v>243102</v>
      </c>
      <c r="L322" s="467">
        <v>243102</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v>9172</v>
      </c>
      <c r="I324" s="467"/>
      <c r="J324" s="467"/>
      <c r="K324" s="1693">
        <f t="shared" si="24"/>
        <v>9172</v>
      </c>
      <c r="L324" s="467">
        <v>15000</v>
      </c>
      <c r="M324" s="666"/>
      <c r="N324" s="666"/>
    </row>
    <row r="325" spans="1:14" s="675" customFormat="1" ht="22.5" x14ac:dyDescent="0.2">
      <c r="A325" s="1541" t="s">
        <v>1086</v>
      </c>
      <c r="B325" s="699" t="s">
        <v>304</v>
      </c>
      <c r="C325" s="467">
        <v>907071</v>
      </c>
      <c r="D325" s="467">
        <v>237782</v>
      </c>
      <c r="E325" s="467">
        <v>290015</v>
      </c>
      <c r="F325" s="467">
        <v>13825</v>
      </c>
      <c r="G325" s="467">
        <v>89706</v>
      </c>
      <c r="H325" s="467">
        <v>600</v>
      </c>
      <c r="I325" s="467"/>
      <c r="J325" s="467"/>
      <c r="K325" s="1693">
        <f t="shared" si="24"/>
        <v>1538999</v>
      </c>
      <c r="L325" s="467">
        <v>1686650</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907071</v>
      </c>
      <c r="D330" s="1692">
        <f t="shared" ref="D330:J330" si="25">SUM(D319:D329)</f>
        <v>237782</v>
      </c>
      <c r="E330" s="1692">
        <f t="shared" si="25"/>
        <v>1132785</v>
      </c>
      <c r="F330" s="1692">
        <f t="shared" si="25"/>
        <v>13825</v>
      </c>
      <c r="G330" s="1692">
        <f t="shared" si="25"/>
        <v>89706</v>
      </c>
      <c r="H330" s="1692">
        <f t="shared" si="25"/>
        <v>9772</v>
      </c>
      <c r="I330" s="1692">
        <f t="shared" si="25"/>
        <v>0</v>
      </c>
      <c r="J330" s="1692">
        <f t="shared" si="25"/>
        <v>0</v>
      </c>
      <c r="K330" s="1692">
        <f>SUM(K319:K329)</f>
        <v>2390941</v>
      </c>
      <c r="L330" s="1692">
        <f>SUM(L319:L329)</f>
        <v>2481179</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907071</v>
      </c>
      <c r="D342" s="1692">
        <f>SUM(D330)</f>
        <v>237782</v>
      </c>
      <c r="E342" s="1692">
        <f>SUM(E330)</f>
        <v>1132785</v>
      </c>
      <c r="F342" s="1692">
        <f>SUM(F330)</f>
        <v>13825</v>
      </c>
      <c r="G342" s="1692">
        <f>SUM(G330)</f>
        <v>89706</v>
      </c>
      <c r="H342" s="1692">
        <f>SUM(H330,H334,H340)</f>
        <v>9772</v>
      </c>
      <c r="I342" s="1692">
        <f>SUM(I330)</f>
        <v>0</v>
      </c>
      <c r="J342" s="1692">
        <f>SUM(J330)</f>
        <v>0</v>
      </c>
      <c r="K342" s="1692">
        <f>SUM(K330,K334,K340)</f>
        <v>2390941</v>
      </c>
      <c r="L342" s="1699">
        <f>SUM(L330,L340,L341)</f>
        <v>2481179</v>
      </c>
    </row>
    <row r="343" spans="1:14" ht="12.75" customHeight="1" thickTop="1" x14ac:dyDescent="0.2">
      <c r="A343" s="2215" t="s">
        <v>1052</v>
      </c>
      <c r="B343" s="2216"/>
      <c r="C343" s="617"/>
      <c r="D343" s="617"/>
      <c r="E343" s="617"/>
      <c r="F343" s="617"/>
      <c r="G343" s="617"/>
      <c r="H343" s="617"/>
      <c r="I343" s="617"/>
      <c r="J343" s="617"/>
      <c r="K343" s="1706">
        <f>'Revenues 9-14'!J275-'Expenditures 15-22'!K342</f>
        <v>-234861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5" t="s">
        <v>1022</v>
      </c>
      <c r="B345" s="220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279949</v>
      </c>
      <c r="F348" s="466"/>
      <c r="G348" s="466">
        <v>599533</v>
      </c>
      <c r="H348" s="466"/>
      <c r="I348" s="467"/>
      <c r="J348" s="467"/>
      <c r="K348" s="1693">
        <f>SUM(C348:J348)</f>
        <v>879482</v>
      </c>
      <c r="L348" s="466">
        <v>1162250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279949</v>
      </c>
      <c r="F350" s="1692">
        <f t="shared" si="26"/>
        <v>0</v>
      </c>
      <c r="G350" s="1692">
        <f t="shared" si="26"/>
        <v>599533</v>
      </c>
      <c r="H350" s="1692">
        <f t="shared" si="26"/>
        <v>0</v>
      </c>
      <c r="I350" s="1692">
        <f t="shared" si="26"/>
        <v>0</v>
      </c>
      <c r="J350" s="1692">
        <f t="shared" si="26"/>
        <v>0</v>
      </c>
      <c r="K350" s="1692">
        <f t="shared" si="26"/>
        <v>879482</v>
      </c>
      <c r="L350" s="1692">
        <f t="shared" si="26"/>
        <v>1162250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279949</v>
      </c>
      <c r="F352" s="1692">
        <f t="shared" si="27"/>
        <v>0</v>
      </c>
      <c r="G352" s="1692">
        <f t="shared" si="27"/>
        <v>599533</v>
      </c>
      <c r="H352" s="1692">
        <f t="shared" si="27"/>
        <v>0</v>
      </c>
      <c r="I352" s="1692">
        <f t="shared" si="27"/>
        <v>0</v>
      </c>
      <c r="J352" s="1692">
        <f t="shared" si="27"/>
        <v>0</v>
      </c>
      <c r="K352" s="1692">
        <f t="shared" si="27"/>
        <v>879482</v>
      </c>
      <c r="L352" s="1692">
        <f t="shared" si="27"/>
        <v>1162250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279949</v>
      </c>
      <c r="F367" s="1692">
        <f t="shared" si="28"/>
        <v>0</v>
      </c>
      <c r="G367" s="1692">
        <f t="shared" si="28"/>
        <v>599533</v>
      </c>
      <c r="H367" s="1692">
        <f t="shared" si="28"/>
        <v>0</v>
      </c>
      <c r="I367" s="1692">
        <f t="shared" si="28"/>
        <v>0</v>
      </c>
      <c r="J367" s="1692">
        <f t="shared" si="28"/>
        <v>0</v>
      </c>
      <c r="K367" s="1692">
        <f t="shared" si="28"/>
        <v>879482</v>
      </c>
      <c r="L367" s="1692">
        <f t="shared" si="28"/>
        <v>1162250</v>
      </c>
    </row>
    <row r="368" spans="1:14" ht="13.5" thickTop="1" x14ac:dyDescent="0.2">
      <c r="A368" s="2229" t="s">
        <v>1052</v>
      </c>
      <c r="B368" s="2230"/>
      <c r="C368" s="655"/>
      <c r="D368" s="655"/>
      <c r="E368" s="627"/>
      <c r="F368" s="627"/>
      <c r="G368" s="627"/>
      <c r="H368" s="627"/>
      <c r="I368" s="627"/>
      <c r="J368" s="624"/>
      <c r="K368" s="1693">
        <f>'Revenues 9-14'!K275-'Expenditures 15-22'!K367</f>
        <v>-427099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4d435f69-8686-490b-bd6d-b153bf22ab50"/>
    <ds:schemaRef ds:uri="http://purl.org/dc/dcmitype/"/>
    <ds:schemaRef ds:uri="d21dc803-237d-4c68-8692-8d731fd29118"/>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 ds:uri="http://purl.org/dc/elements/1.1/"/>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Sec-2 (2)</vt:lpstr>
      <vt:lpstr>SF&amp;QC Sec-3</vt:lpstr>
      <vt:lpstr>SF&amp;QC Sec-3 (2)</vt:lpstr>
      <vt:lpstr>SSPAF</vt:lpstr>
      <vt:lpstr>' SEFA'!Print_Area</vt:lpstr>
      <vt:lpstr>' SEFA (2)'!Print_Area</vt:lpstr>
      <vt:lpstr>' SEFA (3)'!Print_Area</vt:lpstr>
      <vt:lpstr>' SEFA (4)'!Print_Area</vt:lpstr>
      <vt:lpstr>'Expenditures 15-22'!Print_Area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2018-10-10T12:44:57Z</cp:lastPrinted>
  <dcterms:created xsi:type="dcterms:W3CDTF">2003-10-29T19:06:34Z</dcterms:created>
  <dcterms:modified xsi:type="dcterms:W3CDTF">2018-10-30T15:25:15Z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