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1600" windowHeight="92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Itemization 33" sheetId="127" r:id="rId18"/>
    <sheet name="AC32" sheetId="145"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8">#REF!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8">#REF!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8">#REF!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8">#REF!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8">#REF!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0" i="127"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95" i="106"/>
  <c r="K133" i="29"/>
  <c r="B7776" i="106" s="1"/>
  <c r="B7793" i="106"/>
  <c r="B7791" i="106"/>
  <c r="B7787"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E21" i="181"/>
  <c r="F21" i="181" s="1"/>
  <c r="G21" i="181" s="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3" l="1"/>
  <c r="B2" i="174"/>
  <c r="B2" i="177"/>
  <c r="A2" i="170"/>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J85" i="28"/>
  <c r="B7758" i="106" s="1"/>
  <c r="D7758" i="106" s="1"/>
  <c r="J88" i="28"/>
  <c r="K6" i="29"/>
  <c r="B7763" i="106" s="1"/>
  <c r="B7762" i="106"/>
  <c r="K12" i="12"/>
  <c r="K23" i="12"/>
  <c r="J12" i="12"/>
  <c r="J21" i="12"/>
  <c r="J23" i="12" s="1"/>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C259" i="5"/>
  <c r="B6833" i="106" s="1"/>
  <c r="D6833" i="106" s="1"/>
  <c r="B7761" i="106"/>
  <c r="L127" i="29"/>
  <c r="L129" i="29" s="1"/>
  <c r="L139" i="29"/>
  <c r="L149" i="29"/>
  <c r="I7" i="145"/>
  <c r="I6" i="145"/>
  <c r="D78" i="36"/>
  <c r="K75" i="29"/>
  <c r="K130" i="29"/>
  <c r="K185" i="29"/>
  <c r="F62" i="34"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K83" i="29"/>
  <c r="K93" i="29"/>
  <c r="B6997" i="106" s="1"/>
  <c r="D6997" i="106" s="1"/>
  <c r="K94" i="29"/>
  <c r="B6999" i="106" s="1"/>
  <c r="D6999" i="106" s="1"/>
  <c r="K95" i="29"/>
  <c r="B7001" i="106" s="1"/>
  <c r="D7001" i="106" s="1"/>
  <c r="K96" i="29"/>
  <c r="B7003" i="106" s="1"/>
  <c r="D7003" i="106" s="1"/>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0" i="106"/>
  <c r="D7010"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5" i="106"/>
  <c r="D7075"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56" i="127"/>
  <c r="B57" i="127"/>
  <c r="D26" i="108"/>
  <c r="F26" i="108"/>
  <c r="D27" i="108"/>
  <c r="E27" i="108"/>
  <c r="F27" i="108"/>
  <c r="G27" i="108"/>
  <c r="E28" i="108"/>
  <c r="F28" i="108"/>
  <c r="F31" i="108"/>
  <c r="F36" i="108"/>
  <c r="F37" i="108"/>
  <c r="G28" i="108"/>
  <c r="D31" i="108"/>
  <c r="D36" i="108"/>
  <c r="D37" i="108"/>
  <c r="E31" i="108"/>
  <c r="G31"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C38" i="34"/>
  <c r="D38" i="34"/>
  <c r="C39" i="34"/>
  <c r="D39" i="34"/>
  <c r="C40" i="34"/>
  <c r="D40" i="34"/>
  <c r="C41" i="34"/>
  <c r="D41" i="34"/>
  <c r="F41" i="34"/>
  <c r="C42" i="34"/>
  <c r="D42" i="34"/>
  <c r="F42" i="34"/>
  <c r="C43" i="34"/>
  <c r="D43" i="34"/>
  <c r="C44" i="34"/>
  <c r="D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C67" i="34"/>
  <c r="D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C14" i="4"/>
  <c r="B2558" i="106" s="1"/>
  <c r="D2558" i="106" s="1"/>
  <c r="D14" i="4"/>
  <c r="B2570" i="106" s="1"/>
  <c r="D2570" i="106" s="1"/>
  <c r="B2633" i="106"/>
  <c r="D2633" i="106" s="1"/>
  <c r="D7" i="118"/>
  <c r="D8" i="118"/>
  <c r="D9" i="118"/>
  <c r="H14" i="118"/>
  <c r="H19" i="118"/>
  <c r="H24" i="118"/>
  <c r="B5599" i="106"/>
  <c r="D5599" i="106" s="1"/>
  <c r="G33" i="108" l="1"/>
  <c r="D11" i="37"/>
  <c r="D31" i="36"/>
  <c r="H29" i="118"/>
  <c r="G39" i="108"/>
  <c r="F68" i="34"/>
  <c r="J210" i="29"/>
  <c r="B7072" i="106" s="1"/>
  <c r="D7072" i="106" s="1"/>
  <c r="I210" i="29"/>
  <c r="B7071" i="106" s="1"/>
  <c r="D7071" i="106" s="1"/>
  <c r="F35" i="34"/>
  <c r="D7245" i="106"/>
  <c r="D6103" i="106"/>
  <c r="H28" i="118"/>
  <c r="L5" i="11"/>
  <c r="B2056" i="106" s="1"/>
  <c r="D2056" i="106" s="1"/>
  <c r="H33" i="118"/>
  <c r="D54" i="36"/>
  <c r="F38" i="34"/>
  <c r="I129" i="29"/>
  <c r="B7037" i="106" s="1"/>
  <c r="D7037" i="106" s="1"/>
  <c r="D22" i="37"/>
  <c r="D24" i="37"/>
  <c r="B4270" i="106" s="1"/>
  <c r="D4270" i="106" s="1"/>
  <c r="E26" i="108"/>
  <c r="B7074" i="106"/>
  <c r="D7074" i="106" s="1"/>
  <c r="B7047" i="106"/>
  <c r="D7047" i="106" s="1"/>
  <c r="G26" i="108"/>
  <c r="B1274" i="106"/>
  <c r="D1274" i="106" s="1"/>
  <c r="N22" i="3"/>
  <c r="B283" i="106" s="1"/>
  <c r="D283" i="106" s="1"/>
  <c r="D69" i="36"/>
  <c r="K24" i="12"/>
  <c r="G30" i="108"/>
  <c r="B2724" i="106"/>
  <c r="D2724" i="106" s="1"/>
  <c r="H342" i="29"/>
  <c r="B7221" i="106" s="1"/>
  <c r="D7221" i="106" s="1"/>
  <c r="B5096" i="106"/>
  <c r="D5096" i="106" s="1"/>
  <c r="E30" i="108"/>
  <c r="B7235" i="106"/>
  <c r="D7235" i="106" s="1"/>
  <c r="B6995" i="106"/>
  <c r="D6995" i="106" s="1"/>
  <c r="B6289" i="106"/>
  <c r="D6289" i="106" s="1"/>
  <c r="L312" i="29"/>
  <c r="D17" i="7"/>
  <c r="B4104" i="106" s="1"/>
  <c r="D4104" i="106" s="1"/>
  <c r="D9" i="7"/>
  <c r="B1767" i="106" s="1"/>
  <c r="D1767" i="106" s="1"/>
  <c r="H76" i="4"/>
  <c r="B3298" i="106" s="1"/>
  <c r="D3298" i="106" s="1"/>
  <c r="B2836" i="106"/>
  <c r="D2836" i="106" s="1"/>
  <c r="G38" i="108"/>
  <c r="H112" i="29"/>
  <c r="B7018" i="106" s="1"/>
  <c r="D7018" i="106" s="1"/>
  <c r="F64" i="34"/>
  <c r="E38" i="108"/>
  <c r="F44" i="34"/>
  <c r="B1223" i="106"/>
  <c r="D1223" i="106" s="1"/>
  <c r="F14" i="4"/>
  <c r="B2597" i="106" s="1"/>
  <c r="D2597" i="106" s="1"/>
  <c r="G29" i="108"/>
  <c r="F37" i="34"/>
  <c r="E29" i="108"/>
  <c r="H109" i="5"/>
  <c r="B6025" i="106" s="1"/>
  <c r="D6025" i="106" s="1"/>
  <c r="F106" i="34"/>
  <c r="B1329" i="106"/>
  <c r="D1329" i="106" s="1"/>
  <c r="F61" i="34"/>
  <c r="C342" i="29"/>
  <c r="B7216" i="106" s="1"/>
  <c r="D7216" i="106" s="1"/>
  <c r="B3619" i="106"/>
  <c r="D3619" i="106" s="1"/>
  <c r="F77" i="4"/>
  <c r="B3255" i="106" s="1"/>
  <c r="D3255" i="106" s="1"/>
  <c r="J41" i="3"/>
  <c r="B6216" i="106" s="1"/>
  <c r="D6216" i="106" s="1"/>
  <c r="K41" i="3"/>
  <c r="B3647" i="106"/>
  <c r="D3647" i="106" s="1"/>
  <c r="J129" i="29"/>
  <c r="B7038" i="106" s="1"/>
  <c r="D7038" i="106" s="1"/>
  <c r="F131" i="34"/>
  <c r="F172" i="5"/>
  <c r="B5644" i="106" s="1"/>
  <c r="D5644" i="106" s="1"/>
  <c r="J22" i="37"/>
  <c r="F128" i="34"/>
  <c r="K274" i="5"/>
  <c r="B6022" i="106" s="1"/>
  <c r="D6022" i="106" s="1"/>
  <c r="J274" i="5"/>
  <c r="B7054" i="106" s="1"/>
  <c r="D7054" i="106" s="1"/>
  <c r="H173" i="5"/>
  <c r="B5906" i="106" s="1"/>
  <c r="D5906" i="106" s="1"/>
  <c r="L22" i="37"/>
  <c r="B1746" i="106"/>
  <c r="D1746" i="106" s="1"/>
  <c r="D109" i="5"/>
  <c r="B5356" i="106" s="1"/>
  <c r="D5356" i="106" s="1"/>
  <c r="D13" i="7"/>
  <c r="B3726" i="106" s="1"/>
  <c r="D3726" i="106" s="1"/>
  <c r="D4" i="7"/>
  <c r="B1760" i="106" s="1"/>
  <c r="D1760" i="106" s="1"/>
  <c r="D11" i="7"/>
  <c r="B1768" i="106" s="1"/>
  <c r="D1768" i="106" s="1"/>
  <c r="F111" i="34"/>
  <c r="G109" i="5"/>
  <c r="C172" i="5"/>
  <c r="B5214" i="106" s="1"/>
  <c r="D5214" i="106" s="1"/>
  <c r="F127" i="34"/>
  <c r="G5" i="4"/>
  <c r="B3409" i="106" s="1"/>
  <c r="D3409" i="106" s="1"/>
  <c r="B4951" i="106"/>
  <c r="D4951" i="106" s="1"/>
  <c r="E109" i="5"/>
  <c r="E4" i="4" s="1"/>
  <c r="B2630" i="106" s="1"/>
  <c r="D2630" i="106" s="1"/>
  <c r="D5" i="4"/>
  <c r="B3406" i="106" s="1"/>
  <c r="D3406" i="106" s="1"/>
  <c r="F130" i="34"/>
  <c r="C109" i="5"/>
  <c r="B5121" i="106" s="1"/>
  <c r="D5121" i="106" s="1"/>
  <c r="B7041" i="106"/>
  <c r="D7041" i="106" s="1"/>
  <c r="F136" i="34"/>
  <c r="B4373" i="106"/>
  <c r="D4373" i="106" s="1"/>
  <c r="D5" i="7"/>
  <c r="B1761" i="106" s="1"/>
  <c r="D1761" i="106" s="1"/>
  <c r="F19" i="7"/>
  <c r="B1807" i="106" s="1"/>
  <c r="D1807" i="106" s="1"/>
  <c r="E174" i="29"/>
  <c r="B1309" i="106" s="1"/>
  <c r="D1309" i="106" s="1"/>
  <c r="B7231" i="106"/>
  <c r="D7231" i="106" s="1"/>
  <c r="F21" i="8"/>
  <c r="B1879" i="106" s="1"/>
  <c r="D1879" i="106" s="1"/>
  <c r="D15" i="7"/>
  <c r="B1772" i="106" s="1"/>
  <c r="D1772" i="106" s="1"/>
  <c r="D12" i="7"/>
  <c r="B1769" i="106" s="1"/>
  <c r="D1769" i="106" s="1"/>
  <c r="D7" i="7"/>
  <c r="B1763" i="106" s="1"/>
  <c r="D1763" i="106" s="1"/>
  <c r="K285" i="29"/>
  <c r="B3724" i="106" s="1"/>
  <c r="D3724" i="106" s="1"/>
  <c r="I342" i="29"/>
  <c r="B7222" i="106" s="1"/>
  <c r="D7222" i="106" s="1"/>
  <c r="L367" i="29"/>
  <c r="L342" i="29"/>
  <c r="G172" i="5"/>
  <c r="J77" i="4"/>
  <c r="B6262" i="106" s="1"/>
  <c r="D6262" i="106" s="1"/>
  <c r="G15" i="145"/>
  <c r="L13" i="11"/>
  <c r="B2060" i="106" s="1"/>
  <c r="D2060" i="106" s="1"/>
  <c r="L15" i="11"/>
  <c r="B3459" i="106" s="1"/>
  <c r="D3459" i="106" s="1"/>
  <c r="I24" i="12"/>
  <c r="B3689" i="106"/>
  <c r="D3689" i="106" s="1"/>
  <c r="B3621" i="106"/>
  <c r="D3621" i="106" s="1"/>
  <c r="C367" i="29"/>
  <c r="B3622" i="106" s="1"/>
  <c r="D3622" i="106" s="1"/>
  <c r="B3649" i="106"/>
  <c r="D3649" i="106" s="1"/>
  <c r="G367" i="29"/>
  <c r="B3650" i="106" s="1"/>
  <c r="D3650" i="106" s="1"/>
  <c r="B1410" i="106"/>
  <c r="D1410" i="106" s="1"/>
  <c r="K350" i="29"/>
  <c r="K184" i="29"/>
  <c r="F13" i="4" s="1"/>
  <c r="B2596" i="106" s="1"/>
  <c r="D2596" i="106" s="1"/>
  <c r="H365" i="29"/>
  <c r="B7242" i="106" s="1"/>
  <c r="D7242" i="106" s="1"/>
  <c r="G210" i="29"/>
  <c r="I173" i="5"/>
  <c r="B4216" i="106" s="1"/>
  <c r="D4216" i="106" s="1"/>
  <c r="K173" i="5"/>
  <c r="K6" i="4" s="1"/>
  <c r="B3570" i="106" s="1"/>
  <c r="D3570" i="106" s="1"/>
  <c r="K76" i="4"/>
  <c r="B3586" i="106" s="1"/>
  <c r="D3586"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F66" i="34" l="1"/>
  <c r="K28" i="118"/>
  <c r="O27" i="118" s="1"/>
  <c r="O29" i="118" s="1"/>
  <c r="H6" i="4"/>
  <c r="B2656" i="106" s="1"/>
  <c r="D2656" i="106" s="1"/>
  <c r="F173" i="5"/>
  <c r="F6" i="4" s="1"/>
  <c r="B2593" i="106" s="1"/>
  <c r="D2593" i="106" s="1"/>
  <c r="D7254" i="106"/>
  <c r="D7252" i="106"/>
  <c r="D7255" i="106"/>
  <c r="D7253" i="106"/>
  <c r="K365" i="29"/>
  <c r="K16" i="4" s="1"/>
  <c r="H77" i="4"/>
  <c r="B3299" i="106" s="1"/>
  <c r="D3299" i="106" s="1"/>
  <c r="N23" i="3"/>
  <c r="B284" i="106" s="1"/>
  <c r="D284" i="106" s="1"/>
  <c r="B1328" i="106"/>
  <c r="D1328" i="106" s="1"/>
  <c r="B7733" i="106"/>
  <c r="D7733" i="106" s="1"/>
  <c r="K26" i="12"/>
  <c r="B7743" i="106" s="1"/>
  <c r="D7743" i="106" s="1"/>
  <c r="K7" i="4"/>
  <c r="B3718" i="106" s="1"/>
  <c r="D3718" i="106" s="1"/>
  <c r="B1266" i="106"/>
  <c r="D1266" i="106" s="1"/>
  <c r="I6" i="4"/>
  <c r="B5011" i="106" s="1"/>
  <c r="D5011" i="106" s="1"/>
  <c r="B1381" i="106"/>
  <c r="D1381" i="106" s="1"/>
  <c r="H4" i="4"/>
  <c r="B2655" i="106" s="1"/>
  <c r="D2655" i="106" s="1"/>
  <c r="J7" i="4"/>
  <c r="B6222" i="106" s="1"/>
  <c r="D6222" i="106" s="1"/>
  <c r="D4" i="4"/>
  <c r="B2564" i="106" s="1"/>
  <c r="D2564" i="106" s="1"/>
  <c r="C114" i="29"/>
  <c r="B757" i="106" s="1"/>
  <c r="D757" i="106" s="1"/>
  <c r="D44" i="36"/>
  <c r="D51" i="36"/>
  <c r="B3628" i="106"/>
  <c r="D3628" i="106" s="1"/>
  <c r="B1317" i="106"/>
  <c r="D1317" i="106" s="1"/>
  <c r="J151" i="29"/>
  <c r="B7052" i="106" s="1"/>
  <c r="D7052" i="106" s="1"/>
  <c r="B5527" i="106"/>
  <c r="D5527" i="106" s="1"/>
  <c r="F73" i="34"/>
  <c r="G15" i="4"/>
  <c r="B6032" i="106" s="1"/>
  <c r="D6032" i="106" s="1"/>
  <c r="J16" i="4"/>
  <c r="B6226" i="106" s="1"/>
  <c r="D6226" i="106" s="1"/>
  <c r="B1365" i="106"/>
  <c r="D1365" i="106" s="1"/>
  <c r="F65" i="34"/>
  <c r="K77" i="4"/>
  <c r="B3587" i="106" s="1"/>
  <c r="D3587" i="106" s="1"/>
  <c r="B3568" i="106"/>
  <c r="D3568" i="106" s="1"/>
  <c r="D52" i="36"/>
  <c r="D274" i="5"/>
  <c r="B5507" i="106" s="1"/>
  <c r="D5507" i="106" s="1"/>
  <c r="H22" i="37"/>
  <c r="C173" i="5"/>
  <c r="B6014" i="106"/>
  <c r="D6014" i="106" s="1"/>
  <c r="G173" i="5"/>
  <c r="B5770" i="106"/>
  <c r="D5770" i="106" s="1"/>
  <c r="C4" i="4"/>
  <c r="B2551" i="106" s="1"/>
  <c r="D2551" i="106" s="1"/>
  <c r="B6024" i="106"/>
  <c r="D6024" i="106" s="1"/>
  <c r="G4" i="4"/>
  <c r="B2603" i="106" s="1"/>
  <c r="D2603" i="106" s="1"/>
  <c r="D7250" i="106"/>
  <c r="D7256" i="106"/>
  <c r="D7251" i="106"/>
  <c r="F274" i="5"/>
  <c r="B5914" i="106"/>
  <c r="D5914" i="106" s="1"/>
  <c r="H275" i="5"/>
  <c r="B5915" i="106" s="1"/>
  <c r="D5915" i="106" s="1"/>
  <c r="L16" i="11"/>
  <c r="B2061" i="106" s="1"/>
  <c r="D2061" i="106" s="1"/>
  <c r="B2031" i="106"/>
  <c r="D2031" i="106" s="1"/>
  <c r="I26" i="12"/>
  <c r="B7741" i="106" s="1"/>
  <c r="D7741" i="106" s="1"/>
  <c r="B1996" i="106"/>
  <c r="D1996" i="106" s="1"/>
  <c r="B3670" i="106"/>
  <c r="D3670" i="106" s="1"/>
  <c r="K352" i="29"/>
  <c r="K342" i="29"/>
  <c r="F13" i="34" s="1"/>
  <c r="L114" i="29"/>
  <c r="H367" i="29"/>
  <c r="B3660" i="106" s="1"/>
  <c r="D3660"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D7" i="4"/>
  <c r="B7298" i="106"/>
  <c r="B7299" i="106"/>
  <c r="F275" i="5" l="1"/>
  <c r="B5720" i="106" s="1"/>
  <c r="D5720" i="106" s="1"/>
  <c r="F24" i="37"/>
  <c r="D275" i="5"/>
  <c r="B5653" i="106"/>
  <c r="D5653" i="106" s="1"/>
  <c r="B1145" i="106"/>
  <c r="D1145" i="106" s="1"/>
  <c r="H8" i="4"/>
  <c r="B2658" i="106" s="1"/>
  <c r="D2658" i="106" s="1"/>
  <c r="F7" i="4"/>
  <c r="B2594" i="106" s="1"/>
  <c r="D2594" i="106" s="1"/>
  <c r="J8" i="4"/>
  <c r="B6223" i="106" s="1"/>
  <c r="D6223" i="106" s="1"/>
  <c r="B5719" i="106"/>
  <c r="D5719" i="106" s="1"/>
  <c r="B5778" i="106"/>
  <c r="D5778" i="106" s="1"/>
  <c r="G6" i="4"/>
  <c r="B2604" i="106" s="1"/>
  <c r="D2604" i="106" s="1"/>
  <c r="B5223" i="106"/>
  <c r="D5223" i="106" s="1"/>
  <c r="C6" i="4"/>
  <c r="B2553" i="106" s="1"/>
  <c r="D2553" i="106" s="1"/>
  <c r="K367" i="29"/>
  <c r="B3678" i="106" s="1"/>
  <c r="D3678" i="106" s="1"/>
  <c r="K13" i="4"/>
  <c r="B3572" i="106" s="1"/>
  <c r="D3572" i="106" s="1"/>
  <c r="B3672" i="106"/>
  <c r="D3672" i="106" s="1"/>
  <c r="B7224" i="106"/>
  <c r="D7224" i="106" s="1"/>
  <c r="J17" i="4"/>
  <c r="J19" i="4" s="1"/>
  <c r="B6229" i="106" s="1"/>
  <c r="D6229"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10" i="4" l="1"/>
  <c r="B6225" i="106" s="1"/>
  <c r="D6225" i="106" s="1"/>
  <c r="F76" i="34"/>
  <c r="H10" i="4"/>
  <c r="B4127" i="106" s="1"/>
  <c r="D4127" i="106" s="1"/>
  <c r="F8" i="4"/>
  <c r="B2595" i="106" s="1"/>
  <c r="D2595" i="106" s="1"/>
  <c r="B6227" i="106"/>
  <c r="D6227" i="106" s="1"/>
  <c r="J20" i="4"/>
  <c r="B6230" i="106" s="1"/>
  <c r="D6230" i="106" s="1"/>
  <c r="K17" i="4"/>
  <c r="B3575" i="106" s="1"/>
  <c r="D3575" i="106" s="1"/>
  <c r="K368" i="29"/>
  <c r="B3681" i="106" s="1"/>
  <c r="D3681" i="106" s="1"/>
  <c r="D10" i="171"/>
  <c r="D19" i="171" s="1"/>
  <c r="D32" i="171" s="1"/>
  <c r="D49" i="171" s="1"/>
  <c r="D8" i="4"/>
  <c r="B2568" i="106" s="1"/>
  <c r="D256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F10" i="4" l="1"/>
  <c r="B4125" i="106" s="1"/>
  <c r="D4125" i="106" s="1"/>
  <c r="D8" i="146"/>
  <c r="H13" i="118"/>
  <c r="J78" i="4"/>
  <c r="B6263" i="106" s="1"/>
  <c r="D6263" i="106" s="1"/>
  <c r="K20" i="4"/>
  <c r="B3576" i="106" s="1"/>
  <c r="D3576" i="106" s="1"/>
  <c r="K19" i="4"/>
  <c r="B4144" i="106" s="1"/>
  <c r="D4144" i="106" s="1"/>
  <c r="D10" i="4"/>
  <c r="B4123" i="106" s="1"/>
  <c r="D4123" i="106" s="1"/>
  <c r="C8" i="146"/>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F179" i="34" l="1"/>
  <c r="F79" i="34"/>
  <c r="D78" i="4"/>
  <c r="D81" i="4" s="1"/>
  <c r="J81" i="4"/>
  <c r="J82" i="4" s="1"/>
  <c r="K78" i="4"/>
  <c r="B3588" i="106" s="1"/>
  <c r="D3588" i="106" s="1"/>
  <c r="F8" i="146"/>
  <c r="C10" i="146"/>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F181" i="34" l="1"/>
  <c r="F183" i="34" s="1"/>
  <c r="B3239" i="106"/>
  <c r="D3239" i="106" s="1"/>
  <c r="B6266" i="106"/>
  <c r="D6266" i="106" s="1"/>
  <c r="K81" i="4"/>
  <c r="B3591" i="106" s="1"/>
  <c r="D3591" i="106"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J83" i="4"/>
  <c r="B6283" i="106" s="1"/>
  <c r="D6283" i="106" s="1"/>
  <c r="B6274" i="106"/>
  <c r="D6274" i="106" s="1"/>
  <c r="D82" i="4"/>
  <c r="B1644" i="106"/>
  <c r="D1644" i="106" s="1"/>
  <c r="D58" i="36"/>
  <c r="C11" i="146"/>
  <c r="J16" i="37" l="1"/>
  <c r="B4269" i="106" s="1"/>
  <c r="D4269" i="106" s="1"/>
  <c r="K82" i="4"/>
  <c r="B6275" i="106" s="1"/>
  <c r="D6275" i="106" s="1"/>
  <c r="D65" i="36"/>
  <c r="H12" i="118"/>
  <c r="K12" i="118" s="1"/>
  <c r="O11" i="118" s="1"/>
  <c r="O13" i="118" s="1"/>
  <c r="O17" i="118"/>
  <c r="O20" i="118"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K83" i="4" l="1"/>
  <c r="B6284" i="106" s="1"/>
  <c r="D6284"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<sst xmlns="http://schemas.openxmlformats.org/spreadsheetml/2006/main" count="5099" uniqueCount="2142">
  <si>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</si>
  <si>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</si>
  <si>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</si>
  <si>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</si>
  <si>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</si>
  <si>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</si>
  <si>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</si>
  <si>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</si>
  <si>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</si>
  <si>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</si>
  <si>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</si>
  <si>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</si>
  <si>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</si>
  <si>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</si>
  <si>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</si>
  <si>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</si>
  <si>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</si>
  <si>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</si>
  <si>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</si>
  <si>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</si>
  <si>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</si>
  <si>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</si>
  <si>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</si>
  <si>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</si>
  <si>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</si>
  <si>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</si>
  <si>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</si>
  <si>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</si>
  <si>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</si>
  <si>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</si>
  <si>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</si>
  <si>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</si>
  <si>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</si>
  <si>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</si>
  <si>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</si>
  <si>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</si>
  <si>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</si>
  <si>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</si>
  <si>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</si>
  <si>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</si>
  <si>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</si>
  <si>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</si>
  <si>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</si>
  <si>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</si>
  <si>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</si>
  <si>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</si>
  <si>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</si>
  <si>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</si>
  <si>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</si>
  <si>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</si>
  <si>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</si>
  <si>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</si>
  <si>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</si>
  <si>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</si>
  <si>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</si>
  <si>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</si>
  <si>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</si>
  <si>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</si>
  <si>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</si>
  <si>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</si>
  <si>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</si>
  <si>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</si>
  <si>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</si>
  <si>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</si>
  <si>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</si>
  <si>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</si>
  <si>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</si>
  <si>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</si>
  <si>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</si>
  <si>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</si>
  <si>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</si>
  <si>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</si>
  <si>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</si>
  <si>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</si>
  <si>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</si>
  <si>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</si>
  <si>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</si>
  <si>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</si>
  <si>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</si>
  <si>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</si>
  <si>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</si>
  <si>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</si>
  <si>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</si>
  <si>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</si>
  <si>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</si>
  <si>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</si>
  <si>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</si>
  <si>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</si>
  <si>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</si>
  <si>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</si>
  <si>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</si>
  <si>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</si>
  <si>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</si>
  <si>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</si>
  <si>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</si>
  <si>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</si>
  <si>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</si>
  <si>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</si>
  <si>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</si>
  <si>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</si>
  <si>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</si>
  <si>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</si>
  <si>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</si>
  <si>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</si>
  <si>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</si>
  <si>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</si>
  <si>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</si>
  <si>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</si>
  <si>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</si>
  <si>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</si>
  <si>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</si>
  <si>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</si>
  <si>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</si>
  <si>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</si>
  <si>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</si>
  <si>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</si>
  <si>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</si>
  <si>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</si>
  <si>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</si>
  <si>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</si>
  <si>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</si>
  <si>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</si>
  <si>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</si>
  <si>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</si>
  <si>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</si>
  <si>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</si>
  <si>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</si>
  <si>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</si>
  <si>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</si>
  <si>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</si>
  <si>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</si>
  <si>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</si>
  <si>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</si>
  <si>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</si>
  <si>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</si>
  <si>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</si>
  <si>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</si>
  <si>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</si>
  <si>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</si>
  <si>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</si>
  <si>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</si>
  <si>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</si>
  <si>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</si>
  <si>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</si>
  <si>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</si>
  <si>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</si>
  <si>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</si>
  <si>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</si>
  <si>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</si>
  <si>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</si>
  <si>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</si>
  <si>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</si>
  <si>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</si>
  <si>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</si>
  <si>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</si>
  <si>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</si>
  <si>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</si>
  <si>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</si>
  <si>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</si>
  <si>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</si>
  <si>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</si>
  <si>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</si>
  <si>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</si>
  <si>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</si>
  <si>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</si>
  <si>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</si>
  <si>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</si>
  <si>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</si>
  <si>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</si>
  <si>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</si>
  <si>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</si>
  <si>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</si>
  <si>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</si>
  <si>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</si>
  <si>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</si>
  <si>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</si>
  <si>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</si>
  <si>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</si>
  <si>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</si>
  <si>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</si>
  <si>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</si>
  <si>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</si>
  <si>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</si>
  <si>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</si>
  <si>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</si>
  <si>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</si>
  <si>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</si>
  <si>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</si>
  <si>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</si>
  <si>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</si>
  <si>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</si>
  <si>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</si>
  <si>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</si>
  <si>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</si>
  <si>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</si>
  <si>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</si>
  <si>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</si>
  <si>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</si>
  <si>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</si>
  <si>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</si>
  <si>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</si>
  <si>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</si>
  <si>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</si>
  <si>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</si>
  <si>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</si>
  <si>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</si>
  <si>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</si>
  <si>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</si>
  <si>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</si>
  <si>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</si>
  <si>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</si>
  <si>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</si>
  <si>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</si>
  <si>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</si>
  <si>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</si>
  <si>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</si>
  <si>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</si>
  <si>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</si>
  <si>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</si>
  <si>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</si>
  <si>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</si>
  <si>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</si>
  <si>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</si>
  <si>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</si>
  <si>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</si>
  <si>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</si>
  <si>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</si>
  <si>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</si>
  <si>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</si>
  <si>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</si>
  <si>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</si>
  <si>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</si>
  <si>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</si>
  <si>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</si>
  <si>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</si>
  <si>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</si>
  <si>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</si>
  <si>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</si>
  <si>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</si>
  <si>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</si>
  <si>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</si>
  <si>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</si>
  <si>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</si>
  <si>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</si>
  <si>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</si>
  <si>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</si>
  <si>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</si>
  <si>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</si>
  <si>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</si>
  <si>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</si>
  <si>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</si>
  <si>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</si>
  <si>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</si>
  <si>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</si>
  <si>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</si>
  <si>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</si>
  <si>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</si>
  <si>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</si>
  <si>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</si>
  <si>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</si>
  <si>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</si>
  <si>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</si>
  <si>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</si>
  <si>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</si>
  <si>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</si>
  <si>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</si>
  <si>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</si>
  <si>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</si>
  <si>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</si>
  <si>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</si>
  <si>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</si>
  <si>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</si>
  <si>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</si>
  <si>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</si>
  <si>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</si>
  <si>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</si>
  <si>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</si>
  <si>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</si>
  <si>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</si>
  <si>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</si>
  <si>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</si>
  <si>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</si>
  <si>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</si>
  <si>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</si>
  <si>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</si>
  <si>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</si>
  <si>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</si>
  <si>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</si>
  <si>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</si>
  <si>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</si>
  <si>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</si>
  <si>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</si>
  <si>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</si>
  <si>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</si>
  <si>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</si>
  <si>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</si>
  <si>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</si>
  <si>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</si>
  <si>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</si>
  <si>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</si>
  <si>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</si>
  <si>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</si>
  <si>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</si>
  <si>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</si>
  <si>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</si>
  <si>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</si>
  <si>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</si>
  <si>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</si>
  <si>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</si>
  <si>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</si>
  <si>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</si>
  <si>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</si>
  <si>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</si>
  <si>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</si>
  <si>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</si>
  <si>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</si>
  <si>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</si>
  <si>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</si>
  <si>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</si>
  <si>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</si>
  <si>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</si>
  <si>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</si>
  <si>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</si>
  <si>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</si>
  <si>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</si>
  <si>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</si>
  <si>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</si>
  <si>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</si>
  <si>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</si>
  <si>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</si>
  <si>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</si>
  <si>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</si>
  <si>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</si>
  <si>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</si>
  <si>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</si>
  <si>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</si>
  <si>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</si>
  <si>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</si>
  <si>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</si>
  <si>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</si>
  <si>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</si>
  <si>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</si>
  <si>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</si>
  <si>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</si>
  <si>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</si>
  <si>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</si>
  <si>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</si>
  <si>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</si>
  <si>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</si>
  <si>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</si>
  <si>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</si>
  <si>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</si>
  <si>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</si>
  <si>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</si>
  <si>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</si>
  <si>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</si>
  <si>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</si>
  <si>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</si>
  <si>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</si>
  <si>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</si>
  <si>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</si>
  <si>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</si>
  <si>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</si>
  <si>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</si>
  <si>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</si>
  <si>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</si>
  <si>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</si>
  <si>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</si>
  <si>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</si>
  <si>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</si>
  <si>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</si>
  <si>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</si>
  <si>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</si>
  <si>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</si>
  <si>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</si>
  <si>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</si>
  <si>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</si>
  <si>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</si>
  <si>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</si>
  <si>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</si>
  <si>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</si>
  <si>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</si>
  <si>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</si>
  <si>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</si>
  <si>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</si>
  <si>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</si>
  <si>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</si>
  <si>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</si>
  <si>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</si>
  <si>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</si>
  <si>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</si>
  <si>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</si>
  <si>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</si>
  <si>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</si>
  <si>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</si>
  <si>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</si>
  <si>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</si>
  <si>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</si>
  <si>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</si>
  <si>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</si>
  <si>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</si>
  <si>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</si>
  <si>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</si>
  <si>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</si>
  <si>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</si>
  <si>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</si>
  <si>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</si>
  <si>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</si>
  <si>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</si>
  <si>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</si>
  <si>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</si>
  <si>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</si>
  <si>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</si>
  <si>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</si>
  <si>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</si>
  <si>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</si>
  <si>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</si>
  <si>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</si>
  <si>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</si>
  <si>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</si>
  <si>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</si>
  <si>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</si>
  <si>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</si>
  <si>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</si>
  <si>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</si>
  <si>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</si>
  <si>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</si>
  <si>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</si>
  <si>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</si>
  <si>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</si>
  <si>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</si>
  <si>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</si>
  <si>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</si>
  <si>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</si>
  <si>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</si>
  <si>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</si>
  <si>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</si>
  <si>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</si>
  <si>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</si>
  <si>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</si>
  <si>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</si>
  <si>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</si>
  <si>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</si>
  <si>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</si>
  <si>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</si>
  <si>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</si>
  <si>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</si>
  <si>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</si>
  <si>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</si>
  <si>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</si>
  <si>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</si>
  <si>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</si>
  <si>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</si>
  <si>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</si>
  <si>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</si>
  <si>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</si>
  <si>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</si>
  <si>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</si>
  <si>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</si>
  <si>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</si>
  <si>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</si>
  <si>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</si>
  <si>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</si>
  <si>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</si>
  <si>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</si>
  <si>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</si>
  <si>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</si>
  <si>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</si>
  <si>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</si>
  <si>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</si>
  <si>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</si>
  <si>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</si>
  <si>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</si>
  <si>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</si>
  <si>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</si>
  <si>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</si>
  <si>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</si>
  <si>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</si>
  <si>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</si>
  <si>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</si>
  <si>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</si>
  <si>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</si>
  <si>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</si>
  <si>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</si>
  <si>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</si>
  <si>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</si>
  <si>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</si>
  <si>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</si>
  <si>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</si>
  <si>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</si>
  <si>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</si>
  <si>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</si>
  <si>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</si>
  <si>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</si>
  <si>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</si>
  <si>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</si>
  <si>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</si>
  <si>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</si>
  <si>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</si>
  <si>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</si>
  <si>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</si>
  <si>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</si>
  <si>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</si>
  <si>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</si>
  <si>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</si>
  <si>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</si>
  <si>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</si>
  <si>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</si>
  <si>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</si>
  <si>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</si>
  <si>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</si>
  <si>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</si>
  <si>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</si>
  <si>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</si>
  <si>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</si>
  <si>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</si>
  <si>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</si>
  <si>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</si>
  <si>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</si>
  <si>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</si>
  <si>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</si>
  <si>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</si>
  <si>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</si>
  <si>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</si>
  <si>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</si>
  <si>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</si>
  <si>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</si>
  <si>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</si>
  <si>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</si>
  <si>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</si>
  <si>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</si>
  <si>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</si>
  <si>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</si>
  <si>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</si>
  <si>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</si>
  <si>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</si>
  <si>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</si>
  <si>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</si>
  <si>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</si>
  <si>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</si>
  <si>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</si>
  <si>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</si>
  <si>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</si>
  <si>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</si>
  <si>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</si>
  <si>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</si>
  <si>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</si>
  <si>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</si>
  <si>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</si>
  <si>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</si>
  <si>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</si>
  <si>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</si>
  <si>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</si>
  <si>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</si>
  <si>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</si>
  <si>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</si>
  <si>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</si>
  <si>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</si>
  <si>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</si>
  <si>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</si>
  <si>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</si>
  <si>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</si>
  <si>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</si>
  <si>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</si>
  <si>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</si>
  <si>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</si>
  <si>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</si>
  <si>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</si>
  <si>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</si>
  <si>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</si>
  <si>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</si>
  <si>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</si>
  <si>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</si>
  <si>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</si>
  <si>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</si>
  <si>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</si>
  <si>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</si>
  <si>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</si>
  <si>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</si>
  <si>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</si>
  <si>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</si>
  <si>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</si>
  <si>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</si>
  <si>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</si>
  <si>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</si>
  <si>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</si>
  <si>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</si>
  <si>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</si>
  <si>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</si>
  <si>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</si>
  <si>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</si>
  <si>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</si>
  <si>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</si>
  <si>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</si>
  <si>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</si>
  <si>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</si>
  <si>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</si>
  <si>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</si>
  <si>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</si>
  <si>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</si>
  <si>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</si>
  <si>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</si>
  <si>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</si>
  <si>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</si>
  <si>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</si>
  <si>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</si>
  <si>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</si>
  <si>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</si>
  <si>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</si>
  <si>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</si>
  <si>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</si>
  <si>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</si>
  <si>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</si>
  <si>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</si>
  <si>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</si>
  <si>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</si>
  <si>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</si>
  <si>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</si>
  <si>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</si>
  <si>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</si>
  <si>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</si>
  <si>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</si>
  <si>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</si>
  <si>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</si>
  <si>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</si>
  <si>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</si>
  <si>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</si>
  <si>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</si>
  <si>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</si>
  <si>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</si>
  <si>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</si>
  <si>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</si>
  <si>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</si>
  <si>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</si>
  <si>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</si>
  <si>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</si>
  <si>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</si>
  <si>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</si>
  <si>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</si>
  <si>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</si>
  <si>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</si>
  <si>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</si>
  <si>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</si>
  <si>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</si>
  <si>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</si>
  <si>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</si>
  <si>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</si>
  <si>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</si>
  <si>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</si>
  <si>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</si>
  <si>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</si>
  <si>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</si>
  <si>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</si>
  <si>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</si>
  <si>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</si>
  <si>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</si>
  <si>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</si>
  <si>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</si>
  <si>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</si>
  <si>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</si>
  <si>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</si>
  <si>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</si>
  <si>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</si>
  <si>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</si>
  <si>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</si>
  <si>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</si>
  <si>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</si>
  <si>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</si>
  <si>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</si>
  <si>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</si>
  <si>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</si>
  <si>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</si>
  <si>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</si>
  <si>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</si>
  <si>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</si>
  <si>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</si>
  <si>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</si>
  <si>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</si>
  <si>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</si>
  <si>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</si>
  <si>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</si>
  <si>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</si>
  <si>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</si>
  <si>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</si>
  <si>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</si>
  <si>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</si>
  <si>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</si>
  <si>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</si>
  <si>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</si>
  <si>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</si>
  <si>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</si>
  <si>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</si>
  <si>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</si>
  <si>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</si>
  <si>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</si>
  <si>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</si>
  <si>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</si>
  <si>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</si>
  <si>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</si>
  <si>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</si>
  <si>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</si>
  <si>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</si>
  <si>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</si>
  <si>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</si>
  <si>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</si>
  <si>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</si>
  <si>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</si>
  <si>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</si>
  <si>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</si>
  <si>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</si>
  <si>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</si>
  <si>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</si>
  <si>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</si>
  <si>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</si>
  <si>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</si>
  <si>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</si>
  <si>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</si>
  <si>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</si>
  <si>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</si>
  <si>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</si>
  <si>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</si>
  <si>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</si>
  <si>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</si>
  <si>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</si>
  <si>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</si>
  <si>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</si>
  <si>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</si>
  <si>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</si>
  <si>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</si>
  <si>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</si>
  <si>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</si>
  <si>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</si>
  <si>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</si>
  <si>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</si>
  <si>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</si>
  <si>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</si>
  <si>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</si>
  <si>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</si>
  <si>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</si>
  <si>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</si>
  <si>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</si>
  <si>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</si>
  <si>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</si>
  <si>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</si>
  <si>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</si>
  <si>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</si>
  <si>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</si>
  <si>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</si>
  <si>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</si>
  <si>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</si>
  <si>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</si>
  <si>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</si>
  <si>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</si>
  <si>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</si>
  <si>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</si>
  <si>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</si>
  <si>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</si>
  <si>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</si>
  <si>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</si>
  <si>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</si>
  <si>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</si>
  <si>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</si>
  <si>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</si>
  <si>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</si>
  <si>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</si>
  <si>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</si>
  <si>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</si>
  <si>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</si>
  <si>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</si>
  <si>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</si>
  <si>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</si>
  <si>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</si>
  <si>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</si>
  <si>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</si>
  <si>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</si>
  <si>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</si>
  <si>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</si>
  <si>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</si>
  <si>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</si>
  <si>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</si>
  <si>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</si>
  <si>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</si>
  <si>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</si>
  <si>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</si>
  <si>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</si>
  <si>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</si>
  <si>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</si>
  <si>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</si>
  <si>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</si>
  <si>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</si>
  <si>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</si>
  <si>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</si>
  <si>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</si>
  <si>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</si>
  <si>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</si>
  <si>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</si>
  <si>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</si>
  <si>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</si>
  <si>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</si>
  <si>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</si>
  <si>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</si>
  <si>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</si>
  <si>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</si>
  <si>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</si>
  <si>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</si>
  <si>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</si>
  <si>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</si>
  <si>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</si>
  <si>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</si>
  <si>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</si>
  <si>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</si>
  <si>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</si>
  <si>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</si>
  <si>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</si>
  <si>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</si>
  <si>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</si>
  <si>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</si>
  <si>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</si>
  <si>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</si>
  <si>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</si>
  <si>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</si>
  <si>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</si>
  <si>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</si>
  <si>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</si>
  <si>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</si>
  <si>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</si>
  <si>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</si>
  <si>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</si>
  <si>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</si>
  <si>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</si>
  <si>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</si>
  <si>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</si>
  <si>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</si>
  <si>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</si>
  <si>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</si>
  <si>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</si>
  <si>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</si>
  <si>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</si>
  <si>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</si>
  <si>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</si>
  <si>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</si>
  <si>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</si>
  <si>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</si>
  <si>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</si>
  <si>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</si>
  <si>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</si>
  <si>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</si>
  <si>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</si>
  <si>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</si>
  <si>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</si>
  <si>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</si>
  <si>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</si>
  <si>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</si>
  <si>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</si>
  <si>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</si>
  <si>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</si>
  <si>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</si>
  <si>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</si>
  <si>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</si>
  <si>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</si>
  <si>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</si>
  <si>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</si>
  <si>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</si>
  <si>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</si>
  <si>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</si>
  <si>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</si>
  <si>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</si>
  <si>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</si>
  <si>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</si>
  <si>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</si>
  <si>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</si>
  <si>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</si>
  <si>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</si>
  <si>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</si>
  <si>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</si>
  <si>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</si>
  <si>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</si>
  <si>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</si>
  <si>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</si>
  <si>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</si>
  <si>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</si>
  <si>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</si>
  <si>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</si>
  <si>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</si>
  <si>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</si>
  <si>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</si>
  <si>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</si>
  <si>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</si>
  <si>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</si>
  <si>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</si>
  <si>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</si>
  <si>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</si>
  <si>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</si>
  <si>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</si>
  <si>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</si>
  <si>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</si>
  <si>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</si>
  <si>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</si>
  <si>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</si>
  <si>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</si>
  <si>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</si>
  <si>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</si>
  <si>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</si>
  <si>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</si>
  <si>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</si>
  <si>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</si>
  <si>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</si>
  <si>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</si>
  <si>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</si>
  <si>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</si>
  <si>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</si>
  <si>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</si>
  <si>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</si>
  <si>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</si>
  <si>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</si>
  <si>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</si>
  <si>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</si>
  <si>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</si>
  <si>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</si>
  <si>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</si>
  <si>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</si>
  <si>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</si>
  <si>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</si>
  <si>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</si>
  <si>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</si>
  <si>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</si>
  <si>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</si>
  <si>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</si>
  <si>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</si>
  <si>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</si>
  <si>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</si>
  <si>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</si>
  <si>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</si>
  <si>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</si>
  <si>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</si>
  <si>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</si>
  <si>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</si>
  <si>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</si>
  <si>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</si>
  <si>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</si>
  <si>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</si>
  <si>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</si>
  <si>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</si>
  <si>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</si>
  <si>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</si>
  <si>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</si>
  <si>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</si>
  <si>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</si>
  <si>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</si>
  <si>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</si>
  <si>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</si>
  <si>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</si>
  <si>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</si>
  <si>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</si>
  <si>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</si>
  <si>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</si>
  <si>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</si>
  <si>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</si>
  <si>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</si>
  <si>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</si>
  <si>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</si>
  <si>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</si>
  <si>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</si>
  <si>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</si>
  <si>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</si>
  <si>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</si>
  <si>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</si>
  <si>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</si>
  <si>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</si>
  <si>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</si>
  <si>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</si>
  <si>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</si>
  <si>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</si>
  <si>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</si>
  <si>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</si>
  <si>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</si>
  <si>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</si>
  <si>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</si>
  <si>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</si>
  <si>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</si>
  <si>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</si>
  <si>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</si>
  <si>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</si>
  <si>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</si>
  <si>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</si>
  <si>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</si>
  <si>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</si>
  <si>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</si>
  <si>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</si>
  <si>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</si>
  <si>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</si>
  <si>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</si>
  <si>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</si>
  <si>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</si>
  <si>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</si>
  <si>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</si>
  <si>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</si>
  <si>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</si>
  <si>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</si>
  <si>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</si>
  <si>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</si>
  <si>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</si>
  <si>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</si>
  <si>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</si>
  <si>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</si>
  <si>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</si>
  <si>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</si>
  <si>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</si>
  <si>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</si>
  <si>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</si>
  <si>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</si>
  <si>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</si>
  <si>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</si>
  <si>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</si>
  <si>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</si>
  <si>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</si>
  <si>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</si>
  <si>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</si>
  <si>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</si>
  <si>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</si>
  <si>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</si>
  <si>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</si>
  <si>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</si>
  <si>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</si>
  <si>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</si>
  <si>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</si>
  <si>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</si>
  <si>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</si>
  <si>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</si>
  <si>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</si>
  <si>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</si>
  <si>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</si>
  <si>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</si>
  <si>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</si>
  <si>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</si>
  <si>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</si>
  <si>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</si>
  <si>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</si>
  <si>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</si>
  <si>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</si>
  <si>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</si>
  <si>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</si>
  <si>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</si>
  <si>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</si>
  <si>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</si>
  <si>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</si>
  <si>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</si>
  <si>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</si>
  <si>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</si>
  <si>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</si>
  <si>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</si>
  <si>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</si>
  <si>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</si>
  <si>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</si>
  <si>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</si>
  <si>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</si>
  <si>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</si>
  <si>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</si>
  <si>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</si>
  <si>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</si>
  <si>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</si>
  <si>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</si>
  <si>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</si>
  <si>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</si>
  <si>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</si>
  <si>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</si>
  <si>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</si>
  <si>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</si>
  <si>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</si>
  <si>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</si>
  <si>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</si>
  <si>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</si>
  <si>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</si>
  <si>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</si>
  <si>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</si>
  <si>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</si>
  <si>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</si>
  <si>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</si>
  <si>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</si>
  <si>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</si>
  <si>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</si>
  <si>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</si>
  <si>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</si>
  <si>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</si>
  <si>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</si>
  <si>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</si>
  <si>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</si>
  <si>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</si>
  <si>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</si>
  <si>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</si>
  <si>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</si>
  <si>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</si>
  <si>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</si>
  <si>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</si>
  <si>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</si>
  <si>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</si>
  <si>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</si>
  <si>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</si>
  <si>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</si>
  <si>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</si>
  <si>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</si>
  <si>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</si>
  <si>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</si>
  <si>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</si>
  <si>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</si>
  <si>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</si>
  <si>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</si>
  <si>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</si>
  <si>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</si>
  <si>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</si>
  <si>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</si>
  <si>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</si>
  <si>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</si>
  <si>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</si>
  <si>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</si>
  <si>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</si>
  <si>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</si>
  <si>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</si>
  <si>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</si>
  <si>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</si>
  <si>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</si>
  <si>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</si>
  <si>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</si>
  <si>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</si>
  <si>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</si>
  <si>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</si>
  <si>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</si>
  <si>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</si>
  <si>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</si>
  <si>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</si>
  <si>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</si>
  <si>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</si>
  <si>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</si>
  <si>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</si>
  <si>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</si>
  <si>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</si>
  <si>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</si>
  <si>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</si>
  <si>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</si>
  <si>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</si>
  <si>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</si>
  <si>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</si>
  <si>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</si>
  <si>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</si>
  <si>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</si>
  <si>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</si>
  <si>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</si>
  <si>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</si>
  <si>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</si>
  <si>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</si>
  <si>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</si>
  <si>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</si>
  <si>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</si>
  <si>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</si>
  <si>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</si>
  <si>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</si>
  <si>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</si>
  <si>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</si>
  <si>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</si>
  <si>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</si>
  <si>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</si>
  <si>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</si>
  <si>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</si>
  <si>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</si>
  <si>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</si>
  <si>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</si>
  <si>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</si>
  <si>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</si>
  <si>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</si>
  <si>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</si>
  <si>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</si>
  <si>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</si>
  <si>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</si>
  <si>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</si>
  <si>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</si>
  <si>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</si>
  <si>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</si>
  <si>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</si>
  <si>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</si>
  <si>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</si>
  <si>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</si>
  <si>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</si>
  <si>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</si>
  <si>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</si>
  <si>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</si>
  <si>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</si>
  <si>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</si>
  <si>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</si>
  <si>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</si>
  <si>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</si>
  <si>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</si>
  <si>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</si>
  <si>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</si>
  <si>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</si>
  <si>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</si>
  <si>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</si>
  <si>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</si>
  <si>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</si>
  <si>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</si>
  <si>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</si>
  <si>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</si>
  <si>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</si>
  <si>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</si>
  <si>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</si>
  <si>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</si>
  <si>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</si>
  <si>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</si>
  <si>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</si>
  <si>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</si>
  <si>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</si>
  <si>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</si>
  <si>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</si>
  <si>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</si>
  <si>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</si>
  <si>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</si>
  <si>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</si>
  <si>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</si>
  <si>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</si>
  <si>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</si>
  <si>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</si>
  <si>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</si>
  <si>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</si>
  <si>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</si>
  <si>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</si>
  <si>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</si>
  <si>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</si>
  <si>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</si>
  <si>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</si>
  <si>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</si>
  <si>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</si>
  <si>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</si>
  <si>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</si>
  <si>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</si>
  <si>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</si>
  <si>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</si>
  <si>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</si>
  <si>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</si>
  <si>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</si>
  <si>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</si>
  <si>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</si>
  <si>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</si>
  <si>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</si>
  <si>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</si>
  <si>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</si>
  <si>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</si>
  <si>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</si>
  <si>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</si>
  <si>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</si>
  <si>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</si>
  <si>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</si>
  <si>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</si>
  <si>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</si>
  <si>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</si>
  <si>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</si>
  <si>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</si>
  <si>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</si>
  <si>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</si>
  <si>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</si>
  <si>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</si>
  <si>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</si>
  <si>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</si>
  <si>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</si>
  <si>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</si>
  <si>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</si>
  <si>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</si>
  <si>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</si>
  <si>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</si>
  <si>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</si>
  <si>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</si>
  <si>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</si>
  <si>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</si>
  <si>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</si>
  <si>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</si>
  <si>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</si>
  <si>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</si>
  <si>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</si>
  <si>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</si>
  <si>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</si>
  <si>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</si>
  <si>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</si>
  <si>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</si>
  <si>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</si>
  <si>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</si>
  <si>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</si>
  <si>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</si>
  <si>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</si>
  <si>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</si>
  <si>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</si>
  <si>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</si>
  <si>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</si>
  <si>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</si>
  <si>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</si>
  <si>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</si>
  <si>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</si>
  <si>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</si>
  <si>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</si>
  <si>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</si>
  <si>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</si>
  <si>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</si>
  <si>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</si>
  <si>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</si>
  <si>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</si>
  <si>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</si>
  <si>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</si>
  <si>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</si>
  <si>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</si>
  <si>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</si>
  <si>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</si>
  <si>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</si>
  <si>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</si>
  <si>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</si>
  <si>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</si>
  <si>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</si>
  <si>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</si>
  <si>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</si>
  <si>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</si>
  <si>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</si>
  <si>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</si>
  <si>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</si>
  <si>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</si>
  <si>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</si>
  <si>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</si>
  <si>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</si>
  <si>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</si>
  <si>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</si>
  <si>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</si>
  <si>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</si>
  <si>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</si>
  <si>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</si>
  <si>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</si>
  <si>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</si>
  <si>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</si>
  <si>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</si>
  <si>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</si>
  <si>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</si>
  <si>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</si>
  <si>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</si>
  <si>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</si>
  <si>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</si>
  <si>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</si>
  <si>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</si>
  <si>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</si>
  <si>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</si>
  <si>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</si>
  <si>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</si>
  <si>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</si>
  <si>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</si>
  <si>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</si>
  <si>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</si>
  <si>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</si>
  <si>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</si>
  <si>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</si>
  <si>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</si>
  <si>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</si>
  <si>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</si>
  <si>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</si>
  <si>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</si>
  <si>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</si>
  <si>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</si>
  <si>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</si>
  <si>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</si>
  <si>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</si>
  <si>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</si>
  <si>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</si>
  <si>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</si>
  <si>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</si>
  <si>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</si>
  <si>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</si>
  <si>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</si>
  <si>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</si>
  <si>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</si>
  <si>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</si>
  <si>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</si>
  <si>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</si>
  <si>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</si>
  <si>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</si>
  <si>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</si>
  <si>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</si>
  <si>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</si>
  <si>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</si>
  <si>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</si>
  <si>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</si>
  <si>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</si>
  <si>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</si>
  <si>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</si>
  <si>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</si>
  <si>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</si>
  <si>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</si>
  <si>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</si>
  <si>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</si>
  <si>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</si>
  <si>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</si>
  <si>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</si>
  <si>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</si>
  <si>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</si>
  <si>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</si>
  <si>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</si>
  <si>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</si>
  <si>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</si>
  <si>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</si>
  <si>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</si>
  <si>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</si>
  <si>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</si>
  <si>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</si>
  <si>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</si>
  <si>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</si>
  <si>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</si>
  <si>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</si>
  <si>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</si>
  <si>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</si>
  <si>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</si>
  <si>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</si>
  <si>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</si>
  <si>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</si>
  <si>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</si>
  <si>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</si>
  <si>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</si>
  <si>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</si>
  <si>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</si>
  <si>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</si>
  <si>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</si>
  <si>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</si>
  <si>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</si>
  <si>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</si>
  <si>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</si>
  <si>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</si>
  <si>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</si>
  <si>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</si>
  <si>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</si>
  <si>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</si>
  <si>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</si>
  <si>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</si>
  <si>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</si>
  <si>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</si>
  <si>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</si>
  <si>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</si>
  <si>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</si>
  <si>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</si>
  <si>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</si>
  <si>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</si>
  <si>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</si>
  <si>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</si>
  <si>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</si>
  <si>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</si>
  <si>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</si>
  <si>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</si>
  <si>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</si>
  <si>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</si>
  <si>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</si>
  <si>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</si>
  <si>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</si>
  <si>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</si>
  <si>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</si>
  <si>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</si>
  <si>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</si>
  <si>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</si>
  <si>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</si>
  <si>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</si>
  <si>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</si>
  <si>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</si>
  <si>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</si>
  <si>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</si>
  <si>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</si>
  <si>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</si>
  <si>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</si>
  <si>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</si>
  <si>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</si>
  <si>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</si>
  <si>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</si>
  <si>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</si>
  <si>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</si>
  <si>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</si>
  <si>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</si>
  <si>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</si>
  <si>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</si>
  <si>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</si>
  <si>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</si>
  <si>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</si>
  <si>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</si>
  <si>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</si>
  <si>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</si>
  <si>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</si>
  <si>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</si>
  <si>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</si>
  <si>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</si>
  <si>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</si>
  <si>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</si>
  <si>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</si>
  <si>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</si>
  <si>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</si>
  <si>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</si>
  <si>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</si>
  <si>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</si>
  <si>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</si>
  <si>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</si>
  <si>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</si>
  <si>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</si>
  <si>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</si>
  <si>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</si>
  <si>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</si>
  <si>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</si>
  <si>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</si>
  <si>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</si>
  <si>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</si>
  <si>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</si>
  <si>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</si>
  <si>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</si>
  <si>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</si>
  <si>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</si>
  <si>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</si>
  <si>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</si>
  <si>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</si>
  <si>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</si>
  <si>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</si>
  <si>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</si>
  <si>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</si>
  <si>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</si>
  <si>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</si>
  <si>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</si>
  <si>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</si>
  <si>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</si>
  <si>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</si>
  <si>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</si>
  <si>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</si>
  <si>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</si>
  <si>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</si>
  <si>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</si>
  <si>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</si>
  <si>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</si>
  <si>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</si>
  <si>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</si>
  <si>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</si>
  <si>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</si>
  <si>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</si>
  <si>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</si>
  <si>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</si>
  <si>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</si>
  <si>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</si>
  <si>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</si>
  <si>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</si>
  <si>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</si>
  <si>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</si>
  <si>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</si>
  <si>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</si>
  <si>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</si>
  <si>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</si>
  <si>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</si>
  <si>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</si>
  <si>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</si>
  <si>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</si>
  <si>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</si>
  <si>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</si>
  <si>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</si>
  <si>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</si>
  <si>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</si>
  <si>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</si>
  <si>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</si>
  <si>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</si>
  <si>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</si>
  <si>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</si>
  <si>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</si>
  <si>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</si>
  <si>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</si>
  <si>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</si>
  <si>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</si>
  <si>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</si>
  <si>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</si>
  <si>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</si>
  <si>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</si>
  <si>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</si>
  <si>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</si>
  <si>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</si>
  <si>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</si>
  <si>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</si>
  <si>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</si>
  <si>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</si>
  <si>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</si>
  <si>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</si>
  <si>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</si>
  <si>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</si>
  <si>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</si>
  <si>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</si>
  <si>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</si>
  <si>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</si>
  <si>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</si>
  <si>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</si>
  <si>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</si>
  <si>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</si>
  <si>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</si>
  <si>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</si>
  <si>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</si>
  <si>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</si>
  <si>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</si>
  <si>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</si>
  <si>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</si>
  <si>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</si>
  <si>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</si>
  <si>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</si>
  <si>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</si>
  <si>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</si>
  <si>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</si>
  <si>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</si>
  <si>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</si>
  <si>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</si>
  <si>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</si>
  <si>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</si>
  <si>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</si>
  <si>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</si>
  <si>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</si>
  <si>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</si>
  <si>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</si>
  <si>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</si>
  <si>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</si>
  <si>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</si>
  <si>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</si>
  <si>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</si>
  <si>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</si>
  <si>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</si>
  <si>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</si>
  <si>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</si>
  <si>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</si>
  <si>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</si>
  <si>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</si>
  <si>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</si>
  <si>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</si>
  <si>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</si>
  <si>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</si>
  <si>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</si>
  <si>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</si>
  <si>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</si>
  <si>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</si>
  <si>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</si>
  <si>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</si>
  <si>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</si>
  <si>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</si>
  <si>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</si>
  <si>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</si>
  <si>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</si>
  <si>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</si>
  <si>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</si>
  <si>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</si>
  <si>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</si>
  <si>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</si>
  <si>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</si>
  <si>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</si>
  <si>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</si>
  <si>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</si>
  <si>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</si>
  <si>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</si>
  <si>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</si>
  <si>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</si>
  <si>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</si>
  <si>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</si>
  <si>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</si>
  <si>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</si>
  <si>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</si>
  <si>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</si>
  <si>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</si>
  <si>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</si>
  <si>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</si>
  <si>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</si>
  <si>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</si>
  <si>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</si>
  <si>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</si>
  <si>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</si>
  <si>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</si>
  <si>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</si>
  <si>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</si>
  <si>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</si>
  <si>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</si>
  <si>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</si>
  <si>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</si>
  <si>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</si>
  <si>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</si>
  <si>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</si>
  <si>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</si>
  <si>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</si>
  <si>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</si>
  <si>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</si>
  <si>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</si>
  <si>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</si>
  <si>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</si>
  <si>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</si>
  <si>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</si>
  <si>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</si>
  <si>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</si>
  <si>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</si>
  <si>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</si>
  <si>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</si>
  <si>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</si>
  <si>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</si>
  <si>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</si>
  <si>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</si>
  <si>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</si>
  <si>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</si>
  <si>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</si>
  <si>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</si>
  <si>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</si>
  <si>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</si>
  <si>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</si>
  <si>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</si>
  <si>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</si>
  <si>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</si>
  <si>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</si>
  <si>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</si>
  <si>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</si>
  <si>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</si>
  <si>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</si>
  <si>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</si>
  <si>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</si>
  <si>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</si>
  <si>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</si>
  <si>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</si>
  <si>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</si>
  <si>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</si>
  <si>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</si>
  <si>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</si>
  <si>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</si>
  <si>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</si>
  <si>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</si>
  <si>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</si>
  <si>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</si>
  <si>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</si>
  <si>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</si>
  <si>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</si>
  <si>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</si>
  <si>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</si>
  <si>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</si>
  <si>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</si>
  <si>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</si>
  <si>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</si>
  <si>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</si>
  <si>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</si>
  <si>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</si>
  <si>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</si>
  <si>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</si>
  <si>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</si>
  <si>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</si>
  <si>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</si>
  <si>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</si>
  <si>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</si>
  <si>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</si>
  <si>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</si>
  <si>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</si>
  <si>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</si>
  <si>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</si>
  <si>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</si>
  <si>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</si>
  <si>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</si>
  <si>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</si>
  <si>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</si>
  <si>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</si>
  <si>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</si>
  <si>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</si>
  <si>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</si>
  <si>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</si>
  <si>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</si>
  <si>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</si>
  <si>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</si>
  <si>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</si>
  <si>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</si>
  <si>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</si>
  <si>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</si>
  <si>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</si>
  <si>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</si>
  <si>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</si>
  <si>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</si>
  <si>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</si>
  <si>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</si>
  <si>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</si>
  <si>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</si>
  <si>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</si>
  <si>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</si>
  <si>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</si>
  <si>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</si>
  <si>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</si>
  <si>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</si>
  <si>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</si>
  <si>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</si>
  <si>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</si>
  <si>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</si>
  <si>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</si>
  <si>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</si>
  <si>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</si>
  <si>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</si>
  <si>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</si>
  <si>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</si>
  <si>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</si>
  <si>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</si>
  <si>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</si>
  <si>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</si>
  <si>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</si>
  <si>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</si>
  <si>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</si>
  <si>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</si>
  <si>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</si>
  <si>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</si>
  <si>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</si>
  <si>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</si>
  <si>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</si>
  <si>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</si>
  <si>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</si>
  <si>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</si>
  <si>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</si>
  <si>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</si>
  <si>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</si>
  <si>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</si>
  <si>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</si>
  <si>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</si>
  <si>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</si>
  <si>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</si>
  <si>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</si>
  <si>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</si>
  <si>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</si>
  <si>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</si>
  <si>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</si>
  <si>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</si>
  <si>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</si>
  <si>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</si>
  <si>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</si>
  <si>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</si>
  <si>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</si>
  <si>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</si>
  <si>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</si>
  <si>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</si>
  <si>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</si>
  <si>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</si>
  <si>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</si>
  <si>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</si>
  <si>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</si>
  <si>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</si>
  <si>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</si>
  <si>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</si>
  <si>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</si>
  <si>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</si>
  <si>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</si>
  <si>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</si>
  <si>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</si>
  <si>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</si>
  <si>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</si>
  <si>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</si>
  <si>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</si>
  <si>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</si>
  <si>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</si>
  <si>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</si>
  <si>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</si>
  <si>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</si>
  <si>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</si>
  <si>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</si>
  <si>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</si>
  <si>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</si>
  <si>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</si>
  <si>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</si>
  <si>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</si>
  <si>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</si>
  <si>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</si>
  <si>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</si>
  <si>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</si>
  <si>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</si>
  <si>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</si>
  <si>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</si>
  <si>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</si>
  <si>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</si>
  <si>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</si>
  <si>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</si>
  <si>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</si>
  <si>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</si>
  <si>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</si>
  <si>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</si>
  <si>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</si>
  <si>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</si>
  <si>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</si>
  <si>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</si>
  <si>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</si>
  <si>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</si>
  <si>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</si>
  <si>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</si>
  <si>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</si>
  <si>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</si>
  <si>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</si>
  <si>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</si>
  <si>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</si>
  <si>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</si>
  <si>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</si>
  <si>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</si>
  <si>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</si>
  <si>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</si>
  <si>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</si>
  <si>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</si>
  <si>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</si>
  <si>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</si>
  <si>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</si>
  <si>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</si>
  <si>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</si>
  <si>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</si>
  <si>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</si>
  <si>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</si>
  <si>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</si>
  <si>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</si>
  <si>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</si>
  <si>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</si>
  <si>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</si>
  <si>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</si>
  <si>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</si>
  <si>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</si>
  <si>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</si>
  <si>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</si>
  <si>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</si>
  <si>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</si>
  <si>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</si>
  <si>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</si>
  <si>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</si>
  <si>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</si>
  <si>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</si>
  <si>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</si>
  <si>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</si>
  <si>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</si>
  <si>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</si>
  <si>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</si>
  <si>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</si>
  <si>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</si>
  <si>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</si>
  <si>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</si>
  <si>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</si>
  <si>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</si>
  <si>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</si>
  <si>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</si>
  <si>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</si>
  <si>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</si>
  <si>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</si>
  <si>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</si>
  <si>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</si>
  <si>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</si>
  <si>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</si>
  <si>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</si>
  <si>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</si>
  <si>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</si>
  <si>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</si>
  <si>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</si>
  <si>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</si>
  <si>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</si>
  <si>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</si>
  <si>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</si>
  <si>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</si>
  <si>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</si>
  <si>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</si>
  <si>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</si>
  <si>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</si>
  <si>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</si>
  <si>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</si>
  <si>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</si>
  <si>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</si>
  <si>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</si>
  <si>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</si>
  <si>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</si>
  <si>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</si>
  <si>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</si>
  <si>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</si>
  <si>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</si>
  <si>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</si>
  <si>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</si>
  <si>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</si>
  <si>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</si>
  <si>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</si>
  <si>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</si>
  <si>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</si>
  <si>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</si>
  <si>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</si>
  <si>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</si>
  <si>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</si>
  <si>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</si>
  <si>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</si>
  <si>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</si>
  <si>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</si>
  <si>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</si>
  <si>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</si>
  <si>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</si>
  <si>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</si>
  <si>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</si>
  <si>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</si>
  <si>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</si>
  <si>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</si>
  <si>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</si>
  <si>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</si>
  <si>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</si>
  <si>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</si>
  <si>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</si>
  <si>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</si>
  <si>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</si>
  <si>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</si>
  <si>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</si>
  <si>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</si>
  <si>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</si>
  <si>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</si>
  <si>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</si>
  <si>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</si>
  <si>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</si>
  <si>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</si>
  <si>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</si>
  <si>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</si>
  <si>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</si>
  <si>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</si>
  <si>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</si>
  <si>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</si>
  <si>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</si>
  <si>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</si>
  <si>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</si>
  <si>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</si>
  <si>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</si>
  <si>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</si>
  <si>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</si>
  <si>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</si>
  <si>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</si>
  <si>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</si>
  <si>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</si>
  <si>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</si>
  <si>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</si>
  <si>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</si>
  <si>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</si>
  <si>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</si>
  <si>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</si>
  <si>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</si>
  <si>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</si>
  <si>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</si>
  <si>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</si>
  <si>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</si>
  <si>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</si>
  <si>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</si>
  <si>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</si>
  <si>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</si>
  <si>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</si>
  <si>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</si>
  <si>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</si>
  <si>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</si>
  <si>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</si>
  <si>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</si>
  <si>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</si>
  <si>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</si>
  <si>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</si>
  <si>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</si>
  <si>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</si>
  <si>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</si>
  <si>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</si>
  <si>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</si>
  <si>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</si>
  <si>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</si>
  <si>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</si>
  <si>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</si>
  <si>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</si>
  <si>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</si>
  <si>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</si>
  <si>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</si>
  <si>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</si>
  <si>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</si>
  <si>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</si>
  <si>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</si>
  <si>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</si>
  <si>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</si>
  <si>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</si>
  <si>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</si>
  <si>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</si>
  <si>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</si>
  <si>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</si>
  <si>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</si>
  <si>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</si>
  <si>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</si>
  <si>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</si>
  <si>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</si>
  <si>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</si>
  <si>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</si>
  <si>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</si>
  <si>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</si>
  <si>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</si>
  <si>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</si>
  <si>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</si>
  <si>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</si>
  <si>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</si>
  <si>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</si>
  <si>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GRAY HUNTER STENN LLP</t>
  </si>
  <si>
    <t>LOWELL A. YATES, C.P.A.</t>
  </si>
  <si>
    <t>500 MAINE STREET, PO BOX 32</t>
  </si>
  <si>
    <t>QUINCY</t>
  </si>
  <si>
    <t>IL</t>
  </si>
  <si>
    <t>62306-0032</t>
  </si>
  <si>
    <t>217-222-1691</t>
  </si>
  <si>
    <t>066-003689</t>
  </si>
  <si>
    <t>lay@gray-hunter-stenn.com</t>
  </si>
  <si>
    <t>JILL REIS</t>
  </si>
  <si>
    <t>jreis@roe1.net</t>
  </si>
  <si>
    <t>217-277-2080</t>
  </si>
  <si>
    <t>217-277-2092</t>
  </si>
  <si>
    <t>ADAMS</t>
  </si>
  <si>
    <t>406 WEST STATE STREET</t>
  </si>
  <si>
    <t>PAYSON</t>
  </si>
  <si>
    <t>dveile@cusd1.org</t>
  </si>
  <si>
    <t>DR DONNA VEILE</t>
  </si>
  <si>
    <t>217-656-3323</t>
  </si>
  <si>
    <t>217-656-4042</t>
  </si>
  <si>
    <t>3,4</t>
  </si>
  <si>
    <t>GENERAL OBLIGATION SCHOOL BONDS, SERIES 2015B</t>
  </si>
  <si>
    <t>TAXABLE GEN OBLIGATION SCH BONDS,SERIES 2017</t>
  </si>
  <si>
    <t>1,3</t>
  </si>
  <si>
    <t>217-222-0304</t>
  </si>
  <si>
    <t>Item 8 - No Corporatae Personal Property Tax was deposited in the Municipal Retirement/Social Security Fund.</t>
  </si>
  <si>
    <t>TAXABLE GEN OBLIGATION SCH BONDS, SERIES 2015A</t>
  </si>
  <si>
    <t>Quincy CUSD No. 172</t>
  </si>
  <si>
    <t>Mendon CUSD No. 4 (Football)</t>
  </si>
  <si>
    <t>Western CUSD No. 12 (HS Girls Basketball)</t>
  </si>
  <si>
    <t>INSTALLMENT LOAN</t>
  </si>
  <si>
    <t>Hy-Vee</t>
  </si>
  <si>
    <t>10-2560-300</t>
  </si>
  <si>
    <t>ED-Food Services-Purchased Services</t>
  </si>
  <si>
    <t>ED-Instruction-Purchased Services</t>
  </si>
  <si>
    <t>The Business Center</t>
  </si>
  <si>
    <t>ED-Board of Education Services-Purchased Services</t>
  </si>
  <si>
    <t>Adams</t>
  </si>
  <si>
    <t>Trans-Pupil Transportation Services-Purchased Services</t>
  </si>
  <si>
    <t>40-2550-300</t>
  </si>
  <si>
    <t>Kansas State Bank (Central States Bus Sales)</t>
  </si>
  <si>
    <t>Bank of America National (Central States)</t>
  </si>
  <si>
    <t>Page 10, Line 107 - Other Local Revenue:</t>
  </si>
  <si>
    <t>Column C - Educational</t>
  </si>
  <si>
    <t>IHSA - High School Volleyball State</t>
  </si>
  <si>
    <t>Miscellaneous</t>
  </si>
  <si>
    <t>Column D - Operations &amp; Maintenance</t>
  </si>
  <si>
    <t>Column F - Transportation</t>
  </si>
  <si>
    <t>Blue Bird Reimbursement for Bus Recall</t>
  </si>
  <si>
    <t>Page 12, Line 171 - Other Restricted Revenue From State Sources:</t>
  </si>
  <si>
    <t>State Library Grant (FY 17 &amp; FY18)</t>
  </si>
  <si>
    <t>Page 19, Line 171 - Debt Services - Other:</t>
  </si>
  <si>
    <t>Column H - Other Objects</t>
  </si>
  <si>
    <t>Paying Agent Fees</t>
  </si>
  <si>
    <t>Court Disbursement Restitution</t>
  </si>
  <si>
    <t>Audit Checklist:</t>
  </si>
  <si>
    <t>STATE STREET BANK VEHICLE LOAN</t>
  </si>
  <si>
    <t>Item 8, Page 24 - Schedule of Bonds Payable</t>
  </si>
  <si>
    <t>The Audit Checklist shows an error message due to the payments and outstanding balance due on the District's</t>
  </si>
  <si>
    <t>Installment Contract for the purchase of a vehicle in the Transportation Fund.</t>
  </si>
  <si>
    <t>10-1000-300</t>
  </si>
  <si>
    <t>10-2300-300</t>
  </si>
  <si>
    <t>Page 29</t>
  </si>
  <si>
    <t>Payson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</si>
</sst>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singleAccounting"/>
      <sz val="10"/>
      <name val="Calibri"/>
      <family val="2"/>
      <scheme val="minor"/>
    </font>
    <font>
      <u val="doubleAccounting"/>
      <sz val="10"/>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1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6" fillId="0" borderId="158" xfId="17" applyNumberFormat="1" applyFont="1" applyBorder="1" applyAlignment="1" applyProtection="1">
      <alignment horizontal="center"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0" fontId="3" fillId="0" borderId="158" xfId="17" applyFont="1" applyBorder="1" applyAlignment="1" applyProtection="1">
      <alignment vertical="top"/>
      <protection locked="0"/>
    </xf>
    <xf numFmtId="49" fontId="3" fillId="0" borderId="158" xfId="17" applyNumberFormat="1" applyFont="1" applyBorder="1" applyAlignment="1" applyProtection="1">
      <alignment horizontal="center" vertical="top"/>
      <protection locked="0"/>
    </xf>
    <xf numFmtId="0" fontId="3" fillId="0" borderId="158" xfId="17" applyFont="1" applyBorder="1" applyAlignment="1" applyProtection="1">
      <alignment horizontal="left" vertical="top" wrapText="1"/>
      <protection locked="0"/>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164" fontId="75" fillId="0" borderId="0" xfId="0" applyNumberFormat="1" applyFont="1"/>
    <xf numFmtId="41" fontId="57" fillId="0" borderId="0" xfId="0" applyNumberFormat="1" applyFont="1"/>
    <xf numFmtId="41" fontId="138" fillId="0" borderId="0" xfId="0" applyNumberFormat="1" applyFont="1"/>
    <xf numFmtId="41" fontId="139" fillId="0" borderId="0" xfId="0" applyNumberFormat="1" applyFont="1"/>
    <xf numFmtId="0" fontId="57" fillId="0" borderId="0" xfId="0" applyFont="1" applyAlignment="1">
      <alignment horizontal="right"/>
    </xf>
    <xf numFmtId="49" fontId="1" fillId="0" borderId="158" xfId="17" applyNumberFormat="1" applyFont="1" applyBorder="1" applyAlignment="1" applyProtection="1">
      <alignment horizontal="center" vertical="top"/>
      <protection locked="0"/>
    </xf>
    <xf numFmtId="0" fontId="1" fillId="0" borderId="0" xfId="17" applyFont="1" applyAlignment="1">
      <alignment horizontal="center" vertical="center"/>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xdr:row>
          <xdr:rowOff>9525</xdr:rowOff>
        </xdr:from>
        <xdr:to>
          <xdr:col>1</xdr:col>
          <xdr:colOff>933450</xdr:colOff>
          <xdr:row>4</xdr:row>
          <xdr:rowOff>171450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1152525</xdr:colOff>
          <xdr:row>1</xdr:row>
          <xdr:rowOff>38100</xdr:rowOff>
        </xdr:from>
        <xdr:to>
          <xdr:col>1</xdr:col>
          <xdr:colOff>2066925</xdr:colOff>
          <xdr:row>5</xdr:row>
          <xdr:rowOff>19050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2343150</xdr:colOff>
          <xdr:row>1</xdr:row>
          <xdr:rowOff>57150</xdr:rowOff>
        </xdr:from>
        <xdr:to>
          <xdr:col>1</xdr:col>
          <xdr:colOff>3257550</xdr:colOff>
          <xdr:row>5</xdr:row>
          <xdr:rowOff>38100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3543300</xdr:colOff>
          <xdr:row>1</xdr:row>
          <xdr:rowOff>66675</xdr:rowOff>
        </xdr:from>
        <xdr:to>
          <xdr:col>2</xdr:col>
          <xdr:colOff>361950</xdr:colOff>
          <xdr:row>5</xdr:row>
          <xdr:rowOff>57150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I18" sqref="I18:S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3" t="s">
        <v>425</v>
      </c>
      <c r="J1" s="2044"/>
      <c r="K1" s="2044"/>
      <c r="L1" s="2044"/>
      <c r="M1" s="2044"/>
      <c r="N1" s="2044"/>
      <c r="O1" s="2044"/>
      <c r="P1" s="2044"/>
      <c r="Q1" s="2044"/>
      <c r="R1" s="2044"/>
      <c r="S1" s="2044"/>
    </row>
    <row r="2" spans="1:28" ht="12" customHeight="1" x14ac:dyDescent="0.2">
      <c r="A2" s="47" t="s">
        <v>1684</v>
      </c>
      <c r="D2" s="48"/>
      <c r="I2" s="2045" t="s">
        <v>1036</v>
      </c>
      <c r="J2" s="2044"/>
      <c r="K2" s="2044"/>
      <c r="L2" s="2044"/>
      <c r="M2" s="2044"/>
      <c r="N2" s="2044"/>
      <c r="O2" s="2044"/>
      <c r="P2" s="2044"/>
      <c r="Q2" s="2044"/>
      <c r="R2" s="2044"/>
      <c r="S2" s="2044"/>
    </row>
    <row r="3" spans="1:28" ht="12" customHeight="1" x14ac:dyDescent="0.2">
      <c r="A3" s="155" t="s">
        <v>1685</v>
      </c>
      <c r="B3" s="156"/>
      <c r="C3" s="156"/>
      <c r="D3" s="157"/>
      <c r="I3" s="2045" t="s">
        <v>54</v>
      </c>
      <c r="J3" s="2044"/>
      <c r="K3" s="2044"/>
      <c r="L3" s="2044"/>
      <c r="M3" s="2044"/>
      <c r="N3" s="2044"/>
      <c r="O3" s="2044"/>
      <c r="P3" s="2044"/>
      <c r="Q3" s="2044"/>
      <c r="R3" s="2044"/>
      <c r="S3" s="2044"/>
    </row>
    <row r="4" spans="1:28" ht="12" customHeight="1" x14ac:dyDescent="0.2">
      <c r="A4" s="37"/>
      <c r="I4" s="2045" t="s">
        <v>545</v>
      </c>
      <c r="J4" s="2044"/>
      <c r="K4" s="2044"/>
      <c r="L4" s="2044"/>
      <c r="M4" s="2044"/>
      <c r="N4" s="2044"/>
      <c r="O4" s="2044"/>
      <c r="P4" s="2044"/>
      <c r="Q4" s="2044"/>
      <c r="R4" s="2044"/>
      <c r="S4" s="2044"/>
    </row>
    <row r="5" spans="1:28" ht="14.1" customHeight="1" x14ac:dyDescent="0.2">
      <c r="B5" s="104" t="s">
        <v>2077</v>
      </c>
      <c r="C5" s="26" t="s">
        <v>966</v>
      </c>
      <c r="D5" s="84"/>
      <c r="E5" s="84"/>
      <c r="H5" s="38"/>
      <c r="I5" s="2052" t="s">
        <v>701</v>
      </c>
      <c r="J5" s="1997"/>
      <c r="K5" s="1997"/>
      <c r="L5" s="1997"/>
      <c r="M5" s="1997"/>
      <c r="N5" s="1997"/>
      <c r="O5" s="1997"/>
      <c r="P5" s="1997"/>
      <c r="Q5" s="1997"/>
      <c r="R5" s="1997"/>
      <c r="S5" s="1997"/>
    </row>
    <row r="6" spans="1:28" ht="14.1" customHeight="1" x14ac:dyDescent="0.2">
      <c r="B6" s="104"/>
      <c r="C6" s="26" t="s">
        <v>967</v>
      </c>
      <c r="D6" s="84"/>
      <c r="E6" s="84"/>
      <c r="I6" s="2051" t="s">
        <v>938</v>
      </c>
      <c r="J6" s="1997"/>
      <c r="K6" s="1997"/>
      <c r="L6" s="1997"/>
      <c r="M6" s="1997"/>
      <c r="N6" s="1997"/>
      <c r="O6" s="1997"/>
      <c r="P6" s="1997"/>
      <c r="Q6" s="1997"/>
      <c r="R6" s="1997"/>
      <c r="S6" s="1997"/>
    </row>
    <row r="7" spans="1:28" ht="12.2" customHeight="1" x14ac:dyDescent="0.2">
      <c r="I7" s="2046">
        <v>43281</v>
      </c>
      <c r="J7" s="2047"/>
      <c r="K7" s="2047"/>
      <c r="L7" s="2047"/>
      <c r="M7" s="2047"/>
      <c r="N7" s="2047"/>
      <c r="O7" s="2047"/>
      <c r="P7" s="2047"/>
      <c r="Q7" s="2047"/>
      <c r="R7" s="2047"/>
      <c r="S7" s="204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8" t="s">
        <v>695</v>
      </c>
      <c r="J9" s="2049"/>
      <c r="K9" s="2049"/>
      <c r="L9" s="2049"/>
      <c r="M9" s="2049"/>
      <c r="N9" s="2049"/>
      <c r="O9" s="2049"/>
      <c r="P9" s="2049"/>
      <c r="Q9" s="2049"/>
      <c r="R9" s="2049"/>
      <c r="S9" s="2050"/>
      <c r="T9" s="1993" t="s">
        <v>554</v>
      </c>
      <c r="U9" s="1994"/>
      <c r="V9" s="1994"/>
      <c r="W9" s="1994"/>
      <c r="X9" s="1994"/>
      <c r="Y9" s="1994"/>
      <c r="Z9" s="1994"/>
      <c r="AA9" s="1995"/>
    </row>
    <row r="10" spans="1:28" ht="13.5" customHeight="1" x14ac:dyDescent="0.2">
      <c r="A10" s="2002" t="s">
        <v>696</v>
      </c>
      <c r="B10" s="2003"/>
      <c r="C10" s="2003"/>
      <c r="D10" s="2003"/>
      <c r="E10" s="2003"/>
      <c r="F10" s="2003"/>
      <c r="G10" s="2003"/>
      <c r="H10" s="2004"/>
      <c r="I10" s="29"/>
      <c r="J10" s="30"/>
      <c r="K10" s="28"/>
      <c r="R10" s="30"/>
      <c r="S10" s="30"/>
      <c r="T10" s="1996"/>
      <c r="U10" s="1997"/>
      <c r="V10" s="1997"/>
      <c r="W10" s="1997"/>
      <c r="X10" s="1997"/>
      <c r="Y10" s="1997"/>
      <c r="Z10" s="1997"/>
      <c r="AA10" s="1998"/>
    </row>
    <row r="11" spans="1:28" ht="14.25" customHeight="1" x14ac:dyDescent="0.2">
      <c r="A11" s="2005" t="s">
        <v>1012</v>
      </c>
      <c r="B11" s="2006"/>
      <c r="C11" s="2006"/>
      <c r="D11" s="2006"/>
      <c r="E11" s="2006"/>
      <c r="F11" s="2006"/>
      <c r="G11" s="2006"/>
      <c r="H11" s="2007"/>
      <c r="I11" s="27"/>
      <c r="J11" s="74"/>
      <c r="K11" s="27"/>
      <c r="O11" s="148" t="s">
        <v>2077</v>
      </c>
      <c r="P11" s="100" t="s">
        <v>210</v>
      </c>
      <c r="Q11" s="30"/>
      <c r="R11" s="28"/>
      <c r="S11" s="27"/>
      <c r="T11" s="1999"/>
      <c r="U11" s="2000"/>
      <c r="V11" s="2000"/>
      <c r="W11" s="2000"/>
      <c r="X11" s="2000"/>
      <c r="Y11" s="2000"/>
      <c r="Z11" s="2000"/>
      <c r="AA11" s="200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13">
        <v>1001001026</v>
      </c>
      <c r="B13" s="2014"/>
      <c r="C13" s="2014"/>
      <c r="D13" s="2014"/>
      <c r="E13" s="2014"/>
      <c r="F13" s="2014"/>
      <c r="G13" s="2014"/>
      <c r="H13" s="2015"/>
      <c r="I13" s="31"/>
      <c r="J13" s="30"/>
      <c r="K13" s="28"/>
      <c r="L13" s="30"/>
      <c r="M13" s="30"/>
      <c r="N13" s="30"/>
      <c r="O13" s="30"/>
      <c r="P13" s="30"/>
      <c r="Q13" s="30"/>
      <c r="R13" s="30"/>
      <c r="S13" s="30"/>
      <c r="T13" s="2018" t="s">
        <v>2078</v>
      </c>
      <c r="U13" s="2019"/>
      <c r="V13" s="2019"/>
      <c r="W13" s="2019"/>
      <c r="X13" s="2019"/>
      <c r="Y13" s="2020"/>
      <c r="Z13" s="2020"/>
      <c r="AA13" s="202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11" t="s">
        <v>2091</v>
      </c>
      <c r="B15" s="2016"/>
      <c r="C15" s="2016"/>
      <c r="D15" s="2016"/>
      <c r="E15" s="2016"/>
      <c r="F15" s="2016"/>
      <c r="G15" s="2016"/>
      <c r="H15" s="2017"/>
      <c r="T15" s="1979" t="s">
        <v>2079</v>
      </c>
      <c r="U15" s="1980"/>
      <c r="V15" s="1980"/>
      <c r="W15" s="1980"/>
      <c r="X15" s="1980"/>
      <c r="Y15" s="2022"/>
      <c r="Z15" s="2022"/>
      <c r="AA15" s="202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71" t="s">
        <v>2141</v>
      </c>
      <c r="B17" s="2041"/>
      <c r="C17" s="2041"/>
      <c r="D17" s="2041"/>
      <c r="E17" s="2041"/>
      <c r="F17" s="2041"/>
      <c r="G17" s="2041"/>
      <c r="H17" s="2042"/>
      <c r="T17" s="2028" t="s">
        <v>2080</v>
      </c>
      <c r="U17" s="2029"/>
      <c r="V17" s="2029"/>
      <c r="W17" s="2029"/>
      <c r="X17" s="2029"/>
      <c r="Y17" s="2029"/>
      <c r="Z17" s="2029"/>
      <c r="AA17" s="2030"/>
    </row>
    <row r="18" spans="1:27" ht="13.5" customHeight="1" x14ac:dyDescent="0.2">
      <c r="A18" s="85" t="s">
        <v>551</v>
      </c>
      <c r="B18" s="76"/>
      <c r="C18" s="72"/>
      <c r="D18" s="76"/>
      <c r="E18" s="76"/>
      <c r="F18" s="76"/>
      <c r="G18" s="76"/>
      <c r="H18" s="56"/>
      <c r="I18" s="2038" t="s">
        <v>697</v>
      </c>
      <c r="J18" s="2039"/>
      <c r="K18" s="2039"/>
      <c r="L18" s="2039"/>
      <c r="M18" s="2039"/>
      <c r="N18" s="2039"/>
      <c r="O18" s="2039"/>
      <c r="P18" s="2039"/>
      <c r="Q18" s="2039"/>
      <c r="R18" s="2039"/>
      <c r="S18" s="2040"/>
      <c r="T18" s="85" t="s">
        <v>735</v>
      </c>
      <c r="U18" s="51"/>
      <c r="V18" s="72"/>
      <c r="W18" s="50"/>
      <c r="X18" s="85" t="s">
        <v>284</v>
      </c>
      <c r="Y18" s="81"/>
      <c r="Z18" s="159" t="s">
        <v>698</v>
      </c>
      <c r="AA18" s="46"/>
    </row>
    <row r="19" spans="1:27" ht="13.5" customHeight="1" x14ac:dyDescent="0.2">
      <c r="A19" s="2011" t="s">
        <v>2092</v>
      </c>
      <c r="B19" s="2012"/>
      <c r="C19" s="2012"/>
      <c r="D19" s="2012"/>
      <c r="E19" s="2012"/>
      <c r="F19" s="2012"/>
      <c r="G19" s="2012"/>
      <c r="H19" s="2010"/>
      <c r="I19" s="30"/>
      <c r="J19" s="99"/>
      <c r="K19" s="40"/>
      <c r="L19" s="38"/>
      <c r="M19" s="112" t="s">
        <v>333</v>
      </c>
      <c r="P19" s="27"/>
      <c r="Q19" s="27"/>
      <c r="R19" s="27"/>
      <c r="S19" s="31"/>
      <c r="T19" s="2011" t="s">
        <v>2081</v>
      </c>
      <c r="U19" s="2009"/>
      <c r="V19" s="2009"/>
      <c r="W19" s="2010"/>
      <c r="X19" s="2026" t="s">
        <v>2082</v>
      </c>
      <c r="Y19" s="2027"/>
      <c r="Z19" s="2024" t="s">
        <v>2083</v>
      </c>
      <c r="AA19" s="202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8" t="s">
        <v>2093</v>
      </c>
      <c r="B21" s="2009"/>
      <c r="C21" s="2009"/>
      <c r="D21" s="2009"/>
      <c r="E21" s="2009"/>
      <c r="F21" s="2009"/>
      <c r="G21" s="2009"/>
      <c r="H21" s="2010"/>
      <c r="I21" s="2034" t="s">
        <v>699</v>
      </c>
      <c r="J21" s="1997"/>
      <c r="K21" s="1997"/>
      <c r="L21" s="1997"/>
      <c r="M21" s="1997"/>
      <c r="N21" s="1997"/>
      <c r="O21" s="1997"/>
      <c r="P21" s="1997"/>
      <c r="Q21" s="1997"/>
      <c r="R21" s="1997"/>
      <c r="S21" s="1998"/>
      <c r="T21" s="1976" t="s">
        <v>2102</v>
      </c>
      <c r="U21" s="1977"/>
      <c r="V21" s="1977"/>
      <c r="W21" s="1977"/>
      <c r="X21" s="1990" t="s">
        <v>2084</v>
      </c>
      <c r="Y21" s="1991"/>
      <c r="Z21" s="1991"/>
      <c r="AA21" s="1992"/>
    </row>
    <row r="22" spans="1:27" ht="13.5" customHeight="1" x14ac:dyDescent="0.2">
      <c r="A22" s="87" t="s">
        <v>552</v>
      </c>
      <c r="B22" s="59"/>
      <c r="C22" s="59"/>
      <c r="D22" s="59"/>
      <c r="E22" s="59"/>
      <c r="F22" s="59"/>
      <c r="G22" s="59"/>
      <c r="H22" s="60"/>
      <c r="I22" s="2035" t="s">
        <v>1504</v>
      </c>
      <c r="J22" s="2036"/>
      <c r="K22" s="2036"/>
      <c r="L22" s="2036"/>
      <c r="M22" s="2036"/>
      <c r="N22" s="2036"/>
      <c r="O22" s="2036"/>
      <c r="P22" s="2036"/>
      <c r="Q22" s="2036"/>
      <c r="R22" s="2036"/>
      <c r="S22" s="2037"/>
      <c r="T22" s="85" t="s">
        <v>1596</v>
      </c>
      <c r="U22" s="51"/>
      <c r="V22" s="72"/>
      <c r="W22" s="51"/>
      <c r="X22" s="160" t="s">
        <v>1385</v>
      </c>
      <c r="Z22" s="45"/>
      <c r="AA22" s="46"/>
    </row>
    <row r="23" spans="1:27" ht="13.5" customHeight="1" x14ac:dyDescent="0.2">
      <c r="A23" s="2031" t="s">
        <v>2094</v>
      </c>
      <c r="B23" s="2032"/>
      <c r="C23" s="2032"/>
      <c r="D23" s="2032"/>
      <c r="E23" s="2032"/>
      <c r="F23" s="2032"/>
      <c r="G23" s="2032"/>
      <c r="H23" s="2033"/>
      <c r="T23" s="1971" t="s">
        <v>2085</v>
      </c>
      <c r="U23" s="1972"/>
      <c r="V23" s="1972"/>
      <c r="W23" s="1972"/>
      <c r="X23" s="1987">
        <v>43434</v>
      </c>
      <c r="Y23" s="1988"/>
      <c r="Z23" s="1988"/>
      <c r="AA23" s="1989"/>
    </row>
    <row r="24" spans="1:27" ht="14.1" customHeight="1" x14ac:dyDescent="0.2">
      <c r="A24" s="88" t="s">
        <v>698</v>
      </c>
      <c r="B24" s="49"/>
      <c r="C24" s="49"/>
      <c r="D24" s="49"/>
      <c r="E24" s="49"/>
      <c r="F24" s="49"/>
      <c r="G24" s="49"/>
      <c r="H24" s="61"/>
      <c r="J24" s="2073">
        <f>IF(B5="x",IF(AUDITCHECK!D29="AFR form Incomplete.","",IF(AUDITCHECK!D29="Deficit reduction plan is required.","School District must complete a deficit reduction plan in the 2018-2019 Budget",)),"")</f>
        <v>0</v>
      </c>
      <c r="K24" s="2073"/>
      <c r="L24" s="2073"/>
      <c r="M24" s="2073"/>
      <c r="N24" s="2073"/>
      <c r="O24" s="2073"/>
      <c r="P24" s="2073"/>
      <c r="Q24" s="2073"/>
      <c r="R24" s="2073"/>
      <c r="S24" s="2074"/>
      <c r="T24" s="105" t="s">
        <v>552</v>
      </c>
      <c r="U24" s="106"/>
      <c r="V24" s="106"/>
      <c r="W24" s="106"/>
      <c r="X24" s="107"/>
      <c r="Y24" s="107"/>
      <c r="Z24" s="107"/>
      <c r="AA24" s="108"/>
    </row>
    <row r="25" spans="1:27" ht="14.1" customHeight="1" x14ac:dyDescent="0.2">
      <c r="A25" s="2008">
        <v>62360</v>
      </c>
      <c r="B25" s="2009"/>
      <c r="C25" s="2009"/>
      <c r="D25" s="2009"/>
      <c r="E25" s="2009"/>
      <c r="F25" s="2009"/>
      <c r="G25" s="2009"/>
      <c r="H25" s="2010"/>
      <c r="I25" s="113"/>
      <c r="J25" s="2075"/>
      <c r="K25" s="2075"/>
      <c r="L25" s="2075"/>
      <c r="M25" s="2075"/>
      <c r="N25" s="2075"/>
      <c r="O25" s="2075"/>
      <c r="P25" s="2075"/>
      <c r="Q25" s="2075"/>
      <c r="R25" s="2075"/>
      <c r="S25" s="2076"/>
      <c r="T25" s="1968" t="s">
        <v>2086</v>
      </c>
      <c r="U25" s="1969"/>
      <c r="V25" s="1969"/>
      <c r="W25" s="1969"/>
      <c r="X25" s="1969"/>
      <c r="Y25" s="1969"/>
      <c r="Z25" s="1969"/>
      <c r="AA25" s="197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6" t="s">
        <v>1591</v>
      </c>
      <c r="J27" s="2039"/>
      <c r="K27" s="2039"/>
      <c r="L27" s="2039"/>
      <c r="M27" s="2039"/>
      <c r="N27" s="2039"/>
      <c r="O27" s="2039"/>
      <c r="P27" s="2039"/>
      <c r="Q27" s="2039"/>
      <c r="R27" s="2039"/>
      <c r="S27" s="204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2"/>
      <c r="Q35" s="2009"/>
      <c r="R35" s="200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71" t="s">
        <v>2095</v>
      </c>
      <c r="B38" s="2041"/>
      <c r="C38" s="2041"/>
      <c r="D38" s="2041"/>
      <c r="E38" s="2041"/>
      <c r="F38" s="2009"/>
      <c r="G38" s="2009"/>
      <c r="H38" s="2010"/>
      <c r="I38" s="2060"/>
      <c r="J38" s="1980"/>
      <c r="K38" s="1980"/>
      <c r="L38" s="1980"/>
      <c r="M38" s="1980"/>
      <c r="N38" s="1980"/>
      <c r="O38" s="1980"/>
      <c r="P38" s="1981"/>
      <c r="Q38" s="1981"/>
      <c r="R38" s="1981"/>
      <c r="S38" s="1982"/>
      <c r="T38" s="1979" t="s">
        <v>2087</v>
      </c>
      <c r="U38" s="1980"/>
      <c r="V38" s="1980"/>
      <c r="W38" s="1980"/>
      <c r="X38" s="1981"/>
      <c r="Y38" s="1981"/>
      <c r="Z38" s="1981"/>
      <c r="AA38" s="1982"/>
    </row>
    <row r="39" spans="1:27" ht="12" customHeight="1" x14ac:dyDescent="0.2">
      <c r="A39" s="2064" t="s">
        <v>552</v>
      </c>
      <c r="B39" s="2065"/>
      <c r="C39" s="72"/>
      <c r="D39" s="69"/>
      <c r="E39" s="69"/>
      <c r="F39" s="79"/>
      <c r="G39" s="69"/>
      <c r="H39" s="56"/>
      <c r="I39" s="2064" t="s">
        <v>552</v>
      </c>
      <c r="J39" s="2065"/>
      <c r="K39" s="2065"/>
      <c r="L39" s="2065"/>
      <c r="M39" s="2065"/>
      <c r="N39" s="67"/>
      <c r="O39" s="72"/>
      <c r="P39" s="72"/>
      <c r="Q39" s="78"/>
      <c r="R39" s="72"/>
      <c r="S39" s="56"/>
      <c r="T39" s="72" t="s">
        <v>552</v>
      </c>
      <c r="U39" s="51"/>
      <c r="V39" s="72"/>
      <c r="W39" s="50"/>
      <c r="X39" s="78"/>
      <c r="Y39" s="45"/>
      <c r="Z39" s="45"/>
      <c r="AA39" s="46"/>
    </row>
    <row r="40" spans="1:27" ht="13.5" customHeight="1" x14ac:dyDescent="0.2">
      <c r="A40" s="2067" t="s">
        <v>2094</v>
      </c>
      <c r="B40" s="2068"/>
      <c r="C40" s="2069"/>
      <c r="D40" s="2069"/>
      <c r="E40" s="2069"/>
      <c r="F40" s="2070"/>
      <c r="G40" s="2070"/>
      <c r="H40" s="2071"/>
      <c r="I40" s="1983"/>
      <c r="J40" s="1985"/>
      <c r="K40" s="1985"/>
      <c r="L40" s="1985"/>
      <c r="M40" s="1985"/>
      <c r="N40" s="1985"/>
      <c r="O40" s="1985"/>
      <c r="P40" s="1985"/>
      <c r="Q40" s="1985"/>
      <c r="R40" s="1985"/>
      <c r="S40" s="1986"/>
      <c r="T40" s="1983" t="s">
        <v>2088</v>
      </c>
      <c r="U40" s="1984"/>
      <c r="V40" s="1985"/>
      <c r="W40" s="1985"/>
      <c r="X40" s="1985"/>
      <c r="Y40" s="1985"/>
      <c r="Z40" s="1985"/>
      <c r="AA40" s="198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7" t="s">
        <v>2096</v>
      </c>
      <c r="B42" s="2058"/>
      <c r="C42" s="2059"/>
      <c r="D42" s="2072" t="s">
        <v>2097</v>
      </c>
      <c r="E42" s="2058"/>
      <c r="F42" s="2058"/>
      <c r="G42" s="2058"/>
      <c r="H42" s="2059"/>
      <c r="I42" s="1978"/>
      <c r="J42" s="1974"/>
      <c r="K42" s="1974"/>
      <c r="L42" s="1974"/>
      <c r="M42" s="1974"/>
      <c r="N42" s="1974"/>
      <c r="O42" s="1975"/>
      <c r="P42" s="1973"/>
      <c r="Q42" s="1974"/>
      <c r="R42" s="1974"/>
      <c r="S42" s="1975"/>
      <c r="T42" s="1978" t="s">
        <v>2089</v>
      </c>
      <c r="U42" s="1974"/>
      <c r="V42" s="1974"/>
      <c r="W42" s="1975"/>
      <c r="X42" s="1973" t="s">
        <v>2090</v>
      </c>
      <c r="Y42" s="1974"/>
      <c r="Z42" s="1974"/>
      <c r="AA42" s="197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1"/>
      <c r="B44" s="2062"/>
      <c r="C44" s="2062"/>
      <c r="D44" s="2062"/>
      <c r="E44" s="2062"/>
      <c r="F44" s="2062"/>
      <c r="G44" s="2062"/>
      <c r="H44" s="2063"/>
      <c r="I44" s="2053"/>
      <c r="J44" s="2055"/>
      <c r="K44" s="2055"/>
      <c r="L44" s="2055"/>
      <c r="M44" s="2055"/>
      <c r="N44" s="2055"/>
      <c r="O44" s="2055"/>
      <c r="P44" s="2055"/>
      <c r="Q44" s="2055"/>
      <c r="R44" s="2055"/>
      <c r="S44" s="2056"/>
      <c r="T44" s="2053"/>
      <c r="U44" s="2054"/>
      <c r="V44" s="2054"/>
      <c r="W44" s="2054"/>
      <c r="X44" s="2054"/>
      <c r="Y44" s="2054"/>
      <c r="Z44" s="2055"/>
      <c r="AA44" s="205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H16" sqref="H16"/>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10" t="s">
        <v>1905</v>
      </c>
      <c r="B2" s="1549" t="s">
        <v>2037</v>
      </c>
      <c r="C2" s="715" t="s">
        <v>1910</v>
      </c>
      <c r="D2" s="715" t="s">
        <v>1911</v>
      </c>
      <c r="E2" s="715" t="s">
        <v>1912</v>
      </c>
      <c r="F2" s="715" t="s">
        <v>1913</v>
      </c>
    </row>
    <row r="3" spans="1:6" ht="12" customHeight="1" x14ac:dyDescent="0.2">
      <c r="A3" s="2211"/>
      <c r="B3" s="1546"/>
      <c r="C3" s="1547"/>
      <c r="D3" s="1548" t="s">
        <v>274</v>
      </c>
      <c r="E3" s="1547"/>
      <c r="F3" s="1548" t="s">
        <v>275</v>
      </c>
    </row>
    <row r="4" spans="1:6" ht="13.7" customHeight="1" x14ac:dyDescent="0.2">
      <c r="A4" s="716" t="s">
        <v>1217</v>
      </c>
      <c r="B4" s="1770">
        <f>'Revenues 9-14'!C5</f>
        <v>1010751</v>
      </c>
      <c r="C4" s="1545"/>
      <c r="D4" s="1773">
        <f>B4-C4</f>
        <v>1010751</v>
      </c>
      <c r="E4" s="1545">
        <v>1080801</v>
      </c>
      <c r="F4" s="1773">
        <f>E4-C4</f>
        <v>1080801</v>
      </c>
    </row>
    <row r="5" spans="1:6" ht="13.7" customHeight="1" x14ac:dyDescent="0.2">
      <c r="A5" s="716" t="s">
        <v>925</v>
      </c>
      <c r="B5" s="1771">
        <f>'Revenues 9-14'!D5</f>
        <v>256535</v>
      </c>
      <c r="C5" s="585"/>
      <c r="D5" s="1774">
        <f t="shared" ref="D5:D18" si="0">B5-C5</f>
        <v>256535</v>
      </c>
      <c r="E5" s="585">
        <v>274315</v>
      </c>
      <c r="F5" s="1774">
        <f>E5-C5</f>
        <v>274315</v>
      </c>
    </row>
    <row r="6" spans="1:6" ht="13.7" customHeight="1" x14ac:dyDescent="0.2">
      <c r="A6" s="716" t="s">
        <v>431</v>
      </c>
      <c r="B6" s="1771">
        <f>'Revenues 9-14'!E5</f>
        <v>504544</v>
      </c>
      <c r="C6" s="585"/>
      <c r="D6" s="1774">
        <f t="shared" si="0"/>
        <v>504544</v>
      </c>
      <c r="E6" s="585">
        <v>265625</v>
      </c>
      <c r="F6" s="1774">
        <f t="shared" ref="F6:F18" si="1">E6-C6</f>
        <v>265625</v>
      </c>
    </row>
    <row r="7" spans="1:6" ht="13.7" customHeight="1" x14ac:dyDescent="0.2">
      <c r="A7" s="716" t="s">
        <v>157</v>
      </c>
      <c r="B7" s="1771">
        <f>'Revenues 9-14'!F5</f>
        <v>102615</v>
      </c>
      <c r="C7" s="585"/>
      <c r="D7" s="1774">
        <f t="shared" si="0"/>
        <v>102615</v>
      </c>
      <c r="E7" s="585">
        <v>109726</v>
      </c>
      <c r="F7" s="1774">
        <f t="shared" si="1"/>
        <v>109726</v>
      </c>
    </row>
    <row r="8" spans="1:6" ht="13.7" customHeight="1" x14ac:dyDescent="0.2">
      <c r="A8" s="716" t="s">
        <v>1241</v>
      </c>
      <c r="B8" s="1771">
        <f>'Revenues 9-14'!G5</f>
        <v>79804</v>
      </c>
      <c r="C8" s="585"/>
      <c r="D8" s="1774">
        <f t="shared" si="0"/>
        <v>79804</v>
      </c>
      <c r="E8" s="585">
        <v>80007</v>
      </c>
      <c r="F8" s="1774">
        <f t="shared" si="1"/>
        <v>80007</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25652</v>
      </c>
      <c r="C10" s="585"/>
      <c r="D10" s="1774">
        <f t="shared" si="0"/>
        <v>25652</v>
      </c>
      <c r="E10" s="585">
        <v>27431</v>
      </c>
      <c r="F10" s="1774">
        <f t="shared" si="1"/>
        <v>27431</v>
      </c>
    </row>
    <row r="11" spans="1:6" x14ac:dyDescent="0.2">
      <c r="A11" s="716" t="s">
        <v>429</v>
      </c>
      <c r="B11" s="1771">
        <f>'Revenues 9-14'!J5</f>
        <v>498742</v>
      </c>
      <c r="C11" s="585"/>
      <c r="D11" s="1774">
        <f t="shared" si="0"/>
        <v>498742</v>
      </c>
      <c r="E11" s="585">
        <v>500005</v>
      </c>
      <c r="F11" s="1774">
        <f t="shared" si="1"/>
        <v>500005</v>
      </c>
    </row>
    <row r="12" spans="1:6" ht="13.7" customHeight="1" x14ac:dyDescent="0.2">
      <c r="A12" s="716" t="s">
        <v>159</v>
      </c>
      <c r="B12" s="1771">
        <f>'Revenues 9-14'!K5</f>
        <v>25652</v>
      </c>
      <c r="C12" s="585"/>
      <c r="D12" s="1774">
        <f t="shared" si="0"/>
        <v>25652</v>
      </c>
      <c r="E12" s="585">
        <v>27431</v>
      </c>
      <c r="F12" s="1774">
        <f t="shared" si="1"/>
        <v>27431</v>
      </c>
    </row>
    <row r="13" spans="1:6" ht="13.7" customHeight="1" x14ac:dyDescent="0.2">
      <c r="A13" s="716" t="s">
        <v>993</v>
      </c>
      <c r="B13" s="1771">
        <f>SUM('Revenues 9-14'!C6:D6)</f>
        <v>25652</v>
      </c>
      <c r="C13" s="585"/>
      <c r="D13" s="1774">
        <f t="shared" si="0"/>
        <v>25652</v>
      </c>
      <c r="E13" s="585">
        <v>27431</v>
      </c>
      <c r="F13" s="1774">
        <f t="shared" si="1"/>
        <v>27431</v>
      </c>
    </row>
    <row r="14" spans="1:6" ht="13.7" customHeight="1" x14ac:dyDescent="0.2">
      <c r="A14" s="716" t="s">
        <v>430</v>
      </c>
      <c r="B14" s="1771">
        <f>SUM('Revenues 9-14'!C7:D7,'Revenues 9-14'!F7:H7)</f>
        <v>20522</v>
      </c>
      <c r="C14" s="585"/>
      <c r="D14" s="1774">
        <f t="shared" si="0"/>
        <v>20522</v>
      </c>
      <c r="E14" s="585">
        <v>21945</v>
      </c>
      <c r="F14" s="1774">
        <f t="shared" si="1"/>
        <v>21945</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114718</v>
      </c>
      <c r="C16" s="585"/>
      <c r="D16" s="1774">
        <f t="shared" si="0"/>
        <v>114718</v>
      </c>
      <c r="E16" s="585">
        <v>115009</v>
      </c>
      <c r="F16" s="1774">
        <f t="shared" si="1"/>
        <v>115009</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2665187</v>
      </c>
      <c r="C19" s="1772">
        <f>SUM(C4:C18)</f>
        <v>0</v>
      </c>
      <c r="D19" s="1772">
        <f>SUM(D4:D18)</f>
        <v>2665187</v>
      </c>
      <c r="E19" s="1772">
        <f>SUM(E4:E18)</f>
        <v>2529726</v>
      </c>
      <c r="F19" s="1772">
        <f>SUM(F4:F18)</f>
        <v>2529726</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25"/>
  <pageSetup firstPageNumber="23" orientation="landscape" useFirstPageNumber="1" r:id="rId1"/>
  <headerFooter alignWithMargins="0">
    <oddHeader>&amp;L&amp;8Page &amp;P&amp;R&amp;8Page &amp;P</oddHeader>
    <oddFooter>&amp;L&amp;8Print Date: &amp;D
&amp;F&amp;C&amp;"Franklin Gothic Book,Regular"&amp;8The Notes to Financial Statements are an integral part of this statement.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C22" colorId="8" zoomScale="110" zoomScaleNormal="110" workbookViewId="0">
      <selection activeCell="E45" sqref="E4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6" t="s">
        <v>650</v>
      </c>
      <c r="B1" s="2217"/>
      <c r="C1" s="722"/>
    </row>
    <row r="2" spans="1:7" ht="33.75" x14ac:dyDescent="0.2">
      <c r="A2" s="2225" t="s">
        <v>1905</v>
      </c>
      <c r="B2" s="2226"/>
      <c r="C2" s="1908" t="s">
        <v>2038</v>
      </c>
      <c r="D2" s="724" t="s">
        <v>2045</v>
      </c>
      <c r="E2" s="724" t="s">
        <v>2046</v>
      </c>
      <c r="F2" s="1908" t="s">
        <v>2039</v>
      </c>
    </row>
    <row r="3" spans="1:7" ht="15.75" customHeight="1" x14ac:dyDescent="0.2">
      <c r="A3" s="2229" t="s">
        <v>1176</v>
      </c>
      <c r="B3" s="2230"/>
      <c r="C3" s="2218"/>
      <c r="D3" s="2219"/>
      <c r="E3" s="2219"/>
      <c r="F3" s="2220"/>
    </row>
    <row r="4" spans="1:7" ht="12.75" customHeight="1" thickBot="1" x14ac:dyDescent="0.25">
      <c r="A4" s="2227" t="s">
        <v>651</v>
      </c>
      <c r="B4" s="2228"/>
      <c r="C4" s="581"/>
      <c r="D4" s="581"/>
      <c r="E4" s="581"/>
      <c r="F4" s="1776">
        <f>SUM(C4+D4)-E4</f>
        <v>0</v>
      </c>
    </row>
    <row r="5" spans="1:7" ht="15.75" customHeight="1" thickTop="1" x14ac:dyDescent="0.2">
      <c r="A5" s="2212" t="s">
        <v>1172</v>
      </c>
      <c r="B5" s="2213"/>
      <c r="C5" s="2221"/>
      <c r="D5" s="2222"/>
      <c r="E5" s="2222"/>
      <c r="F5" s="2223"/>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14" t="s">
        <v>652</v>
      </c>
      <c r="B15" s="2215"/>
      <c r="C15" s="1776">
        <f>SUM(C6:C14)</f>
        <v>0</v>
      </c>
      <c r="D15" s="1776">
        <f>SUM(D6:D14)</f>
        <v>0</v>
      </c>
      <c r="E15" s="1776">
        <f>SUM(E6:E14)</f>
        <v>0</v>
      </c>
      <c r="F15" s="1776">
        <f>SUM(F6:F14)</f>
        <v>0</v>
      </c>
      <c r="G15" s="552"/>
    </row>
    <row r="16" spans="1:7" s="202" customFormat="1" ht="15.75" customHeight="1" thickTop="1" x14ac:dyDescent="0.2">
      <c r="A16" s="2224" t="s">
        <v>1173</v>
      </c>
      <c r="B16" s="2213"/>
      <c r="C16" s="2221"/>
      <c r="D16" s="2222"/>
      <c r="E16" s="2222"/>
      <c r="F16" s="2223"/>
    </row>
    <row r="17" spans="1:11" ht="12.75" customHeight="1" thickBot="1" x14ac:dyDescent="0.25">
      <c r="A17" s="2237" t="s">
        <v>66</v>
      </c>
      <c r="B17" s="2238"/>
      <c r="C17" s="727"/>
      <c r="D17" s="585"/>
      <c r="E17" s="727"/>
      <c r="F17" s="1776">
        <f>SUM(C17+D17)-E17</f>
        <v>0</v>
      </c>
    </row>
    <row r="18" spans="1:11" ht="12.75" customHeight="1" thickTop="1" thickBot="1" x14ac:dyDescent="0.25">
      <c r="A18" s="2237" t="s">
        <v>6</v>
      </c>
      <c r="B18" s="2238"/>
      <c r="C18" s="727"/>
      <c r="D18" s="585"/>
      <c r="E18" s="727"/>
      <c r="F18" s="1776">
        <f>SUM(C18+D18)-E18</f>
        <v>0</v>
      </c>
    </row>
    <row r="19" spans="1:11" ht="12.75" customHeight="1" thickTop="1" thickBot="1" x14ac:dyDescent="0.25">
      <c r="A19" s="2237" t="s">
        <v>406</v>
      </c>
      <c r="B19" s="2238"/>
      <c r="C19" s="727"/>
      <c r="D19" s="585"/>
      <c r="E19" s="727"/>
      <c r="F19" s="1776">
        <f>SUM(C19+D19)-E19</f>
        <v>0</v>
      </c>
    </row>
    <row r="20" spans="1:11" ht="12.75" customHeight="1" thickTop="1" thickBot="1" x14ac:dyDescent="0.25">
      <c r="A20" s="2237" t="s">
        <v>468</v>
      </c>
      <c r="B20" s="2238"/>
      <c r="C20" s="727"/>
      <c r="D20" s="585"/>
      <c r="E20" s="727"/>
      <c r="F20" s="1776">
        <f>SUM(C20+D20)-E20</f>
        <v>0</v>
      </c>
    </row>
    <row r="21" spans="1:11" ht="14.25" thickTop="1" thickBot="1" x14ac:dyDescent="0.25">
      <c r="A21" s="2214" t="s">
        <v>653</v>
      </c>
      <c r="B21" s="2215"/>
      <c r="C21" s="1776">
        <f>SUM(C17:C20)</f>
        <v>0</v>
      </c>
      <c r="D21" s="1776">
        <f>SUM(D17:D20)</f>
        <v>0</v>
      </c>
      <c r="E21" s="1776">
        <f>SUM(E17:E20)</f>
        <v>0</v>
      </c>
      <c r="F21" s="1776">
        <f>SUM(F17:F20)</f>
        <v>0</v>
      </c>
      <c r="G21" s="552"/>
    </row>
    <row r="22" spans="1:11" ht="15.75" customHeight="1" thickTop="1" x14ac:dyDescent="0.2">
      <c r="A22" s="2239" t="s">
        <v>1174</v>
      </c>
      <c r="B22" s="2213"/>
      <c r="C22" s="2221"/>
      <c r="D22" s="2222"/>
      <c r="E22" s="2222"/>
      <c r="F22" s="2223"/>
    </row>
    <row r="23" spans="1:11" ht="13.5" thickBot="1" x14ac:dyDescent="0.25">
      <c r="A23" s="2227" t="s">
        <v>654</v>
      </c>
      <c r="B23" s="2228"/>
      <c r="C23" s="581"/>
      <c r="D23" s="581"/>
      <c r="E23" s="581"/>
      <c r="F23" s="1776">
        <f>SUM(C23+D23)-E23</f>
        <v>0</v>
      </c>
      <c r="G23" s="552"/>
    </row>
    <row r="24" spans="1:11" ht="15.75" customHeight="1" thickTop="1" x14ac:dyDescent="0.2">
      <c r="A24" s="2239" t="s">
        <v>1175</v>
      </c>
      <c r="B24" s="2213"/>
      <c r="C24" s="2221"/>
      <c r="D24" s="2222"/>
      <c r="E24" s="2222"/>
      <c r="F24" s="2223"/>
    </row>
    <row r="25" spans="1:11" ht="13.5" thickBot="1" x14ac:dyDescent="0.25">
      <c r="A25" s="2227" t="s">
        <v>655</v>
      </c>
      <c r="B25" s="2228"/>
      <c r="C25" s="581"/>
      <c r="D25" s="581"/>
      <c r="E25" s="581"/>
      <c r="F25" s="1776">
        <f>SUM(C25+D25)-E25</f>
        <v>0</v>
      </c>
      <c r="G25" s="552"/>
    </row>
    <row r="26" spans="1:11" ht="15.75" customHeight="1" thickTop="1" x14ac:dyDescent="0.2">
      <c r="A26" s="2212" t="s">
        <v>678</v>
      </c>
      <c r="B26" s="2213"/>
      <c r="C26" s="728"/>
      <c r="D26" s="728"/>
      <c r="E26" s="728"/>
      <c r="F26" s="729"/>
    </row>
    <row r="27" spans="1:11" ht="13.5" thickBot="1" x14ac:dyDescent="0.25">
      <c r="A27" s="2214" t="s">
        <v>1130</v>
      </c>
      <c r="B27" s="2215"/>
      <c r="C27" s="585"/>
      <c r="D27" s="585"/>
      <c r="E27" s="585"/>
      <c r="F27" s="1776">
        <f>SUM(C27+D27)-E27</f>
        <v>0</v>
      </c>
      <c r="G27" s="552"/>
    </row>
    <row r="28" spans="1:11" ht="7.5" customHeight="1" thickTop="1" x14ac:dyDescent="0.2">
      <c r="A28" s="594"/>
    </row>
    <row r="29" spans="1:11" ht="23.25" customHeight="1" x14ac:dyDescent="0.2">
      <c r="A29" s="2240" t="s">
        <v>603</v>
      </c>
      <c r="B29" s="2217"/>
      <c r="C29" s="730"/>
      <c r="D29" s="730"/>
      <c r="E29" s="730"/>
      <c r="F29" s="730"/>
      <c r="G29" s="730"/>
      <c r="H29" s="730"/>
      <c r="I29" s="730"/>
      <c r="J29" s="730"/>
    </row>
    <row r="30" spans="1:11" ht="33.75" x14ac:dyDescent="0.2">
      <c r="A30" s="1550" t="s">
        <v>1131</v>
      </c>
      <c r="B30" s="731" t="s">
        <v>1186</v>
      </c>
      <c r="C30" s="1909" t="s">
        <v>604</v>
      </c>
      <c r="D30" s="1909" t="s">
        <v>1772</v>
      </c>
      <c r="E30" s="1909" t="s">
        <v>2040</v>
      </c>
      <c r="F30" s="1909" t="s">
        <v>2041</v>
      </c>
      <c r="G30" s="1909" t="s">
        <v>2044</v>
      </c>
      <c r="H30" s="1909" t="s">
        <v>2042</v>
      </c>
      <c r="I30" s="1909" t="s">
        <v>2043</v>
      </c>
      <c r="J30" s="1910" t="s">
        <v>2</v>
      </c>
      <c r="K30" s="732"/>
    </row>
    <row r="31" spans="1:11" ht="12" customHeight="1" x14ac:dyDescent="0.2">
      <c r="A31" s="733" t="s">
        <v>2104</v>
      </c>
      <c r="B31" s="734">
        <v>42144</v>
      </c>
      <c r="C31" s="735">
        <v>750000</v>
      </c>
      <c r="D31" s="736">
        <v>1</v>
      </c>
      <c r="E31" s="735">
        <v>456200</v>
      </c>
      <c r="F31" s="735"/>
      <c r="G31" s="735"/>
      <c r="H31" s="735">
        <v>193500</v>
      </c>
      <c r="I31" s="1777">
        <f>((E31+F31)-H31)+G31</f>
        <v>262700</v>
      </c>
      <c r="J31" s="735">
        <v>245083</v>
      </c>
      <c r="K31" s="737"/>
    </row>
    <row r="32" spans="1:11" ht="12" customHeight="1" x14ac:dyDescent="0.2">
      <c r="A32" s="733" t="s">
        <v>2099</v>
      </c>
      <c r="B32" s="734">
        <v>42144</v>
      </c>
      <c r="C32" s="735">
        <v>2319100</v>
      </c>
      <c r="D32" s="736" t="s">
        <v>2098</v>
      </c>
      <c r="E32" s="735">
        <v>2243100</v>
      </c>
      <c r="F32" s="735"/>
      <c r="G32" s="735"/>
      <c r="H32" s="735"/>
      <c r="I32" s="1777">
        <f>((E32+F32)-H32)+G32</f>
        <v>2243100</v>
      </c>
      <c r="J32" s="735">
        <v>2092680</v>
      </c>
      <c r="K32" s="737"/>
    </row>
    <row r="33" spans="1:11" ht="12" customHeight="1" x14ac:dyDescent="0.2">
      <c r="A33" s="733" t="s">
        <v>2100</v>
      </c>
      <c r="B33" s="734">
        <v>42768</v>
      </c>
      <c r="C33" s="735">
        <v>233000</v>
      </c>
      <c r="D33" s="736" t="s">
        <v>2101</v>
      </c>
      <c r="E33" s="735">
        <v>233000</v>
      </c>
      <c r="F33" s="735"/>
      <c r="G33" s="735"/>
      <c r="H33" s="735">
        <v>233000</v>
      </c>
      <c r="I33" s="1777">
        <f t="shared" ref="I33:I48" si="1">((E33+F33)-H33)+G33</f>
        <v>0</v>
      </c>
      <c r="J33" s="735">
        <v>0</v>
      </c>
      <c r="K33" s="737"/>
    </row>
    <row r="34" spans="1:11" ht="12" customHeight="1" x14ac:dyDescent="0.2">
      <c r="A34" s="733" t="s">
        <v>2134</v>
      </c>
      <c r="B34" s="734">
        <v>42943</v>
      </c>
      <c r="C34" s="735">
        <v>10728</v>
      </c>
      <c r="D34" s="736">
        <v>7</v>
      </c>
      <c r="E34" s="735"/>
      <c r="F34" s="735">
        <v>10728</v>
      </c>
      <c r="G34" s="735"/>
      <c r="H34" s="735">
        <v>3163</v>
      </c>
      <c r="I34" s="1777">
        <f t="shared" si="1"/>
        <v>7565</v>
      </c>
      <c r="J34" s="735">
        <v>7565</v>
      </c>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3312828</v>
      </c>
      <c r="D49" s="746"/>
      <c r="E49" s="1777">
        <f t="shared" ref="E49:J49" si="2">SUM(E31:E48)</f>
        <v>2932300</v>
      </c>
      <c r="F49" s="1777">
        <f t="shared" si="2"/>
        <v>10728</v>
      </c>
      <c r="G49" s="1777">
        <f t="shared" si="2"/>
        <v>0</v>
      </c>
      <c r="H49" s="1777">
        <f t="shared" si="2"/>
        <v>429663</v>
      </c>
      <c r="I49" s="1777">
        <f t="shared" si="2"/>
        <v>2513365</v>
      </c>
      <c r="J49" s="1777">
        <f t="shared" si="2"/>
        <v>2345328</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31" t="s">
        <v>605</v>
      </c>
      <c r="C52" s="2232"/>
      <c r="D52" s="2232"/>
      <c r="E52" s="750" t="s">
        <v>900</v>
      </c>
      <c r="F52" s="2233" t="s">
        <v>2108</v>
      </c>
      <c r="G52" s="2234"/>
      <c r="H52" s="737"/>
      <c r="I52" s="737"/>
      <c r="J52" s="747"/>
    </row>
    <row r="53" spans="1:11" ht="11.25" customHeight="1" x14ac:dyDescent="0.2">
      <c r="A53" s="751" t="s">
        <v>969</v>
      </c>
      <c r="B53" s="752" t="s">
        <v>1008</v>
      </c>
      <c r="C53" s="747"/>
      <c r="D53" s="738"/>
      <c r="E53" s="750" t="s">
        <v>518</v>
      </c>
      <c r="F53" s="2235"/>
      <c r="G53" s="2236"/>
      <c r="H53" s="737"/>
      <c r="I53" s="737"/>
      <c r="J53" s="747"/>
    </row>
    <row r="54" spans="1:11" ht="11.25" customHeight="1" x14ac:dyDescent="0.2">
      <c r="A54" s="753" t="s">
        <v>970</v>
      </c>
      <c r="B54" s="748" t="s">
        <v>1009</v>
      </c>
      <c r="C54" s="747"/>
      <c r="D54" s="738"/>
      <c r="E54" s="750" t="s">
        <v>519</v>
      </c>
      <c r="F54" s="2235"/>
      <c r="G54" s="223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25"/>
  <pageSetup scale="73" firstPageNumber="24" fitToHeight="0" orientation="landscape" useFirstPageNumber="1" r:id="rId1"/>
  <headerFooter alignWithMargins="0">
    <oddHeader>&amp;L&amp;8Page &amp;P&amp;R&amp;8Page &amp;P</oddHeader>
    <oddFooter>&amp;L&amp;8Print Date: &amp;D 
&amp;F&amp;C&amp;"Franklin Gothic Book,Regular"&amp;8The Notes to Financial Statements are an integral part of this statement.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M18" sqref="M1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5" t="s">
        <v>911</v>
      </c>
      <c r="B1" s="2266"/>
      <c r="C1" s="2266"/>
      <c r="D1" s="2266"/>
      <c r="E1" s="2266"/>
      <c r="F1" s="2266"/>
      <c r="G1" s="2267"/>
      <c r="H1" s="1551"/>
      <c r="I1" s="761"/>
      <c r="J1" s="433"/>
    </row>
    <row r="2" spans="1:11" ht="26.25" x14ac:dyDescent="0.2">
      <c r="A2" s="2244" t="s">
        <v>1776</v>
      </c>
      <c r="B2" s="2245"/>
      <c r="C2" s="2245"/>
      <c r="D2" s="2245"/>
      <c r="E2" s="2246"/>
      <c r="F2" s="762" t="s">
        <v>960</v>
      </c>
      <c r="G2" s="763" t="s">
        <v>1773</v>
      </c>
      <c r="H2" s="763" t="s">
        <v>430</v>
      </c>
      <c r="I2" s="763" t="s">
        <v>1220</v>
      </c>
      <c r="J2" s="763" t="s">
        <v>1919</v>
      </c>
      <c r="K2" s="763" t="s">
        <v>140</v>
      </c>
    </row>
    <row r="3" spans="1:11" x14ac:dyDescent="0.2">
      <c r="A3" s="2247" t="s">
        <v>1698</v>
      </c>
      <c r="B3" s="2248"/>
      <c r="C3" s="2248"/>
      <c r="D3" s="2248"/>
      <c r="E3" s="2249"/>
      <c r="F3" s="764"/>
      <c r="G3" s="765"/>
      <c r="H3" s="765">
        <v>0</v>
      </c>
      <c r="I3" s="765"/>
      <c r="J3" s="766"/>
      <c r="K3" s="766">
        <v>0</v>
      </c>
    </row>
    <row r="4" spans="1:11" x14ac:dyDescent="0.2">
      <c r="A4" s="2250" t="s">
        <v>387</v>
      </c>
      <c r="B4" s="2251"/>
      <c r="C4" s="2251"/>
      <c r="D4" s="2251"/>
      <c r="E4" s="2232"/>
      <c r="F4" s="767"/>
      <c r="G4" s="768"/>
      <c r="H4" s="769"/>
      <c r="I4" s="768"/>
      <c r="J4" s="770"/>
      <c r="K4" s="770"/>
    </row>
    <row r="5" spans="1:11" x14ac:dyDescent="0.2">
      <c r="A5" s="2268" t="s">
        <v>1129</v>
      </c>
      <c r="B5" s="2241"/>
      <c r="C5" s="2241"/>
      <c r="D5" s="2241"/>
      <c r="E5" s="2269"/>
      <c r="F5" s="771" t="s">
        <v>903</v>
      </c>
      <c r="G5" s="772"/>
      <c r="H5" s="765">
        <v>20548</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7095</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7297</v>
      </c>
    </row>
    <row r="10" spans="1:11" x14ac:dyDescent="0.2">
      <c r="A10" s="2268" t="s">
        <v>1920</v>
      </c>
      <c r="B10" s="2241"/>
      <c r="C10" s="2241"/>
      <c r="D10" s="2241"/>
      <c r="E10" s="2270"/>
      <c r="F10" s="784" t="s">
        <v>917</v>
      </c>
      <c r="G10" s="783"/>
      <c r="H10" s="785"/>
      <c r="I10" s="765"/>
      <c r="J10" s="766"/>
      <c r="K10" s="766"/>
    </row>
    <row r="11" spans="1:11" x14ac:dyDescent="0.2">
      <c r="A11" s="2268" t="s">
        <v>162</v>
      </c>
      <c r="B11" s="2241"/>
      <c r="C11" s="2241"/>
      <c r="D11" s="2241"/>
      <c r="E11" s="2269"/>
      <c r="F11" s="771" t="s">
        <v>907</v>
      </c>
      <c r="G11" s="772"/>
      <c r="H11" s="765"/>
      <c r="I11" s="765"/>
      <c r="J11" s="766"/>
      <c r="K11" s="774"/>
    </row>
    <row r="12" spans="1:11" ht="13.5" thickBot="1" x14ac:dyDescent="0.25">
      <c r="A12" s="2258" t="s">
        <v>961</v>
      </c>
      <c r="B12" s="2259"/>
      <c r="C12" s="2259"/>
      <c r="D12" s="2259"/>
      <c r="E12" s="2260"/>
      <c r="F12" s="1778"/>
      <c r="G12" s="1779">
        <f>SUM(G5:G11)</f>
        <v>0</v>
      </c>
      <c r="H12" s="1779">
        <f>SUM(H5:H11)</f>
        <v>20548</v>
      </c>
      <c r="I12" s="1779">
        <f>SUM(I5:I11)</f>
        <v>0</v>
      </c>
      <c r="J12" s="1779">
        <f>SUM(J5:J11)</f>
        <v>0</v>
      </c>
      <c r="K12" s="1779">
        <f>SUM(K5:K11)</f>
        <v>14392</v>
      </c>
    </row>
    <row r="13" spans="1:11" ht="13.5" thickTop="1" x14ac:dyDescent="0.2">
      <c r="A13" s="2252" t="s">
        <v>388</v>
      </c>
      <c r="B13" s="2253"/>
      <c r="C13" s="2253"/>
      <c r="D13" s="2253"/>
      <c r="E13" s="2254"/>
      <c r="F13" s="786"/>
      <c r="G13" s="787"/>
      <c r="H13" s="788"/>
      <c r="I13" s="789"/>
      <c r="J13" s="789"/>
      <c r="K13" s="789"/>
    </row>
    <row r="14" spans="1:11" x14ac:dyDescent="0.2">
      <c r="A14" s="2274" t="s">
        <v>476</v>
      </c>
      <c r="B14" s="2274"/>
      <c r="C14" s="2274"/>
      <c r="D14" s="2274"/>
      <c r="E14" s="2275"/>
      <c r="F14" s="790" t="s">
        <v>909</v>
      </c>
      <c r="G14" s="783"/>
      <c r="H14" s="765">
        <v>20548</v>
      </c>
      <c r="I14" s="772"/>
      <c r="J14" s="774"/>
      <c r="K14" s="766">
        <v>14392</v>
      </c>
    </row>
    <row r="15" spans="1:11" x14ac:dyDescent="0.2">
      <c r="A15" s="2241" t="s">
        <v>4</v>
      </c>
      <c r="B15" s="2241"/>
      <c r="C15" s="2241"/>
      <c r="D15" s="2241"/>
      <c r="E15" s="2269"/>
      <c r="F15" s="790" t="s">
        <v>910</v>
      </c>
      <c r="G15" s="772"/>
      <c r="H15" s="765"/>
      <c r="I15" s="765"/>
      <c r="J15" s="766"/>
      <c r="K15" s="766"/>
    </row>
    <row r="16" spans="1:11" x14ac:dyDescent="0.2">
      <c r="A16" s="2241" t="s">
        <v>316</v>
      </c>
      <c r="B16" s="2241"/>
      <c r="C16" s="2241"/>
      <c r="D16" s="2241"/>
      <c r="E16" s="2269"/>
      <c r="F16" s="790" t="s">
        <v>980</v>
      </c>
      <c r="G16" s="773"/>
      <c r="H16" s="768"/>
      <c r="I16" s="768"/>
      <c r="J16" s="770"/>
      <c r="K16" s="770"/>
    </row>
    <row r="17" spans="1:11" x14ac:dyDescent="0.2">
      <c r="A17" s="2263" t="s">
        <v>992</v>
      </c>
      <c r="B17" s="2263"/>
      <c r="C17" s="2263"/>
      <c r="D17" s="2263"/>
      <c r="E17" s="2264"/>
      <c r="F17" s="791"/>
      <c r="G17" s="792"/>
      <c r="H17" s="793"/>
      <c r="I17" s="793"/>
      <c r="J17" s="794"/>
      <c r="K17" s="795"/>
    </row>
    <row r="18" spans="1:11" x14ac:dyDescent="0.2">
      <c r="A18" s="2255" t="s">
        <v>386</v>
      </c>
      <c r="B18" s="2256"/>
      <c r="C18" s="2256"/>
      <c r="D18" s="2256"/>
      <c r="E18" s="2257"/>
      <c r="F18" s="790" t="s">
        <v>989</v>
      </c>
      <c r="G18" s="783"/>
      <c r="H18" s="783"/>
      <c r="I18" s="783"/>
      <c r="J18" s="766"/>
      <c r="K18" s="796"/>
    </row>
    <row r="19" spans="1:11" ht="21.75" customHeight="1" x14ac:dyDescent="0.2">
      <c r="A19" s="2276" t="s">
        <v>1916</v>
      </c>
      <c r="B19" s="2276"/>
      <c r="C19" s="2276"/>
      <c r="D19" s="2276"/>
      <c r="E19" s="2277"/>
      <c r="F19" s="790" t="s">
        <v>990</v>
      </c>
      <c r="G19" s="783"/>
      <c r="H19" s="783"/>
      <c r="I19" s="783"/>
      <c r="J19" s="766"/>
      <c r="K19" s="796"/>
    </row>
    <row r="20" spans="1:11" x14ac:dyDescent="0.2">
      <c r="A20" s="2255" t="s">
        <v>1921</v>
      </c>
      <c r="B20" s="2256"/>
      <c r="C20" s="2256"/>
      <c r="D20" s="2256"/>
      <c r="E20" s="2257"/>
      <c r="F20" s="790" t="s">
        <v>991</v>
      </c>
      <c r="G20" s="783"/>
      <c r="H20" s="783"/>
      <c r="I20" s="783"/>
      <c r="J20" s="766"/>
      <c r="K20" s="796"/>
    </row>
    <row r="21" spans="1:11" ht="13.5" thickBot="1" x14ac:dyDescent="0.25">
      <c r="A21" s="2261" t="s">
        <v>659</v>
      </c>
      <c r="B21" s="2261"/>
      <c r="C21" s="2261"/>
      <c r="D21" s="2261"/>
      <c r="E21" s="2261"/>
      <c r="F21" s="1780"/>
      <c r="G21" s="793"/>
      <c r="H21" s="797"/>
      <c r="I21" s="797"/>
      <c r="J21" s="1781">
        <f>SUM(J18:J20)</f>
        <v>0</v>
      </c>
      <c r="K21" s="794"/>
    </row>
    <row r="22" spans="1:11" ht="13.5" thickTop="1" x14ac:dyDescent="0.2">
      <c r="A22" s="2241" t="s">
        <v>1922</v>
      </c>
      <c r="B22" s="2241"/>
      <c r="C22" s="2241"/>
      <c r="D22" s="2241"/>
      <c r="E22" s="2269"/>
      <c r="F22" s="790" t="s">
        <v>917</v>
      </c>
      <c r="G22" s="783"/>
      <c r="H22" s="765"/>
      <c r="I22" s="765"/>
      <c r="J22" s="798"/>
      <c r="K22" s="766"/>
    </row>
    <row r="23" spans="1:11" ht="13.5" thickBot="1" x14ac:dyDescent="0.25">
      <c r="A23" s="2262" t="s">
        <v>962</v>
      </c>
      <c r="B23" s="2261"/>
      <c r="C23" s="2261"/>
      <c r="D23" s="2261"/>
      <c r="E23" s="2261"/>
      <c r="F23" s="1782"/>
      <c r="G23" s="1779">
        <f>SUM(G14:G16,G21,G22)</f>
        <v>0</v>
      </c>
      <c r="H23" s="1779">
        <f>SUM(H14:H16,H21,H22)</f>
        <v>20548</v>
      </c>
      <c r="I23" s="1779">
        <f>SUM(I14:I16,I21,I22)</f>
        <v>0</v>
      </c>
      <c r="J23" s="1779">
        <f>SUM(J14:J16,J21,J22)</f>
        <v>0</v>
      </c>
      <c r="K23" s="1779">
        <f>SUM(K14:K16,K21,K22)</f>
        <v>14392</v>
      </c>
    </row>
    <row r="24" spans="1:11" ht="14.25" thickTop="1" thickBot="1" x14ac:dyDescent="0.25">
      <c r="A24" s="2262" t="s">
        <v>2026</v>
      </c>
      <c r="B24" s="2261"/>
      <c r="C24" s="2261"/>
      <c r="D24" s="2261"/>
      <c r="E24" s="2261"/>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2036</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71"/>
      <c r="I31" s="2272"/>
      <c r="J31" s="2272"/>
      <c r="K31" s="2272"/>
    </row>
    <row r="32" spans="1:11" x14ac:dyDescent="0.2">
      <c r="A32" s="810"/>
      <c r="B32" s="237"/>
      <c r="C32" s="237"/>
      <c r="D32" s="237"/>
      <c r="E32" s="806"/>
      <c r="F32" s="812" t="s">
        <v>561</v>
      </c>
      <c r="G32" s="765"/>
      <c r="H32" s="2273"/>
      <c r="I32" s="2272"/>
      <c r="J32" s="2272"/>
      <c r="K32" s="2272"/>
    </row>
    <row r="33" spans="1:11" ht="1.5" customHeight="1" x14ac:dyDescent="0.2">
      <c r="A33" s="813" t="s">
        <v>1231</v>
      </c>
      <c r="B33" s="364"/>
      <c r="C33" s="364"/>
      <c r="D33" s="364"/>
      <c r="E33" s="364"/>
      <c r="F33" s="364"/>
      <c r="G33" s="814"/>
      <c r="H33" s="2273"/>
      <c r="I33" s="2272"/>
      <c r="J33" s="2272"/>
      <c r="K33" s="227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1" t="s">
        <v>562</v>
      </c>
      <c r="B41" s="2242"/>
      <c r="C41" s="2242"/>
      <c r="D41" s="2242"/>
      <c r="E41" s="2242"/>
      <c r="F41" s="224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1917</v>
      </c>
      <c r="B46" s="408" t="s">
        <v>1774</v>
      </c>
    </row>
    <row r="47" spans="1:11" s="824" customFormat="1" ht="12.75" customHeight="1" x14ac:dyDescent="0.2">
      <c r="A47" s="822"/>
      <c r="B47" s="823" t="s">
        <v>1775</v>
      </c>
      <c r="E47" s="823"/>
      <c r="K47" s="825"/>
    </row>
    <row r="48" spans="1:11" ht="12.75" customHeight="1" x14ac:dyDescent="0.2">
      <c r="A48" s="155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&amp;F&amp;C&amp;"Franklin Gothic Book,Regular"&amp;8The Notes to Financial Statements are an integral part of this statement.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16" sqref="D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0" t="s">
        <v>2035</v>
      </c>
      <c r="B1" s="2281"/>
      <c r="C1" s="2282"/>
      <c r="D1" s="827"/>
      <c r="E1" s="828"/>
      <c r="F1" s="828"/>
      <c r="G1" s="829"/>
      <c r="H1" s="830"/>
      <c r="I1" s="831"/>
      <c r="J1" s="2278"/>
      <c r="K1" s="2279"/>
      <c r="L1" s="227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89214</v>
      </c>
      <c r="D5" s="842"/>
      <c r="E5" s="842"/>
      <c r="F5" s="1781">
        <f>(C5+D5)-E5</f>
        <v>89214</v>
      </c>
      <c r="G5" s="838"/>
      <c r="H5" s="843"/>
      <c r="I5" s="843"/>
      <c r="J5" s="843"/>
      <c r="K5" s="794"/>
      <c r="L5" s="1790">
        <f>F5-K5</f>
        <v>89214</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6748197</v>
      </c>
      <c r="D8" s="845">
        <v>88540</v>
      </c>
      <c r="E8" s="845"/>
      <c r="F8" s="1781">
        <f>(C8+D8)-E8</f>
        <v>6836737</v>
      </c>
      <c r="G8" s="844">
        <v>50</v>
      </c>
      <c r="H8" s="766">
        <v>2128214</v>
      </c>
      <c r="I8" s="766">
        <v>163028</v>
      </c>
      <c r="J8" s="766"/>
      <c r="K8" s="1790">
        <f>(H8+I8)-J8</f>
        <v>2291242</v>
      </c>
      <c r="L8" s="1790">
        <f>F8-K8</f>
        <v>4545495</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960352</v>
      </c>
      <c r="D10" s="847">
        <v>138221</v>
      </c>
      <c r="E10" s="847"/>
      <c r="F10" s="1785">
        <f>(C10+D10)-E10</f>
        <v>1098573</v>
      </c>
      <c r="G10" s="844">
        <v>20</v>
      </c>
      <c r="H10" s="848">
        <v>337717</v>
      </c>
      <c r="I10" s="848">
        <v>54928</v>
      </c>
      <c r="J10" s="848"/>
      <c r="K10" s="1790">
        <f>(H10+I10)-J10</f>
        <v>392645</v>
      </c>
      <c r="L10" s="1790">
        <f>F10-K10</f>
        <v>705928</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497669</v>
      </c>
      <c r="D12" s="845">
        <v>88876</v>
      </c>
      <c r="E12" s="845">
        <v>77894</v>
      </c>
      <c r="F12" s="1781">
        <f>(C12+D12)-E12</f>
        <v>508651</v>
      </c>
      <c r="G12" s="844">
        <v>10</v>
      </c>
      <c r="H12" s="766">
        <v>279412</v>
      </c>
      <c r="I12" s="766">
        <v>58663</v>
      </c>
      <c r="J12" s="766">
        <v>77894</v>
      </c>
      <c r="K12" s="1790">
        <f>(H12+I12)-J12</f>
        <v>260181</v>
      </c>
      <c r="L12" s="1790">
        <f>F12-K12</f>
        <v>248470</v>
      </c>
    </row>
    <row r="13" spans="1:14" ht="14.25" thickTop="1" thickBot="1" x14ac:dyDescent="0.25">
      <c r="A13" s="849" t="s">
        <v>1184</v>
      </c>
      <c r="B13" s="841">
        <v>252</v>
      </c>
      <c r="C13" s="845">
        <v>5560</v>
      </c>
      <c r="D13" s="845">
        <v>10728</v>
      </c>
      <c r="E13" s="845">
        <v>1620</v>
      </c>
      <c r="F13" s="1781">
        <f>(C13+D13)-E13</f>
        <v>14668</v>
      </c>
      <c r="G13" s="844">
        <v>5</v>
      </c>
      <c r="H13" s="766">
        <v>3056</v>
      </c>
      <c r="I13" s="766">
        <v>3258</v>
      </c>
      <c r="J13" s="766">
        <v>1620</v>
      </c>
      <c r="K13" s="1790">
        <f>(H13+I13)-J13</f>
        <v>4694</v>
      </c>
      <c r="L13" s="1790">
        <f>F13-K13</f>
        <v>9974</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c r="D15" s="845">
        <v>24535</v>
      </c>
      <c r="E15" s="845"/>
      <c r="F15" s="1781">
        <f>(C15+D15)-E15</f>
        <v>24535</v>
      </c>
      <c r="G15" s="850" t="s">
        <v>917</v>
      </c>
      <c r="H15" s="782"/>
      <c r="I15" s="782"/>
      <c r="J15" s="782"/>
      <c r="K15" s="782"/>
      <c r="L15" s="1790">
        <f>F15-K15</f>
        <v>24535</v>
      </c>
    </row>
    <row r="16" spans="1:14" ht="15" customHeight="1" thickTop="1" thickBot="1" x14ac:dyDescent="0.25">
      <c r="A16" s="1786" t="s">
        <v>664</v>
      </c>
      <c r="B16" s="1787">
        <v>200</v>
      </c>
      <c r="C16" s="1781">
        <f>SUM(C3,C5:C6,C8:C10,C12:C15)</f>
        <v>8300992</v>
      </c>
      <c r="D16" s="1781">
        <f>SUM(D3,D5:D6,D8:D10,D12:D15)</f>
        <v>350900</v>
      </c>
      <c r="E16" s="1781">
        <f>SUM(E3,E5:E6,E8:E10,E12:E15)</f>
        <v>79514</v>
      </c>
      <c r="F16" s="1781">
        <f>SUM(F3,F5:F6,F8:F10,F12:F15)</f>
        <v>8572378</v>
      </c>
      <c r="G16" s="844"/>
      <c r="H16" s="1781">
        <f>SUM(H3,H6,H8:H10,H12:H14,)</f>
        <v>2748399</v>
      </c>
      <c r="I16" s="1781">
        <f>SUM(I3,I6,I8:I10,I12:I14,)</f>
        <v>279877</v>
      </c>
      <c r="J16" s="1781">
        <f>SUM(J3,J6,J8:J10,J12:J14,)</f>
        <v>79514</v>
      </c>
      <c r="K16" s="1781">
        <f>(H16+I16)-J16</f>
        <v>2948762</v>
      </c>
      <c r="L16" s="1781">
        <f>F16-K16</f>
        <v>5623616</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279877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25"/>
  <pageSetup scale="80" firstPageNumber="26" orientation="landscape" useFirstPageNumber="1" r:id="rId1"/>
  <headerFooter alignWithMargins="0">
    <oddHeader>&amp;L&amp;8Page &amp;P&amp;C &amp;R&amp;8Page &amp;P</oddHeader>
    <oddFooter>&amp;L&amp;8Print Date: &amp;D
&amp;F&amp;C&amp;"Franklin Gothic Book,Regular"&amp;8The Notes to Financial Statements are an integral part of this statement.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6" activePane="bottomLeft" state="frozen"/>
      <selection activeCell="A47" sqref="A47"/>
      <selection pane="bottomLeft" activeCell="F177" sqref="F1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6" t="s">
        <v>1699</v>
      </c>
      <c r="B1" s="2287"/>
      <c r="C1" s="2287"/>
      <c r="D1" s="2287"/>
      <c r="E1" s="2287"/>
      <c r="F1" s="2288"/>
      <c r="G1" s="856"/>
    </row>
    <row r="2" spans="1:7" ht="15" customHeight="1" thickBot="1" x14ac:dyDescent="0.25">
      <c r="A2" s="2289" t="s">
        <v>498</v>
      </c>
      <c r="B2" s="2290"/>
      <c r="C2" s="2290"/>
      <c r="D2" s="2290"/>
      <c r="E2" s="2290"/>
      <c r="F2" s="229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2"/>
      <c r="B5" s="2293"/>
      <c r="C5" s="2293"/>
      <c r="D5" s="2293"/>
      <c r="E5" s="2293"/>
      <c r="F5" s="2293"/>
    </row>
    <row r="6" spans="1:7" ht="13.5" customHeight="1" thickBot="1" x14ac:dyDescent="0.25">
      <c r="A6" s="2283" t="s">
        <v>1166</v>
      </c>
      <c r="B6" s="2284"/>
      <c r="C6" s="2284"/>
      <c r="D6" s="2284"/>
      <c r="E6" s="2284"/>
      <c r="F6" s="228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3352302</v>
      </c>
      <c r="G8" s="866"/>
    </row>
    <row r="9" spans="1:7" x14ac:dyDescent="0.2">
      <c r="A9" s="870" t="s">
        <v>480</v>
      </c>
      <c r="B9" s="871" t="s">
        <v>1989</v>
      </c>
      <c r="C9" s="872"/>
      <c r="D9" s="870" t="s">
        <v>522</v>
      </c>
      <c r="E9" s="869"/>
      <c r="F9" s="1934">
        <f>'Expenditures 15-22'!K151</f>
        <v>201268</v>
      </c>
      <c r="G9" s="873"/>
    </row>
    <row r="10" spans="1:7" x14ac:dyDescent="0.2">
      <c r="A10" s="870" t="s">
        <v>520</v>
      </c>
      <c r="B10" s="871" t="s">
        <v>1990</v>
      </c>
      <c r="C10" s="872"/>
      <c r="D10" s="870" t="s">
        <v>522</v>
      </c>
      <c r="E10" s="869"/>
      <c r="F10" s="1934">
        <f>'Expenditures 15-22'!K174</f>
        <v>501404</v>
      </c>
      <c r="G10" s="873"/>
    </row>
    <row r="11" spans="1:7" x14ac:dyDescent="0.2">
      <c r="A11" s="870" t="s">
        <v>481</v>
      </c>
      <c r="B11" s="871" t="s">
        <v>1991</v>
      </c>
      <c r="C11" s="872"/>
      <c r="D11" s="870" t="s">
        <v>522</v>
      </c>
      <c r="E11" s="869"/>
      <c r="F11" s="1934">
        <f>'Expenditures 15-22'!K210</f>
        <v>330704</v>
      </c>
      <c r="G11" s="873"/>
    </row>
    <row r="12" spans="1:7" x14ac:dyDescent="0.2">
      <c r="A12" s="870" t="s">
        <v>482</v>
      </c>
      <c r="B12" s="871" t="s">
        <v>1992</v>
      </c>
      <c r="C12" s="872"/>
      <c r="D12" s="870" t="s">
        <v>522</v>
      </c>
      <c r="E12" s="869"/>
      <c r="F12" s="1934">
        <f>'Expenditures 15-22'!K295</f>
        <v>136304</v>
      </c>
      <c r="G12" s="873"/>
    </row>
    <row r="13" spans="1:7" x14ac:dyDescent="0.2">
      <c r="A13" s="870" t="s">
        <v>108</v>
      </c>
      <c r="B13" s="871" t="s">
        <v>1993</v>
      </c>
      <c r="C13" s="872"/>
      <c r="D13" s="870" t="s">
        <v>522</v>
      </c>
      <c r="E13" s="869"/>
      <c r="F13" s="1934">
        <f>'Expenditures 15-22'!K342</f>
        <v>530179</v>
      </c>
      <c r="G13" s="874"/>
    </row>
    <row r="14" spans="1:7" ht="12" customHeight="1" thickBot="1" x14ac:dyDescent="0.25">
      <c r="A14" s="1791"/>
      <c r="B14" s="1792"/>
      <c r="C14" s="1793"/>
      <c r="D14" s="1794" t="s">
        <v>522</v>
      </c>
      <c r="E14" s="1795" t="s">
        <v>1015</v>
      </c>
      <c r="F14" s="1796">
        <f>SUM(F8:F13)</f>
        <v>5052161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81493</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106324</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42590</v>
      </c>
      <c r="G53" s="866"/>
    </row>
    <row r="54" spans="1:7" x14ac:dyDescent="0.2">
      <c r="A54" s="870" t="s">
        <v>479</v>
      </c>
      <c r="B54" s="870" t="s">
        <v>1552</v>
      </c>
      <c r="C54" s="890" t="s">
        <v>1039</v>
      </c>
      <c r="D54" s="886" t="s">
        <v>1157</v>
      </c>
      <c r="E54" s="869"/>
      <c r="F54" s="1938">
        <f>'Expenditures 15-22'!G114</f>
        <v>75239</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8">
        <f>'Expenditures 15-22'!K139</f>
        <v>0</v>
      </c>
      <c r="G57" s="866"/>
    </row>
    <row r="58" spans="1:7" x14ac:dyDescent="0.2">
      <c r="A58" s="870" t="s">
        <v>480</v>
      </c>
      <c r="B58" s="870" t="s">
        <v>1995</v>
      </c>
      <c r="C58" s="887" t="s">
        <v>1039</v>
      </c>
      <c r="D58" s="886" t="s">
        <v>1157</v>
      </c>
      <c r="E58" s="869"/>
      <c r="F58" s="1940">
        <f>'Expenditures 15-22'!G151</f>
        <v>10315</v>
      </c>
      <c r="G58" s="866"/>
    </row>
    <row r="59" spans="1:7" x14ac:dyDescent="0.2">
      <c r="A59" s="894" t="s">
        <v>480</v>
      </c>
      <c r="B59" s="857" t="s">
        <v>1996</v>
      </c>
      <c r="C59" s="895" t="s">
        <v>1039</v>
      </c>
      <c r="D59" s="857" t="s">
        <v>309</v>
      </c>
      <c r="F59" s="1941">
        <f>'Expenditures 15-22'!I151</f>
        <v>0</v>
      </c>
      <c r="G59" s="866"/>
    </row>
    <row r="60" spans="1:7" x14ac:dyDescent="0.2">
      <c r="A60" s="894" t="s">
        <v>520</v>
      </c>
      <c r="B60" s="857" t="s">
        <v>1997</v>
      </c>
      <c r="C60" s="895">
        <v>4000</v>
      </c>
      <c r="D60" s="857" t="s">
        <v>330</v>
      </c>
      <c r="F60" s="1939">
        <f>'Expenditures 15-22'!K160</f>
        <v>0</v>
      </c>
      <c r="G60" s="866"/>
    </row>
    <row r="61" spans="1:7" x14ac:dyDescent="0.2">
      <c r="A61" s="896" t="s">
        <v>520</v>
      </c>
      <c r="B61" s="896" t="s">
        <v>1998</v>
      </c>
      <c r="C61" s="897" t="str">
        <f>'Expenditures 15-22'!B170</f>
        <v>5300</v>
      </c>
      <c r="D61" s="898" t="s">
        <v>329</v>
      </c>
      <c r="E61" s="880"/>
      <c r="F61" s="1938">
        <f>'Expenditures 15-22'!K170</f>
        <v>426500</v>
      </c>
      <c r="G61" s="866"/>
    </row>
    <row r="62" spans="1:7" x14ac:dyDescent="0.2">
      <c r="A62" s="870" t="s">
        <v>481</v>
      </c>
      <c r="B62" s="870" t="s">
        <v>1999</v>
      </c>
      <c r="C62" s="887">
        <f>'Expenditures 15-22'!B185</f>
        <v>3000</v>
      </c>
      <c r="D62" s="877" t="s">
        <v>469</v>
      </c>
      <c r="E62" s="869"/>
      <c r="F62" s="1938">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2001</v>
      </c>
      <c r="C64" s="897" t="str">
        <f>'Expenditures 15-22'!B206</f>
        <v>5300</v>
      </c>
      <c r="D64" s="893" t="s">
        <v>329</v>
      </c>
      <c r="E64" s="869"/>
      <c r="F64" s="1938">
        <f>'Expenditures 15-22'!K206</f>
        <v>3163</v>
      </c>
      <c r="G64" s="866"/>
    </row>
    <row r="65" spans="1:8" x14ac:dyDescent="0.2">
      <c r="A65" s="870" t="s">
        <v>481</v>
      </c>
      <c r="B65" s="870" t="s">
        <v>2002</v>
      </c>
      <c r="C65" s="887" t="s">
        <v>1039</v>
      </c>
      <c r="D65" s="886" t="s">
        <v>1157</v>
      </c>
      <c r="E65" s="869"/>
      <c r="F65" s="1938">
        <f>'Expenditures 15-22'!G210</f>
        <v>10728</v>
      </c>
      <c r="G65" s="866"/>
    </row>
    <row r="66" spans="1:8" x14ac:dyDescent="0.2">
      <c r="A66" s="870" t="s">
        <v>481</v>
      </c>
      <c r="B66" s="870" t="s">
        <v>2003</v>
      </c>
      <c r="C66" s="887" t="s">
        <v>1039</v>
      </c>
      <c r="D66" s="886" t="s">
        <v>309</v>
      </c>
      <c r="E66" s="869"/>
      <c r="F66" s="1938">
        <f>'Expenditures 15-22'!I210</f>
        <v>0</v>
      </c>
      <c r="G66" s="866"/>
    </row>
    <row r="67" spans="1:8" x14ac:dyDescent="0.2">
      <c r="A67" s="870" t="s">
        <v>482</v>
      </c>
      <c r="B67" s="870" t="s">
        <v>2004</v>
      </c>
      <c r="C67" s="887" t="str">
        <f>'Expenditures 15-22'!B216</f>
        <v>1125</v>
      </c>
      <c r="D67" s="893" t="str">
        <f>'Expenditures 15-22'!A216</f>
        <v>Pre-K Programs</v>
      </c>
      <c r="E67" s="869"/>
      <c r="F67" s="1938">
        <f>'Expenditures 15-22'!K216</f>
        <v>3922</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2006</v>
      </c>
      <c r="C70" s="887">
        <f>'Expenditures 15-22'!B221</f>
        <v>1300</v>
      </c>
      <c r="D70" s="888" t="str">
        <f>'Expenditures 15-22'!A221</f>
        <v>Adult/Continuing Education Programs</v>
      </c>
      <c r="E70" s="869"/>
      <c r="F70" s="1938">
        <f>'Expenditures 15-22'!K221</f>
        <v>0</v>
      </c>
      <c r="G70" s="866"/>
    </row>
    <row r="71" spans="1:8" x14ac:dyDescent="0.2">
      <c r="A71" s="870" t="s">
        <v>482</v>
      </c>
      <c r="B71" s="870" t="s">
        <v>2007</v>
      </c>
      <c r="C71" s="887">
        <f>'Expenditures 15-22'!B224</f>
        <v>1600</v>
      </c>
      <c r="D71" s="888" t="str">
        <f>'Expenditures 15-22'!A224</f>
        <v>Summer School Programs</v>
      </c>
      <c r="E71" s="869"/>
      <c r="F71" s="1938">
        <f>'Expenditures 15-22'!K224</f>
        <v>0</v>
      </c>
      <c r="G71" s="866"/>
    </row>
    <row r="72" spans="1:8" x14ac:dyDescent="0.2">
      <c r="A72" s="870" t="s">
        <v>482</v>
      </c>
      <c r="B72" s="870" t="s">
        <v>2008</v>
      </c>
      <c r="C72" s="887">
        <f>'Expenditures 15-22'!B280</f>
        <v>3000</v>
      </c>
      <c r="D72" s="877" t="s">
        <v>469</v>
      </c>
      <c r="E72" s="869"/>
      <c r="F72" s="1938">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8">
        <f>'Expenditures 15-22'!K285</f>
        <v>0</v>
      </c>
      <c r="G73" s="866"/>
    </row>
    <row r="74" spans="1:8" x14ac:dyDescent="0.2">
      <c r="A74" s="870" t="s">
        <v>456</v>
      </c>
      <c r="B74" s="870" t="s">
        <v>2010</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760274</v>
      </c>
      <c r="G76" s="866"/>
    </row>
    <row r="77" spans="1:8" s="894" customFormat="1" ht="12" customHeight="1" thickTop="1" thickBot="1" x14ac:dyDescent="0.25">
      <c r="A77" s="1800"/>
      <c r="B77" s="1797"/>
      <c r="C77" s="1793"/>
      <c r="D77" s="1798" t="s">
        <v>2012</v>
      </c>
      <c r="E77" s="1795"/>
      <c r="F77" s="1801">
        <f>(F14-F76)</f>
        <v>4291887</v>
      </c>
      <c r="G77" s="870"/>
    </row>
    <row r="78" spans="1:8" s="894" customFormat="1" ht="12" customHeight="1" thickTop="1" x14ac:dyDescent="0.2">
      <c r="A78" s="1802"/>
      <c r="B78" s="1797"/>
      <c r="C78" s="1793"/>
      <c r="D78" s="1798" t="s">
        <v>2059</v>
      </c>
      <c r="E78" s="1795"/>
      <c r="F78" s="899">
        <v>511.64</v>
      </c>
      <c r="G78" s="900"/>
      <c r="H78" s="870"/>
    </row>
    <row r="79" spans="1:8" s="894" customFormat="1" ht="12" customHeight="1" thickBot="1" x14ac:dyDescent="0.25">
      <c r="A79" s="1803"/>
      <c r="B79" s="1797"/>
      <c r="C79" s="1793"/>
      <c r="D79" s="1798" t="s">
        <v>2013</v>
      </c>
      <c r="E79" s="1795" t="s">
        <v>1015</v>
      </c>
      <c r="F79" s="1804">
        <f>IF(F78&gt;0,F77/F78," Complete Line 78")</f>
        <v>8388.4899538738173</v>
      </c>
      <c r="G79" s="870"/>
    </row>
    <row r="80" spans="1:8" s="894" customFormat="1" ht="8.25" customHeight="1" thickTop="1" x14ac:dyDescent="0.2">
      <c r="A80" s="901"/>
      <c r="B80" s="870"/>
      <c r="C80" s="872"/>
      <c r="D80" s="902"/>
      <c r="E80" s="869"/>
      <c r="F80" s="903"/>
      <c r="G80" s="870"/>
    </row>
    <row r="81" spans="1:7" s="894" customFormat="1" ht="12" thickBot="1" x14ac:dyDescent="0.25">
      <c r="A81" s="2283" t="s">
        <v>1167</v>
      </c>
      <c r="B81" s="2284"/>
      <c r="C81" s="2284"/>
      <c r="D81" s="2284"/>
      <c r="E81" s="2284"/>
      <c r="F81" s="228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1967</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97749</v>
      </c>
      <c r="G94" s="913"/>
    </row>
    <row r="95" spans="1:7" x14ac:dyDescent="0.2">
      <c r="A95" s="909" t="s">
        <v>142</v>
      </c>
      <c r="B95" s="909" t="s">
        <v>177</v>
      </c>
      <c r="C95" s="911">
        <v>1700</v>
      </c>
      <c r="D95" s="919" t="str">
        <f>'Revenues 9-14'!A82</f>
        <v>Total District/School Activity Income</v>
      </c>
      <c r="E95" s="907"/>
      <c r="F95" s="1810">
        <f>SUM('Revenues 9-14'!C82,'Revenues 9-14'!D82)</f>
        <v>34137</v>
      </c>
      <c r="G95" s="913"/>
    </row>
    <row r="96" spans="1:7" x14ac:dyDescent="0.2">
      <c r="A96" s="909" t="s">
        <v>479</v>
      </c>
      <c r="B96" s="909" t="s">
        <v>178</v>
      </c>
      <c r="C96" s="911">
        <f>'Revenues 9-14'!B84</f>
        <v>1811</v>
      </c>
      <c r="D96" s="912" t="str">
        <f>'Revenues 9-14'!A84</f>
        <v>Rentals - Regular Textbooks</v>
      </c>
      <c r="E96" s="907"/>
      <c r="F96" s="1810">
        <f>'Revenues 9-14'!C84</f>
        <v>34444</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230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149951</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17475</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1989</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7297</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115161</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38342</v>
      </c>
      <c r="G128" s="931"/>
    </row>
    <row r="129" spans="1:7" x14ac:dyDescent="0.2">
      <c r="A129" s="928" t="s">
        <v>685</v>
      </c>
      <c r="B129" s="928" t="s">
        <v>803</v>
      </c>
      <c r="C129" s="933">
        <v>4200</v>
      </c>
      <c r="D129" s="930" t="str">
        <f>'Revenues 9-14'!A201</f>
        <v>Total Food Service</v>
      </c>
      <c r="E129" s="907"/>
      <c r="F129" s="1810">
        <f>SUM('Revenues 9-14'!C201,'Revenues 9-14'!G201)</f>
        <v>149525</v>
      </c>
      <c r="G129" s="931"/>
    </row>
    <row r="130" spans="1:7" x14ac:dyDescent="0.2">
      <c r="A130" s="928" t="s">
        <v>689</v>
      </c>
      <c r="B130" s="928" t="s">
        <v>804</v>
      </c>
      <c r="C130" s="933">
        <v>4300</v>
      </c>
      <c r="D130" s="934" t="str">
        <f>'Revenues 9-14'!A211</f>
        <v>Total Title I</v>
      </c>
      <c r="E130" s="907"/>
      <c r="F130" s="1810">
        <f>SUM('Revenues 9-14'!C211,'Revenues 9-14'!D211,'Revenues 9-14'!F211,'Revenues 9-14'!G211)</f>
        <v>84876</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100364</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17659</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5040</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40569</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3" t="s">
        <v>5</v>
      </c>
      <c r="B175" s="1944" t="s">
        <v>2058</v>
      </c>
      <c r="C175" s="1945">
        <v>3100</v>
      </c>
      <c r="D175" s="1946" t="s">
        <v>2061</v>
      </c>
      <c r="E175" s="907"/>
      <c r="F175" s="1930">
        <v>158540</v>
      </c>
      <c r="G175" s="928"/>
    </row>
    <row r="176" spans="1:7" x14ac:dyDescent="0.2">
      <c r="A176" s="1943" t="s">
        <v>685</v>
      </c>
      <c r="B176" s="1944" t="s">
        <v>2058</v>
      </c>
      <c r="C176" s="1945">
        <v>3300</v>
      </c>
      <c r="D176" s="1946" t="s">
        <v>2062</v>
      </c>
      <c r="E176" s="907"/>
      <c r="F176" s="1930">
        <v>0</v>
      </c>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1056815</v>
      </c>
    </row>
    <row r="179" spans="1:7" ht="12" customHeight="1" x14ac:dyDescent="0.2">
      <c r="A179" s="1791"/>
      <c r="B179" s="1805"/>
      <c r="C179" s="1806"/>
      <c r="D179" s="1807" t="s">
        <v>2015</v>
      </c>
      <c r="E179" s="1808"/>
      <c r="F179" s="1810">
        <f>'PCTC-OEPP 27-28'!F77-F178</f>
        <v>3235072</v>
      </c>
    </row>
    <row r="180" spans="1:7" ht="12" customHeight="1" x14ac:dyDescent="0.2">
      <c r="A180" s="1791"/>
      <c r="B180" s="1805"/>
      <c r="C180" s="1806"/>
      <c r="D180" s="1807" t="s">
        <v>1924</v>
      </c>
      <c r="E180" s="1808"/>
      <c r="F180" s="1810">
        <f>'Cap Outlay Deprec 26'!I18</f>
        <v>279877</v>
      </c>
    </row>
    <row r="181" spans="1:7" ht="12" customHeight="1" x14ac:dyDescent="0.2">
      <c r="A181" s="1791"/>
      <c r="B181" s="1805"/>
      <c r="C181" s="1806"/>
      <c r="D181" s="1807" t="s">
        <v>2016</v>
      </c>
      <c r="E181" s="1808"/>
      <c r="F181" s="1810">
        <f>F179+F180</f>
        <v>3514949</v>
      </c>
    </row>
    <row r="182" spans="1:7" ht="12" customHeight="1" x14ac:dyDescent="0.2">
      <c r="A182" s="1791"/>
      <c r="B182" s="1811"/>
      <c r="C182" s="1806"/>
      <c r="D182" s="1807" t="str">
        <f>D78</f>
        <v>9 Month ADA from District Average Daily Attendance/Prior General State Aid Inquiry 2017-2018</v>
      </c>
      <c r="E182" s="1808"/>
      <c r="F182" s="1812">
        <f>'PCTC-OEPP 27-28'!F78</f>
        <v>511.64</v>
      </c>
      <c r="G182" s="931"/>
    </row>
    <row r="183" spans="1:7" ht="12" customHeight="1" thickBot="1" x14ac:dyDescent="0.25">
      <c r="A183" s="1791"/>
      <c r="B183" s="1811"/>
      <c r="C183" s="1806"/>
      <c r="D183" s="1807" t="s">
        <v>2017</v>
      </c>
      <c r="E183" s="1808" t="s">
        <v>1626</v>
      </c>
      <c r="F183" s="1813">
        <f>F181/F182</f>
        <v>6869.9652099132209</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50"/>
      <c r="D188" s="931"/>
      <c r="E188" s="950"/>
      <c r="F188" s="931"/>
      <c r="G188" s="931"/>
    </row>
    <row r="189" spans="1:7" x14ac:dyDescent="0.2">
      <c r="A189" s="1951" t="s">
        <v>2064</v>
      </c>
      <c r="B189" s="1952"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25"/>
  <pageSetup scale="70" firstPageNumber="27" orientation="portrait" useFirstPageNumber="1" r:id="rId2"/>
  <headerFooter alignWithMargins="0">
    <oddHeader>&amp;L&amp;8Page &amp;P&amp;C &amp;R&amp;8Page &amp;P</oddHeader>
    <oddFooter>&amp;L&amp;8Print Date: &amp;D
&amp;F&amp;C&amp;"Franklin Gothic Book,Regular"&amp;8The Notes to Financial Statements are an integral part of this statement.</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I17" sqref="I17"/>
    </sheetView>
  </sheetViews>
  <sheetFormatPr defaultColWidth="9.140625"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1940</v>
      </c>
      <c r="B1" s="1681"/>
      <c r="C1" s="1681"/>
      <c r="D1" s="1681"/>
      <c r="E1" s="1681"/>
      <c r="F1" s="1681"/>
      <c r="G1" s="1967" t="s">
        <v>2140</v>
      </c>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97" t="s">
        <v>1925</v>
      </c>
      <c r="B4" s="2298"/>
      <c r="C4" s="2298"/>
      <c r="D4" s="2298"/>
      <c r="E4" s="2298"/>
      <c r="F4" s="2298"/>
      <c r="G4" s="2299"/>
    </row>
    <row r="5" spans="1:7" x14ac:dyDescent="0.25">
      <c r="A5" s="2300"/>
      <c r="B5" s="2301"/>
      <c r="C5" s="2301"/>
      <c r="D5" s="2301"/>
      <c r="E5" s="2301"/>
      <c r="F5" s="2301"/>
      <c r="G5" s="2302"/>
    </row>
    <row r="6" spans="1:7" ht="18.75" x14ac:dyDescent="0.25">
      <c r="A6" s="1555" t="s">
        <v>1926</v>
      </c>
      <c r="B6" s="1556"/>
      <c r="C6" s="1556"/>
      <c r="D6" s="1556"/>
      <c r="E6" s="1556"/>
      <c r="F6" s="1556"/>
      <c r="G6" s="1557"/>
    </row>
    <row r="7" spans="1:7" ht="30.75" customHeight="1" x14ac:dyDescent="0.25">
      <c r="A7" s="2303" t="s">
        <v>2075</v>
      </c>
      <c r="B7" s="2304"/>
      <c r="C7" s="2304"/>
      <c r="D7" s="2304"/>
      <c r="E7" s="2304"/>
      <c r="F7" s="2304"/>
      <c r="G7" s="2305"/>
    </row>
    <row r="8" spans="1:7" ht="15.75" customHeight="1" x14ac:dyDescent="0.25">
      <c r="A8" s="2306" t="s">
        <v>2024</v>
      </c>
      <c r="B8" s="2307"/>
      <c r="C8" s="2307"/>
      <c r="D8" s="2307"/>
      <c r="E8" s="2307"/>
      <c r="F8" s="2307"/>
      <c r="G8" s="2308"/>
    </row>
    <row r="9" spans="1:7" ht="35.25" customHeight="1" x14ac:dyDescent="0.25">
      <c r="A9" s="2303" t="s">
        <v>2023</v>
      </c>
      <c r="B9" s="2304"/>
      <c r="C9" s="2304"/>
      <c r="D9" s="2304"/>
      <c r="E9" s="2304"/>
      <c r="F9" s="2304"/>
      <c r="G9" s="2305"/>
    </row>
    <row r="10" spans="1:7" ht="15" customHeight="1" x14ac:dyDescent="0.25">
      <c r="A10" s="1558" t="s">
        <v>1927</v>
      </c>
      <c r="B10" s="1559"/>
      <c r="C10" s="1559"/>
      <c r="D10" s="1559"/>
      <c r="E10" s="1559"/>
      <c r="F10" s="1559"/>
      <c r="G10" s="1560"/>
    </row>
    <row r="11" spans="1:7" ht="17.25" customHeight="1" x14ac:dyDescent="0.25">
      <c r="A11" s="2303" t="s">
        <v>1941</v>
      </c>
      <c r="B11" s="2304"/>
      <c r="C11" s="2304"/>
      <c r="D11" s="2304"/>
      <c r="E11" s="2304"/>
      <c r="F11" s="2304"/>
      <c r="G11" s="2305"/>
    </row>
    <row r="12" spans="1:7" ht="15" customHeight="1" x14ac:dyDescent="0.25">
      <c r="A12" s="1558" t="s">
        <v>1932</v>
      </c>
      <c r="B12" s="1559"/>
      <c r="C12" s="1559"/>
      <c r="D12" s="1559"/>
      <c r="E12" s="1559"/>
      <c r="F12" s="1559"/>
      <c r="G12" s="1560"/>
    </row>
    <row r="13" spans="1:7" ht="32.25" customHeight="1" x14ac:dyDescent="0.25">
      <c r="A13" s="2294" t="s">
        <v>1933</v>
      </c>
      <c r="B13" s="2295"/>
      <c r="C13" s="2295"/>
      <c r="D13" s="2295"/>
      <c r="E13" s="2295"/>
      <c r="F13" s="2295"/>
      <c r="G13" s="2296"/>
    </row>
    <row r="14" spans="1:7" x14ac:dyDescent="0.25">
      <c r="A14" s="1682" t="s">
        <v>1942</v>
      </c>
      <c r="B14" s="1683"/>
      <c r="C14" s="1683"/>
      <c r="D14" s="1683"/>
      <c r="E14" s="1683"/>
      <c r="F14" s="1683"/>
      <c r="G14" s="1684"/>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1943</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57" t="s">
        <v>2111</v>
      </c>
      <c r="B17" s="1956" t="s">
        <v>2110</v>
      </c>
      <c r="C17" s="1955" t="s">
        <v>2109</v>
      </c>
      <c r="D17" s="1866">
        <v>121063</v>
      </c>
      <c r="E17" s="1561">
        <f t="shared" ref="E17:E141" si="1">IF(D17&lt;=25000,D17,IF(D17&gt;25000,25000,0))</f>
        <v>25000</v>
      </c>
      <c r="F17" s="1814">
        <f t="shared" si="0"/>
        <v>25000</v>
      </c>
      <c r="G17" s="1815">
        <f>IF(F17=0,0,D17-F17)</f>
        <v>96063</v>
      </c>
      <c r="H17" s="1668"/>
    </row>
    <row r="18" spans="1:8" x14ac:dyDescent="0.25">
      <c r="A18" s="1958" t="s">
        <v>2112</v>
      </c>
      <c r="B18" s="1966" t="s">
        <v>2138</v>
      </c>
      <c r="C18" s="1960" t="s">
        <v>2113</v>
      </c>
      <c r="D18" s="1866">
        <v>7360</v>
      </c>
      <c r="E18" s="1561">
        <f t="shared" ref="E18:E140" si="2">IF(D18&lt;=25000,D18,IF(D18&gt;25000,25000,0))</f>
        <v>7360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7360</v>
      </c>
      <c r="G18" s="1815">
        <f t="shared" ref="G18:G140" si="4">IF(F18=0,0,D18-F18)</f>
        <v>0</v>
      </c>
    </row>
    <row r="19" spans="1:8" x14ac:dyDescent="0.25">
      <c r="A19" s="1958" t="s">
        <v>2114</v>
      </c>
      <c r="B19" s="1966" t="s">
        <v>2139</v>
      </c>
      <c r="C19" s="1960" t="s">
        <v>2113</v>
      </c>
      <c r="D19" s="1866">
        <v>1840</v>
      </c>
      <c r="E19" s="1561">
        <f t="shared" si="2"/>
        <v>1840</v>
      </c>
      <c r="F19" s="1814">
        <f t="shared" si="3"/>
        <v>1840</v>
      </c>
      <c r="G19" s="1815">
        <f t="shared" si="4"/>
        <v>0</v>
      </c>
    </row>
    <row r="20" spans="1:8" x14ac:dyDescent="0.25">
      <c r="A20" s="1958" t="s">
        <v>2112</v>
      </c>
      <c r="B20" s="1966" t="s">
        <v>2138</v>
      </c>
      <c r="C20" s="1960" t="s">
        <v>2115</v>
      </c>
      <c r="D20" s="1866">
        <v>5600</v>
      </c>
      <c r="E20" s="1561">
        <f t="shared" si="2"/>
        <v>5600</v>
      </c>
      <c r="F20" s="1814">
        <f t="shared" si="3"/>
        <v>5600</v>
      </c>
      <c r="G20" s="1815">
        <f t="shared" si="4"/>
        <v>0</v>
      </c>
    </row>
    <row r="21" spans="1:8" x14ac:dyDescent="0.25">
      <c r="A21" s="1958" t="s">
        <v>2116</v>
      </c>
      <c r="B21" s="1959" t="s">
        <v>2117</v>
      </c>
      <c r="C21" s="1960" t="s">
        <v>2118</v>
      </c>
      <c r="D21" s="1866">
        <v>77639</v>
      </c>
      <c r="E21" s="1561">
        <f t="shared" si="2"/>
        <v>25000</v>
      </c>
      <c r="F21" s="1814">
        <f t="shared" si="3"/>
        <v>25000</v>
      </c>
      <c r="G21" s="1815">
        <f t="shared" si="4"/>
        <v>52639</v>
      </c>
    </row>
    <row r="22" spans="1:8" x14ac:dyDescent="0.25">
      <c r="A22" s="1958" t="s">
        <v>2116</v>
      </c>
      <c r="B22" s="1959" t="s">
        <v>2117</v>
      </c>
      <c r="C22" s="1960" t="s">
        <v>2119</v>
      </c>
      <c r="D22" s="1866">
        <v>11003</v>
      </c>
      <c r="E22" s="1561">
        <f t="shared" si="2"/>
        <v>11003</v>
      </c>
      <c r="F22" s="1814">
        <f t="shared" si="3"/>
        <v>11003</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224505</v>
      </c>
      <c r="E141" s="1562">
        <f t="shared" si="1"/>
        <v>25000</v>
      </c>
      <c r="F141" s="1816">
        <f>SUM(F17:F140)</f>
        <v>75803</v>
      </c>
      <c r="G141" s="1817">
        <f>SUM(G17:G140)</f>
        <v>148702</v>
      </c>
    </row>
  </sheetData>
  <sheetProtection selectLockedCells="1"/>
  <mergeCells count="6">
    <mergeCell ref="A13:G13"/>
    <mergeCell ref="A4:G5"/>
    <mergeCell ref="A11:G11"/>
    <mergeCell ref="A7:G7"/>
    <mergeCell ref="A8:G8"/>
    <mergeCell ref="A9:G9"/>
  </mergeCells>
  <pageMargins left="0.2" right="0.2" top="0.5" bottom="0.35" header="0.3" footer="0.25"/>
  <pageSetup scale="83" firstPageNumber="30" fitToHeight="0" orientation="landscape" r:id="rId1"/>
  <headerFooter>
    <oddFooter>&amp;C&amp;"Franklin Gothic Book,Regular"&amp;8The Notes to Financial Statements are an integral part of this statement.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9" t="s">
        <v>1778</v>
      </c>
      <c r="B5" s="2310"/>
      <c r="C5" s="2310"/>
      <c r="D5" s="2310"/>
      <c r="E5" s="2310"/>
      <c r="F5" s="2310"/>
      <c r="G5" s="2311"/>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108235</v>
      </c>
      <c r="F10" s="975"/>
      <c r="G10" s="976"/>
      <c r="H10" s="162"/>
      <c r="I10" s="162"/>
    </row>
    <row r="11" spans="1:9" s="669" customFormat="1" ht="22.5" customHeight="1" x14ac:dyDescent="0.2">
      <c r="A11" s="2314" t="s">
        <v>1945</v>
      </c>
      <c r="B11" s="2315"/>
      <c r="C11" s="2315"/>
      <c r="D11" s="2316"/>
      <c r="E11" s="978">
        <v>22484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2322583</v>
      </c>
      <c r="F19" s="1821"/>
      <c r="G19" s="1823">
        <f>'Expenditures 15-22'!K33-SUM('Expenditures 15-22'!G33,'Expenditures 15-22'!I33)+'Expenditures 15-22'!D229</f>
        <v>2322583</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77887</v>
      </c>
      <c r="F21" s="1824"/>
      <c r="G21" s="1827">
        <f>'Expenditures 15-22'!K42-SUM('Expenditures 15-22'!G42,'Expenditures 15-22'!I42)+'Expenditures 15-22'!K120-SUM('Expenditures 15-22'!G120,'Expenditures 15-22'!I120)+'Expenditures 15-22'!K180-SUM('Expenditures 15-22'!G180,'Expenditures 15-22'!I180)+'Expenditures 15-22'!D238</f>
        <v>77887</v>
      </c>
      <c r="H21" s="988"/>
      <c r="I21" s="162"/>
    </row>
    <row r="22" spans="1:9" s="669" customFormat="1" ht="12" customHeight="1" x14ac:dyDescent="0.2">
      <c r="A22" s="995" t="s">
        <v>585</v>
      </c>
      <c r="B22" s="996"/>
      <c r="C22" s="994">
        <v>2200</v>
      </c>
      <c r="D22" s="1824"/>
      <c r="E22" s="1826">
        <f>'Expenditures 15-22'!K47-SUM('Expenditures 15-22'!G47,'Expenditures 15-22'!I47)+'Expenditures 15-22'!D243</f>
        <v>147842</v>
      </c>
      <c r="F22" s="1824"/>
      <c r="G22" s="1827">
        <f>'Expenditures 15-22'!K47-SUM('Expenditures 15-22'!G47,'Expenditures 15-22'!I47)+'Expenditures 15-22'!D243</f>
        <v>147842</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586383</v>
      </c>
      <c r="F23" s="1824"/>
      <c r="G23" s="1826">
        <f>'Expenditures 15-22'!K53-SUM('Expenditures 15-22'!G53,'Expenditures 15-22'!I53)+'Expenditures 15-22'!D257+'Expenditures 15-22'!K330-SUM('Expenditures 15-22'!G330,'Expenditures 15-22'!I330)</f>
        <v>586383</v>
      </c>
      <c r="H23" s="988"/>
      <c r="I23" s="162"/>
    </row>
    <row r="24" spans="1:9" s="669" customFormat="1" ht="12" customHeight="1" x14ac:dyDescent="0.2">
      <c r="A24" s="995" t="s">
        <v>587</v>
      </c>
      <c r="B24" s="996"/>
      <c r="C24" s="994">
        <v>2400</v>
      </c>
      <c r="D24" s="1824"/>
      <c r="E24" s="1826">
        <f>'Expenditures 15-22'!K57-SUM('Expenditures 15-22'!G57,'Expenditures 15-22'!I57)+'Expenditures 15-22'!D261</f>
        <v>196621</v>
      </c>
      <c r="F24" s="1824"/>
      <c r="G24" s="1827">
        <f>'Expenditures 15-22'!K57-SUM('Expenditures 15-22'!G57,'Expenditures 15-22'!I57)+'Expenditures 15-22'!D261</f>
        <v>196621</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40334</v>
      </c>
      <c r="E27" s="1826">
        <f>E8</f>
        <v>0</v>
      </c>
      <c r="F27" s="1826">
        <f>'Expenditures 15-22'!K60-SUM('Expenditures 15-22'!G60,'Expenditures 15-22'!I60)+'Expenditures 15-22'!D264-E8</f>
        <v>40334</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300202</v>
      </c>
      <c r="F28" s="1828">
        <f>'Expenditures 15-22'!K61-SUM('Expenditures 15-22'!G61,'Expenditures 15-22'!I61)+'Expenditures 15-22'!K124-SUM('Expenditures 15-22'!G124,'Expenditures 15-22'!I124)+'Expenditures 15-22'!D266-E9</f>
        <v>300202</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334854</v>
      </c>
      <c r="F29" s="1824"/>
      <c r="G29" s="1827">
        <f>'Expenditures 15-22'!K62-SUM('Expenditures 15-22'!G62,'Expenditures 15-22'!I62)+'Expenditures 15-22'!K125-SUM('Expenditures 15-22'!G125,'Expenditures 15-22'!I125)+'Expenditures 15-22'!K182-SUM('Expenditures 15-22'!G182,'Expenditures 15-22'!I182)+'Expenditures 15-22'!D267</f>
        <v>334854</v>
      </c>
      <c r="H29" s="986"/>
    </row>
    <row r="30" spans="1:9" ht="12" customHeight="1" x14ac:dyDescent="0.2">
      <c r="A30" s="995" t="s">
        <v>102</v>
      </c>
      <c r="B30" s="998"/>
      <c r="C30" s="994">
        <v>2560</v>
      </c>
      <c r="D30" s="1824"/>
      <c r="E30" s="1826">
        <f>'Expenditures 15-22'!K63-SUM('Expenditures 15-22'!G63,'Expenditures 15-22'!I63)+'Expenditures 15-22'!D268-E10</f>
        <v>155270</v>
      </c>
      <c r="F30" s="1824"/>
      <c r="G30" s="1826">
        <f>'Expenditures 15-22'!K63-SUM('Expenditures 15-22'!G63,'Expenditures 15-22'!I63)+'Expenditures 15-22'!D268-E10</f>
        <v>155270</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4"/>
      <c r="E40" s="1828">
        <f>-'Contracts Paid in CY 29'!G141</f>
        <v>-148702</v>
      </c>
      <c r="F40" s="1824"/>
      <c r="G40" s="1828">
        <f>-'Contracts Paid in CY 29'!G141</f>
        <v>-148702</v>
      </c>
    </row>
    <row r="41" spans="1:7" ht="12" customHeight="1" x14ac:dyDescent="0.2">
      <c r="A41" s="999" t="s">
        <v>158</v>
      </c>
      <c r="B41" s="1000"/>
      <c r="C41" s="1001"/>
      <c r="D41" s="1828">
        <f>SUM(D19:D39)</f>
        <v>40334</v>
      </c>
      <c r="E41" s="1828">
        <f>SUM(E19:E40)</f>
        <v>3972940</v>
      </c>
      <c r="F41" s="1828">
        <f>SUM(F19:F39)</f>
        <v>340536</v>
      </c>
      <c r="G41" s="1828">
        <f>SUM(G19:G40)</f>
        <v>3672738</v>
      </c>
    </row>
    <row r="42" spans="1:7" x14ac:dyDescent="0.2">
      <c r="A42" s="988"/>
      <c r="B42" s="162"/>
      <c r="C42" s="1002"/>
      <c r="D42" s="2312" t="s">
        <v>543</v>
      </c>
      <c r="E42" s="2313"/>
      <c r="F42" s="1003" t="s">
        <v>544</v>
      </c>
      <c r="G42" s="1004"/>
    </row>
    <row r="43" spans="1:7" ht="12" customHeight="1" x14ac:dyDescent="0.2">
      <c r="A43" s="988"/>
      <c r="B43" s="162"/>
      <c r="C43" s="1002"/>
      <c r="D43" s="1829" t="s">
        <v>493</v>
      </c>
      <c r="E43" s="1830">
        <f>D41</f>
        <v>40334</v>
      </c>
      <c r="F43" s="1829" t="s">
        <v>495</v>
      </c>
      <c r="G43" s="1830">
        <f>F41</f>
        <v>340536</v>
      </c>
    </row>
    <row r="44" spans="1:7" ht="12" customHeight="1" x14ac:dyDescent="0.2">
      <c r="A44" s="988"/>
      <c r="B44" s="162"/>
      <c r="C44" s="1002"/>
      <c r="D44" s="1829" t="s">
        <v>494</v>
      </c>
      <c r="E44" s="1830">
        <f>E41</f>
        <v>3972940</v>
      </c>
      <c r="F44" s="1829" t="s">
        <v>494</v>
      </c>
      <c r="G44" s="1830">
        <f>G41</f>
        <v>3672738</v>
      </c>
    </row>
    <row r="45" spans="1:7" ht="12" customHeight="1" x14ac:dyDescent="0.2">
      <c r="A45" s="988"/>
      <c r="B45" s="162"/>
      <c r="C45" s="162"/>
      <c r="D45" s="1831" t="s">
        <v>1063</v>
      </c>
      <c r="E45" s="1832">
        <f>(E43/E44)</f>
        <v>1.0152179494278796E-2</v>
      </c>
      <c r="F45" s="1831" t="s">
        <v>1063</v>
      </c>
      <c r="G45" s="1832">
        <f>(G43/G44)</f>
        <v>9.2719927204173019E-2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25"/>
  <pageSetup scale="85" firstPageNumber="30" orientation="landscape" useFirstPageNumber="1" r:id="rId1"/>
  <headerFooter alignWithMargins="0">
    <oddHeader>&amp;L&amp;8Page &amp;P&amp;C&amp;"Arial,Bold"
ESTIMATED INDIRECT COST DATA&amp;R&amp;8Page &amp;P</oddHeader>
    <oddFooter>&amp;L&amp;8Print Date:  &amp;D
&amp;F&amp;C&amp;"Franklin Gothic Book,Regular"&amp;8The Notes to Financial Statements are an integral part of this statement.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21" sqref="F21"/>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0" t="s">
        <v>1446</v>
      </c>
      <c r="B1" s="2320"/>
      <c r="C1" s="2320"/>
      <c r="D1" s="2320"/>
      <c r="E1" s="2320"/>
      <c r="F1" s="2320"/>
    </row>
    <row r="2" spans="1:10" x14ac:dyDescent="0.2">
      <c r="A2" s="1911" t="s">
        <v>2048</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21" t="s">
        <v>1627</v>
      </c>
      <c r="B5" s="2322"/>
      <c r="C5" s="2323"/>
      <c r="D5" s="2323"/>
      <c r="E5" s="2323"/>
      <c r="F5" s="2323"/>
    </row>
    <row r="6" spans="1:10" ht="12" customHeight="1" x14ac:dyDescent="0.25">
      <c r="A6" s="1874"/>
      <c r="B6" s="1875"/>
      <c r="C6" s="2324" t="str">
        <f>COVER!A17</f>
        <v>Payson CUSD 1</v>
      </c>
      <c r="D6" s="2324"/>
      <c r="E6" s="2324"/>
      <c r="F6" s="1876"/>
    </row>
    <row r="7" spans="1:10" ht="11.25" customHeight="1" thickBot="1" x14ac:dyDescent="0.3">
      <c r="A7" s="1874"/>
      <c r="B7" s="1875"/>
      <c r="C7" s="2325">
        <f>COVER!A13</f>
        <v>1001001026</v>
      </c>
      <c r="D7" s="2325"/>
      <c r="E7" s="2325"/>
      <c r="F7" s="1876"/>
    </row>
    <row r="8" spans="1:10" ht="25.5" customHeight="1" thickBot="1" x14ac:dyDescent="0.25">
      <c r="A8" s="1917" t="s">
        <v>2025</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t="s">
        <v>2077</v>
      </c>
      <c r="D16" s="1889" t="s">
        <v>2077</v>
      </c>
      <c r="E16" s="1892" t="s">
        <v>2077</v>
      </c>
      <c r="F16" s="1891"/>
      <c r="H16" s="1902">
        <f t="shared" si="0"/>
        <v>5</v>
      </c>
      <c r="I16" s="1902">
        <f t="shared" si="1"/>
        <v>5</v>
      </c>
      <c r="J16" s="1902">
        <f t="shared" si="2"/>
        <v>5</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t="s">
        <v>2077</v>
      </c>
      <c r="D21" s="1889" t="s">
        <v>2077</v>
      </c>
      <c r="E21" s="1892" t="s">
        <v>2077</v>
      </c>
      <c r="F21" s="1891"/>
      <c r="H21" s="1902">
        <f t="shared" si="0"/>
        <v>5</v>
      </c>
      <c r="I21" s="1902">
        <f t="shared" si="1"/>
        <v>5</v>
      </c>
      <c r="J21" s="1902">
        <f t="shared" si="2"/>
        <v>5</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2077</v>
      </c>
      <c r="D26" s="1889" t="s">
        <v>2077</v>
      </c>
      <c r="E26" s="1892" t="s">
        <v>2077</v>
      </c>
      <c r="F26" s="1891" t="s">
        <v>2105</v>
      </c>
      <c r="H26" s="1902">
        <f t="shared" si="0"/>
        <v>5</v>
      </c>
      <c r="I26" s="1902">
        <f t="shared" si="1"/>
        <v>5</v>
      </c>
      <c r="J26" s="1902">
        <f t="shared" si="2"/>
        <v>5</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t="s">
        <v>2077</v>
      </c>
      <c r="D31" s="1889" t="s">
        <v>2077</v>
      </c>
      <c r="E31" s="1892" t="s">
        <v>2077</v>
      </c>
      <c r="F31" s="1891" t="s">
        <v>2105</v>
      </c>
      <c r="H31" s="1902">
        <f t="shared" si="0"/>
        <v>5</v>
      </c>
      <c r="I31" s="1902">
        <f t="shared" si="1"/>
        <v>5</v>
      </c>
      <c r="J31" s="1902">
        <f t="shared" si="2"/>
        <v>5</v>
      </c>
      <c r="L31" s="1893"/>
    </row>
    <row r="32" spans="1:12" ht="12" customHeight="1" x14ac:dyDescent="0.2">
      <c r="A32" s="1887" t="s">
        <v>1621</v>
      </c>
      <c r="B32" s="1888"/>
      <c r="C32" s="1889" t="s">
        <v>2077</v>
      </c>
      <c r="D32" s="1889" t="s">
        <v>2077</v>
      </c>
      <c r="E32" s="1892" t="s">
        <v>2077</v>
      </c>
      <c r="F32" s="1891" t="s">
        <v>2106</v>
      </c>
      <c r="H32" s="1902">
        <f t="shared" si="0"/>
        <v>5</v>
      </c>
      <c r="I32" s="1902">
        <f t="shared" si="1"/>
        <v>5</v>
      </c>
      <c r="J32" s="1902">
        <f t="shared" si="2"/>
        <v>5</v>
      </c>
    </row>
    <row r="33" spans="1:11" ht="12" customHeight="1" x14ac:dyDescent="0.2">
      <c r="A33" s="1887" t="s">
        <v>1622</v>
      </c>
      <c r="B33" s="1888"/>
      <c r="C33" s="1889" t="s">
        <v>2077</v>
      </c>
      <c r="D33" s="1889" t="s">
        <v>2077</v>
      </c>
      <c r="E33" s="1892" t="s">
        <v>2077</v>
      </c>
      <c r="F33" s="1891" t="s">
        <v>2107</v>
      </c>
      <c r="H33" s="1902">
        <f t="shared" si="0"/>
        <v>5</v>
      </c>
      <c r="I33" s="1902">
        <f t="shared" si="1"/>
        <v>5</v>
      </c>
      <c r="J33" s="1902">
        <f t="shared" si="2"/>
        <v>5</v>
      </c>
    </row>
    <row r="34" spans="1:11" ht="12" customHeight="1" x14ac:dyDescent="0.25">
      <c r="A34" s="1894"/>
      <c r="B34" s="1894"/>
      <c r="C34" s="1894"/>
      <c r="D34" s="1894"/>
      <c r="E34" s="1894"/>
      <c r="F34" s="1894"/>
      <c r="H34" s="1902">
        <f>SUM(H11:H32)</f>
        <v>25</v>
      </c>
      <c r="I34" s="1902">
        <f>SUM(I11:I32)</f>
        <v>25</v>
      </c>
      <c r="J34" s="1902">
        <f>SUM(J11:J32)</f>
        <v>25</v>
      </c>
      <c r="K34" s="1902">
        <f>SUM(H34:J34)</f>
        <v>75</v>
      </c>
    </row>
    <row r="35" spans="1:11" ht="12" customHeight="1" x14ac:dyDescent="0.2">
      <c r="A35" s="1895" t="s">
        <v>1459</v>
      </c>
      <c r="B35" s="1896"/>
      <c r="C35" s="2326"/>
      <c r="D35" s="2326"/>
      <c r="E35" s="2326"/>
      <c r="F35" s="2327"/>
    </row>
    <row r="36" spans="1:11" ht="12" customHeight="1" x14ac:dyDescent="0.2">
      <c r="A36" s="2317"/>
      <c r="B36" s="2318"/>
      <c r="C36" s="2318"/>
      <c r="D36" s="2318"/>
      <c r="E36" s="2318"/>
      <c r="F36" s="2319"/>
    </row>
    <row r="37" spans="1:11" ht="12" customHeight="1" x14ac:dyDescent="0.2">
      <c r="A37" s="2317"/>
      <c r="B37" s="2318"/>
      <c r="C37" s="2318"/>
      <c r="D37" s="2318"/>
      <c r="E37" s="2318"/>
      <c r="F37" s="2319"/>
    </row>
    <row r="38" spans="1:11" ht="12" customHeight="1" x14ac:dyDescent="0.2">
      <c r="A38" s="2331"/>
      <c r="B38" s="2332"/>
      <c r="C38" s="2332"/>
      <c r="D38" s="2332"/>
      <c r="E38" s="2332"/>
      <c r="F38" s="2333"/>
    </row>
    <row r="39" spans="1:11" ht="4.5" hidden="1" customHeight="1" x14ac:dyDescent="0.2">
      <c r="A39" s="1897"/>
      <c r="B39" s="1897"/>
      <c r="C39" s="1897"/>
      <c r="D39" s="1897"/>
      <c r="E39" s="1897"/>
      <c r="F39" s="1897"/>
    </row>
    <row r="40" spans="1:11" s="1894" customFormat="1" ht="12" customHeight="1" x14ac:dyDescent="0.25">
      <c r="A40" s="1898" t="s">
        <v>1458</v>
      </c>
      <c r="B40" s="1899"/>
      <c r="C40" s="2334"/>
      <c r="D40" s="2334"/>
      <c r="E40" s="2334"/>
      <c r="F40" s="2335"/>
      <c r="H40" s="1903"/>
      <c r="I40" s="1903"/>
      <c r="J40" s="1903"/>
      <c r="K40" s="1903"/>
    </row>
    <row r="41" spans="1:11" s="1894" customFormat="1" ht="12" customHeight="1" x14ac:dyDescent="0.25">
      <c r="A41" s="2336"/>
      <c r="B41" s="2337"/>
      <c r="C41" s="2337"/>
      <c r="D41" s="2337"/>
      <c r="E41" s="2337"/>
      <c r="F41" s="2338"/>
      <c r="H41" s="1903"/>
      <c r="I41" s="1903"/>
      <c r="J41" s="1903"/>
      <c r="K41" s="1903"/>
    </row>
    <row r="42" spans="1:11" s="1894" customFormat="1" ht="12" customHeight="1" x14ac:dyDescent="0.25">
      <c r="A42" s="2336"/>
      <c r="B42" s="2337"/>
      <c r="C42" s="2337"/>
      <c r="D42" s="2337"/>
      <c r="E42" s="2337"/>
      <c r="F42" s="2338"/>
      <c r="H42" s="1903"/>
      <c r="I42" s="1903"/>
      <c r="J42" s="1903"/>
      <c r="K42" s="1903"/>
    </row>
    <row r="43" spans="1:11" s="1894" customFormat="1" ht="15" x14ac:dyDescent="0.25">
      <c r="A43" s="2328"/>
      <c r="B43" s="2329"/>
      <c r="C43" s="2329"/>
      <c r="D43" s="2329"/>
      <c r="E43" s="2329"/>
      <c r="F43" s="2330"/>
      <c r="H43" s="1903"/>
      <c r="I43" s="1903"/>
      <c r="J43" s="1903"/>
      <c r="K43" s="1903"/>
    </row>
    <row r="44" spans="1:11" s="1894" customFormat="1" ht="12" hidden="1" customHeight="1" x14ac:dyDescent="0.25">
      <c r="A44" s="2328"/>
      <c r="B44" s="2329"/>
      <c r="C44" s="2329"/>
      <c r="D44" s="2329"/>
      <c r="E44" s="2329"/>
      <c r="F44" s="233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25"/>
  <pageSetup scale="82" orientation="landscape" r:id="rId1"/>
  <headerFooter>
    <oddFooter>&amp;L&amp;"Franklin Gothic Book,Regular"&amp;8The Notes to Financial Statements are an integral part of this statement.&amp;C&amp;8Page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57"/>
  <sheetViews>
    <sheetView showGridLines="0" topLeftCell="A31" zoomScale="110" zoomScaleNormal="110" workbookViewId="0">
      <selection activeCell="A33" sqref="A33:XFD40"/>
    </sheetView>
  </sheetViews>
  <sheetFormatPr defaultColWidth="9.140625" defaultRowHeight="12.75" x14ac:dyDescent="0.2"/>
  <cols>
    <col min="1" max="1" width="3" style="329" customWidth="1"/>
    <col min="2" max="2" width="109.140625" style="329" customWidth="1"/>
    <col min="3" max="3" width="3.140625" style="1965" customWidth="1"/>
    <col min="4" max="16384" width="9.140625" style="329"/>
  </cols>
  <sheetData>
    <row r="2" spans="1:4" x14ac:dyDescent="0.2">
      <c r="A2" s="389" t="s">
        <v>276</v>
      </c>
    </row>
    <row r="3" spans="1:4" x14ac:dyDescent="0.2">
      <c r="A3" s="329" t="s">
        <v>277</v>
      </c>
    </row>
    <row r="5" spans="1:4" x14ac:dyDescent="0.2">
      <c r="A5" s="1961" t="s">
        <v>2120</v>
      </c>
    </row>
    <row r="6" spans="1:4" x14ac:dyDescent="0.2">
      <c r="A6" s="1069"/>
      <c r="B6" s="329" t="s">
        <v>2121</v>
      </c>
    </row>
    <row r="7" spans="1:4" x14ac:dyDescent="0.2">
      <c r="A7" s="1069"/>
      <c r="B7" s="329" t="s">
        <v>2122</v>
      </c>
      <c r="C7" s="1965" t="s">
        <v>1015</v>
      </c>
      <c r="D7" s="1962">
        <v>4370</v>
      </c>
    </row>
    <row r="8" spans="1:4" ht="15" x14ac:dyDescent="0.35">
      <c r="A8" s="1069"/>
      <c r="B8" s="329" t="s">
        <v>2123</v>
      </c>
      <c r="D8" s="1963">
        <v>3726</v>
      </c>
    </row>
    <row r="9" spans="1:4" x14ac:dyDescent="0.2">
      <c r="A9" s="1069"/>
      <c r="D9" s="1962"/>
    </row>
    <row r="10" spans="1:4" ht="15" x14ac:dyDescent="0.35">
      <c r="A10" s="1069"/>
      <c r="B10" s="329" t="s">
        <v>158</v>
      </c>
      <c r="C10" s="1965" t="s">
        <v>1015</v>
      </c>
      <c r="D10" s="1964">
        <f>SUM(D7:D9)</f>
        <v>8096</v>
      </c>
    </row>
    <row r="11" spans="1:4" x14ac:dyDescent="0.2">
      <c r="A11" s="1069"/>
      <c r="D11" s="1962"/>
    </row>
    <row r="12" spans="1:4" x14ac:dyDescent="0.2">
      <c r="A12" s="1069"/>
      <c r="B12" s="329" t="s">
        <v>2124</v>
      </c>
      <c r="D12" s="1962"/>
    </row>
    <row r="13" spans="1:4" ht="15" x14ac:dyDescent="0.35">
      <c r="A13" s="1069"/>
      <c r="B13" s="329" t="s">
        <v>2132</v>
      </c>
      <c r="C13" s="1965" t="s">
        <v>1015</v>
      </c>
      <c r="D13" s="1964">
        <v>49</v>
      </c>
    </row>
    <row r="14" spans="1:4" x14ac:dyDescent="0.2">
      <c r="A14" s="1069"/>
      <c r="D14" s="1962"/>
    </row>
    <row r="15" spans="1:4" x14ac:dyDescent="0.2">
      <c r="A15" s="1069"/>
      <c r="B15" s="329" t="s">
        <v>2125</v>
      </c>
      <c r="D15" s="1962"/>
    </row>
    <row r="16" spans="1:4" ht="15" x14ac:dyDescent="0.35">
      <c r="A16" s="1069"/>
      <c r="B16" s="329" t="s">
        <v>2126</v>
      </c>
      <c r="C16" s="1965" t="s">
        <v>1015</v>
      </c>
      <c r="D16" s="1964">
        <v>120</v>
      </c>
    </row>
    <row r="17" spans="1:4" x14ac:dyDescent="0.2">
      <c r="A17" s="1069"/>
      <c r="D17" s="1962"/>
    </row>
    <row r="18" spans="1:4" x14ac:dyDescent="0.2">
      <c r="A18" s="1961" t="s">
        <v>2127</v>
      </c>
      <c r="D18" s="1962"/>
    </row>
    <row r="19" spans="1:4" x14ac:dyDescent="0.2">
      <c r="A19" s="1069"/>
      <c r="B19" s="329" t="s">
        <v>2121</v>
      </c>
      <c r="D19" s="1962"/>
    </row>
    <row r="20" spans="1:4" ht="15" x14ac:dyDescent="0.35">
      <c r="A20" s="1069"/>
      <c r="B20" s="329" t="s">
        <v>2128</v>
      </c>
      <c r="C20" s="1965" t="s">
        <v>1015</v>
      </c>
      <c r="D20" s="1964">
        <v>1500</v>
      </c>
    </row>
    <row r="21" spans="1:4" x14ac:dyDescent="0.2">
      <c r="A21" s="1069"/>
      <c r="D21" s="1962"/>
    </row>
    <row r="22" spans="1:4" x14ac:dyDescent="0.2">
      <c r="A22" s="1961" t="s">
        <v>2129</v>
      </c>
      <c r="D22" s="1962"/>
    </row>
    <row r="23" spans="1:4" x14ac:dyDescent="0.2">
      <c r="A23" s="1069"/>
      <c r="B23" s="329" t="s">
        <v>2130</v>
      </c>
      <c r="D23" s="1962"/>
    </row>
    <row r="24" spans="1:4" ht="15" x14ac:dyDescent="0.35">
      <c r="A24" s="1069"/>
      <c r="B24" s="329" t="s">
        <v>2131</v>
      </c>
      <c r="C24" s="1965" t="s">
        <v>1015</v>
      </c>
      <c r="D24" s="1964">
        <v>600</v>
      </c>
    </row>
    <row r="25" spans="1:4" x14ac:dyDescent="0.2">
      <c r="A25" s="1069"/>
      <c r="D25" s="1962"/>
    </row>
    <row r="26" spans="1:4" x14ac:dyDescent="0.2">
      <c r="A26" s="1961" t="s">
        <v>2133</v>
      </c>
      <c r="D26" s="1962"/>
    </row>
    <row r="27" spans="1:4" x14ac:dyDescent="0.2">
      <c r="A27" s="1069"/>
      <c r="B27" s="329" t="s">
        <v>2135</v>
      </c>
      <c r="D27" s="1962"/>
    </row>
    <row r="28" spans="1:4" x14ac:dyDescent="0.2">
      <c r="A28" s="1069"/>
      <c r="B28" s="329" t="s">
        <v>2136</v>
      </c>
      <c r="D28" s="1962"/>
    </row>
    <row r="29" spans="1:4" x14ac:dyDescent="0.2">
      <c r="A29" s="1069"/>
      <c r="B29" s="329" t="s">
        <v>2137</v>
      </c>
      <c r="D29" s="1962"/>
    </row>
    <row r="30" spans="1:4" x14ac:dyDescent="0.2">
      <c r="A30" s="1069"/>
      <c r="D30" s="1962"/>
    </row>
    <row r="31" spans="1:4" x14ac:dyDescent="0.2">
      <c r="A31" s="1069"/>
      <c r="D31" s="1962"/>
    </row>
    <row r="32" spans="1:4" x14ac:dyDescent="0.2">
      <c r="A32" s="1069"/>
      <c r="D32" s="1962"/>
    </row>
    <row r="33" spans="1:1" x14ac:dyDescent="0.2">
      <c r="A33" s="1069" t="s">
        <v>1231</v>
      </c>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c r="B56" s="258" t="str">
        <f>COVER!A17</f>
        <v>Payson CUSD 1</v>
      </c>
    </row>
    <row r="57" spans="1:2" x14ac:dyDescent="0.2">
      <c r="B57" s="1070">
        <f>COVER!A13</f>
        <v>1001001026</v>
      </c>
    </row>
  </sheetData>
  <phoneticPr fontId="15" type="noConversion"/>
  <pageMargins left="0.2" right="0.2" top="1.17" bottom="0.75" header="0.19" footer="0.25"/>
  <pageSetup scale="80" firstPageNumber="32" orientation="portrait" useFirstPageNumber="1" r:id="rId1"/>
  <headerFooter alignWithMargins="0">
    <oddHeader>&amp;L&amp;8Page 33&amp;C &amp;R&amp;8Page 33</oddHeader>
    <oddFooter>&amp;C&amp;"Franklin Gothic Book,Regular"&amp;8The Notes to Financial Statements are an integral part of this statement.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M11" sqref="M1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3"/>
      <c r="C6" s="1663"/>
      <c r="D6" s="1663"/>
      <c r="E6" s="1664"/>
      <c r="F6" s="1016"/>
      <c r="G6" s="1010"/>
      <c r="H6" s="1017" t="s">
        <v>1086</v>
      </c>
      <c r="I6" s="2344" t="str">
        <f>COVER!A17</f>
        <v>Payson CUSD 1</v>
      </c>
      <c r="J6" s="2345"/>
      <c r="Q6" s="1685"/>
    </row>
    <row r="7" spans="1:17" x14ac:dyDescent="0.2">
      <c r="A7" s="2346" t="s">
        <v>924</v>
      </c>
      <c r="B7" s="2347"/>
      <c r="C7" s="2347"/>
      <c r="D7" s="2347"/>
      <c r="E7" s="2348"/>
      <c r="F7" s="1018"/>
      <c r="G7" s="1010"/>
      <c r="H7" s="1017" t="s">
        <v>390</v>
      </c>
      <c r="I7" s="2349">
        <f>COVER!A13</f>
        <v>1001001026</v>
      </c>
      <c r="J7" s="2349"/>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0" t="s">
        <v>502</v>
      </c>
      <c r="B11" s="2351"/>
      <c r="C11" s="235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126486</v>
      </c>
      <c r="F12" s="1040"/>
      <c r="G12" s="1833">
        <f t="shared" ref="G12:G18" si="0">SUM(E12:F12)</f>
        <v>126486</v>
      </c>
      <c r="H12" s="1041">
        <v>107399</v>
      </c>
      <c r="I12" s="1040"/>
      <c r="J12" s="1833">
        <f t="shared" ref="J12:J18" si="1">SUM(H12:I12)</f>
        <v>107399</v>
      </c>
    </row>
    <row r="13" spans="1:17" ht="15" customHeight="1" x14ac:dyDescent="0.2">
      <c r="A13" s="1036">
        <v>2</v>
      </c>
      <c r="B13" s="1037" t="s">
        <v>44</v>
      </c>
      <c r="C13" s="1038"/>
      <c r="D13" s="1039">
        <v>2330</v>
      </c>
      <c r="E13" s="1833">
        <f>'Expenditures 15-22'!K51</f>
        <v>3537</v>
      </c>
      <c r="F13" s="1040"/>
      <c r="G13" s="1833">
        <f t="shared" si="0"/>
        <v>3537</v>
      </c>
      <c r="H13" s="1041">
        <v>5912</v>
      </c>
      <c r="I13" s="1040"/>
      <c r="J13" s="1833">
        <f t="shared" si="1"/>
        <v>5912</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53" t="s">
        <v>7</v>
      </c>
      <c r="C18" s="2354"/>
      <c r="D18" s="2355"/>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130023</v>
      </c>
      <c r="F19" s="1835">
        <f t="shared" si="2"/>
        <v>0</v>
      </c>
      <c r="G19" s="1835">
        <f t="shared" si="2"/>
        <v>130023</v>
      </c>
      <c r="H19" s="1835">
        <f t="shared" si="2"/>
        <v>113311</v>
      </c>
      <c r="I19" s="1835">
        <f t="shared" si="2"/>
        <v>0</v>
      </c>
      <c r="J19" s="1835">
        <f t="shared" si="2"/>
        <v>113311</v>
      </c>
    </row>
    <row r="20" spans="1:10" ht="13.5" thickTop="1" x14ac:dyDescent="0.2">
      <c r="A20" s="1036">
        <v>9</v>
      </c>
      <c r="B20" s="2356" t="s">
        <v>1703</v>
      </c>
      <c r="C20" s="2356"/>
      <c r="D20" s="2357"/>
      <c r="E20" s="1047"/>
      <c r="F20" s="1047"/>
      <c r="G20" s="1047"/>
      <c r="H20" s="1047"/>
      <c r="I20" s="1047"/>
      <c r="J20" s="1836">
        <f>IF(AND(G19&gt;0,J19&gt;0),(((J19-G19)/G19)),"Enter Budget Data")</f>
        <v>-0.12853110603508611</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2"/>
      <c r="D26" s="2362"/>
      <c r="E26" s="1051"/>
      <c r="F26" s="2361"/>
      <c r="G26" s="2361"/>
    </row>
    <row r="27" spans="1:10" x14ac:dyDescent="0.2">
      <c r="B27" s="1048"/>
      <c r="C27" s="1052" t="s">
        <v>1093</v>
      </c>
      <c r="D27" s="1053"/>
      <c r="E27" s="1054"/>
      <c r="F27" s="2358" t="s">
        <v>1589</v>
      </c>
      <c r="G27" s="2358"/>
    </row>
    <row r="28" spans="1:10" ht="28.5" customHeight="1" x14ac:dyDescent="0.2">
      <c r="B28" s="1048"/>
      <c r="C28" s="2360"/>
      <c r="D28" s="2360"/>
      <c r="E28" s="1055"/>
      <c r="F28" s="2360"/>
      <c r="G28" s="2360"/>
    </row>
    <row r="29" spans="1:10" x14ac:dyDescent="0.2">
      <c r="B29" s="1048"/>
      <c r="C29" s="1056" t="s">
        <v>1642</v>
      </c>
      <c r="E29" s="1057"/>
      <c r="F29" s="2359" t="s">
        <v>1590</v>
      </c>
      <c r="G29" s="235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1" t="s">
        <v>134</v>
      </c>
      <c r="D33" s="2342"/>
      <c r="E33" s="2342"/>
      <c r="F33" s="2342"/>
      <c r="G33" s="2342"/>
      <c r="H33" s="2342"/>
      <c r="I33" s="2342"/>
    </row>
    <row r="34" spans="1:10" ht="10.35" customHeight="1" x14ac:dyDescent="0.2">
      <c r="C34" s="2342"/>
      <c r="D34" s="2342"/>
      <c r="E34" s="2342"/>
      <c r="F34" s="2342"/>
      <c r="G34" s="2342"/>
      <c r="H34" s="2342"/>
      <c r="I34" s="2342"/>
    </row>
    <row r="35" spans="1:10" ht="7.5" customHeight="1" x14ac:dyDescent="0.2">
      <c r="C35" s="1063"/>
    </row>
    <row r="36" spans="1:10" ht="13.5" customHeight="1" x14ac:dyDescent="0.2">
      <c r="B36" s="1062"/>
      <c r="C36" s="2343" t="s">
        <v>1944</v>
      </c>
      <c r="D36" s="2342"/>
      <c r="E36" s="2342"/>
      <c r="F36" s="2342"/>
      <c r="G36" s="2342"/>
      <c r="H36" s="2342"/>
      <c r="I36" s="2342"/>
      <c r="J36" s="1064"/>
    </row>
    <row r="37" spans="1:10" ht="22.5" customHeight="1" x14ac:dyDescent="0.2">
      <c r="C37" s="2342"/>
      <c r="D37" s="2342"/>
      <c r="E37" s="2342"/>
      <c r="F37" s="2342"/>
      <c r="G37" s="2342"/>
      <c r="H37" s="2342"/>
      <c r="I37" s="2342"/>
      <c r="J37" s="1064"/>
    </row>
    <row r="38" spans="1:10" ht="7.5" customHeight="1" x14ac:dyDescent="0.2">
      <c r="C38" s="1063"/>
      <c r="D38" s="1065"/>
      <c r="E38" s="1066"/>
      <c r="F38" s="1067"/>
      <c r="G38" s="1066"/>
    </row>
    <row r="39" spans="1:10" ht="13.5" customHeight="1" x14ac:dyDescent="0.2">
      <c r="B39" s="1062"/>
      <c r="C39" s="2339" t="s">
        <v>937</v>
      </c>
      <c r="D39" s="2340"/>
      <c r="E39" s="2340"/>
      <c r="F39" s="2340"/>
      <c r="G39" s="2340"/>
      <c r="H39" s="2340"/>
      <c r="I39" s="234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&amp;C&amp;"Franklin Gothic Book,Regular"&amp;8The Notes to Financial Statements are an integral part of this statement.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0" t="s">
        <v>1125</v>
      </c>
      <c r="B35" s="2080"/>
      <c r="C35" s="2080"/>
      <c r="D35" s="2080"/>
      <c r="E35" s="208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7" t="s">
        <v>715</v>
      </c>
      <c r="B40" s="2077"/>
      <c r="C40" s="2077"/>
      <c r="D40" s="2077"/>
      <c r="E40" s="2077"/>
    </row>
    <row r="41" spans="1:5" x14ac:dyDescent="0.2">
      <c r="A41" s="2078" t="s">
        <v>1706</v>
      </c>
      <c r="B41" s="2078"/>
      <c r="C41" s="2078"/>
      <c r="D41" s="2078"/>
      <c r="E41" s="2078"/>
    </row>
    <row r="42" spans="1:5" ht="12.75" customHeight="1" x14ac:dyDescent="0.2">
      <c r="A42" s="2079" t="s">
        <v>1080</v>
      </c>
      <c r="B42" s="2079"/>
      <c r="C42" s="2079"/>
      <c r="D42" s="2079"/>
      <c r="E42" s="207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6" t="s">
        <v>1879</v>
      </c>
    </row>
    <row r="60" spans="1:3" x14ac:dyDescent="0.2">
      <c r="A60" s="196"/>
      <c r="B60" s="150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8" sqref="C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63" t="s">
        <v>1784</v>
      </c>
      <c r="B18" s="236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19050</xdr:colOff>
                <xdr:row>1</xdr:row>
                <xdr:rowOff>9525</xdr:rowOff>
              </from>
              <to>
                <xdr:col>1</xdr:col>
                <xdr:colOff>933450</xdr:colOff>
                <xdr:row>4</xdr:row>
                <xdr:rowOff>171450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Document.2015" dvAspect="DVASPECT_ICON" shapeId="35842" r:id="rId6">
          <objectPr defaultSize="0" r:id="rId7">
            <anchor moveWithCells="1">
              <from>
                <xdr:col>1</xdr:col>
                <xdr:colOff>1152525</xdr:colOff>
                <xdr:row>1</xdr:row>
                <xdr:rowOff>38100</xdr:rowOff>
              </from>
              <to>
                <xdr:col>1</xdr:col>
                <xdr:colOff>2066925</xdr:colOff>
                <xdr:row>5</xdr:row>
                <xdr:rowOff>19050</xdr:rowOff>
              </to>
            </anchor>
          </objectPr>
        </oleObject>
      </mc:Choice>
      <mc:Fallback>
        <oleObject progId="Acrobat.Document.2015" dvAspect="DVASPECT_ICON" shapeId="35842" r:id="rId6"/>
      </mc:Fallback>
    </mc:AlternateContent>
    <mc:AlternateContent xmlns:mc="http://schemas.openxmlformats.org/markup-compatibility/2006">
      <mc:Choice Requires="x14">
        <oleObject progId="Acrobat.Document.2015" dvAspect="DVASPECT_ICON" shapeId="35843" r:id="rId8">
          <objectPr defaultSize="0" r:id="rId9">
            <anchor moveWithCells="1">
              <from>
                <xdr:col>1</xdr:col>
                <xdr:colOff>2343150</xdr:colOff>
                <xdr:row>1</xdr:row>
                <xdr:rowOff>57150</xdr:rowOff>
              </from>
              <to>
                <xdr:col>1</xdr:col>
                <xdr:colOff>3257550</xdr:colOff>
                <xdr:row>5</xdr:row>
                <xdr:rowOff>38100</xdr:rowOff>
              </to>
            </anchor>
          </objectPr>
        </oleObject>
      </mc:Choice>
      <mc:Fallback>
        <oleObject progId="Acrobat.Document.2015" dvAspect="DVASPECT_ICON" shapeId="35843" r:id="rId8"/>
      </mc:Fallback>
    </mc:AlternateContent>
    <mc:AlternateContent xmlns:mc="http://schemas.openxmlformats.org/markup-compatibility/2006">
      <mc:Choice Requires="x14">
        <oleObject progId="Acrobat.Document.2015" dvAspect="DVASPECT_ICON" shapeId="35844" r:id="rId10">
          <objectPr defaultSize="0" r:id="rId11">
            <anchor moveWithCells="1">
              <from>
                <xdr:col>1</xdr:col>
                <xdr:colOff>3543300</xdr:colOff>
                <xdr:row>1</xdr:row>
                <xdr:rowOff>66675</xdr:rowOff>
              </from>
              <to>
                <xdr:col>2</xdr:col>
                <xdr:colOff>361950</xdr:colOff>
                <xdr:row>5</xdr:row>
                <xdr:rowOff>57150</xdr:rowOff>
              </to>
            </anchor>
          </objectPr>
        </oleObject>
      </mc:Choice>
      <mc:Fallback>
        <oleObject progId="Acrobat.Document.2015"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4" t="s">
        <v>1790</v>
      </c>
      <c r="B1" s="2365"/>
      <c r="C1" s="2365"/>
      <c r="D1" s="2365"/>
      <c r="E1" s="2365"/>
      <c r="F1" s="2366"/>
    </row>
    <row r="2" spans="1:8" ht="45" customHeight="1" x14ac:dyDescent="0.2">
      <c r="A2" s="2374" t="s">
        <v>1791</v>
      </c>
      <c r="B2" s="2375"/>
      <c r="C2" s="2375"/>
      <c r="D2" s="2375"/>
      <c r="E2" s="2375"/>
      <c r="F2" s="2376"/>
      <c r="G2" s="1074"/>
      <c r="H2" s="1074"/>
    </row>
    <row r="3" spans="1:8" ht="57" customHeight="1" x14ac:dyDescent="0.2">
      <c r="A3" s="2377" t="s">
        <v>1786</v>
      </c>
      <c r="B3" s="2378"/>
      <c r="C3" s="2378"/>
      <c r="D3" s="2378"/>
      <c r="E3" s="2378"/>
      <c r="F3" s="2379"/>
      <c r="G3" s="1074"/>
      <c r="H3" s="1074"/>
    </row>
    <row r="4" spans="1:8" ht="14.25" customHeight="1" x14ac:dyDescent="0.2">
      <c r="A4" s="2383" t="s">
        <v>2056</v>
      </c>
      <c r="B4" s="2384"/>
      <c r="C4" s="2384"/>
      <c r="D4" s="2384"/>
      <c r="E4" s="2384"/>
      <c r="F4" s="2385"/>
      <c r="G4" s="1074"/>
      <c r="H4" s="1074"/>
    </row>
    <row r="5" spans="1:8" ht="14.25" customHeight="1" x14ac:dyDescent="0.2">
      <c r="A5" s="2386" t="s">
        <v>2057</v>
      </c>
      <c r="B5" s="2387"/>
      <c r="C5" s="2387"/>
      <c r="D5" s="2387"/>
      <c r="E5" s="2387"/>
      <c r="F5" s="2388"/>
      <c r="G5" s="1074"/>
      <c r="H5" s="1074"/>
    </row>
    <row r="6" spans="1:8" s="1075" customFormat="1" ht="41.25" customHeight="1" x14ac:dyDescent="0.2">
      <c r="A6" s="2380" t="s">
        <v>1792</v>
      </c>
      <c r="B6" s="2381"/>
      <c r="C6" s="2381"/>
      <c r="D6" s="2381"/>
      <c r="E6" s="2381"/>
      <c r="F6" s="2382"/>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4161187</v>
      </c>
      <c r="C8" s="1837">
        <f>'Acct Summary 7-8'!D8</f>
        <v>257281</v>
      </c>
      <c r="D8" s="1837">
        <f>'Acct Summary 7-8'!F8</f>
        <v>270628</v>
      </c>
      <c r="E8" s="1837">
        <f>'Acct Summary 7-8'!I8</f>
        <v>25698</v>
      </c>
      <c r="F8" s="1837">
        <f>SUM(B8:E8)</f>
        <v>4714794</v>
      </c>
    </row>
    <row r="9" spans="1:8" s="1079" customFormat="1" ht="14.25" customHeight="1" thickBot="1" x14ac:dyDescent="0.25">
      <c r="A9" s="1078" t="s">
        <v>1436</v>
      </c>
      <c r="B9" s="1838">
        <f>'Acct Summary 7-8'!C17</f>
        <v>3352302</v>
      </c>
      <c r="C9" s="1838">
        <f>'Acct Summary 7-8'!D17</f>
        <v>201268</v>
      </c>
      <c r="D9" s="1838">
        <f>'Acct Summary 7-8'!F17</f>
        <v>330704</v>
      </c>
      <c r="E9" s="1837"/>
      <c r="F9" s="1837">
        <f>SUM(B9:E9)</f>
        <v>3884274</v>
      </c>
    </row>
    <row r="10" spans="1:8" s="1079" customFormat="1" ht="14.25" thickTop="1" thickBot="1" x14ac:dyDescent="0.25">
      <c r="A10" s="1080" t="s">
        <v>1437</v>
      </c>
      <c r="B10" s="1839">
        <f>(B8-B9)</f>
        <v>808885</v>
      </c>
      <c r="C10" s="1839">
        <f>(C8-C9)</f>
        <v>56013</v>
      </c>
      <c r="D10" s="1839">
        <f>(D8-D9)</f>
        <v>-60076</v>
      </c>
      <c r="E10" s="1838">
        <f>(E8-E9)</f>
        <v>25698</v>
      </c>
      <c r="F10" s="1840">
        <f>SUM(F8-F9)</f>
        <v>830520</v>
      </c>
    </row>
    <row r="11" spans="1:8" s="1079" customFormat="1" ht="14.25" thickTop="1" thickBot="1" x14ac:dyDescent="0.25">
      <c r="A11" s="1081" t="s">
        <v>1785</v>
      </c>
      <c r="B11" s="1841">
        <f>'Acct Summary 7-8'!C81</f>
        <v>2124071</v>
      </c>
      <c r="C11" s="1841">
        <f>'Acct Summary 7-8'!D81</f>
        <v>229707</v>
      </c>
      <c r="D11" s="1841">
        <f>'Acct Summary 7-8'!F81</f>
        <v>225067</v>
      </c>
      <c r="E11" s="1841">
        <f>'Acct Summary 7-8'!I81</f>
        <v>849526</v>
      </c>
      <c r="F11" s="1842">
        <f>SUM(B11:E11)</f>
        <v>3428371</v>
      </c>
    </row>
    <row r="12" spans="1:8" ht="16.5" customHeight="1" thickTop="1" x14ac:dyDescent="0.2">
      <c r="A12" s="1082"/>
      <c r="B12" s="1083"/>
      <c r="C12" s="2368" t="str">
        <f>IF(AND(F10&lt;0,F11&gt;=0,ABS(F10*3)&gt;ABS(F11)),A16,IF(AND(F10&lt;0,F11&gt;0,ABS(F10*3)&lt;=ABS(F11)),A17,IF(AND(F10&lt;0,F11&lt;0),A16,IF(F11=0,A19,A18))))</f>
        <v>Balanced - no deficit reduction plan is required.</v>
      </c>
      <c r="D12" s="2369"/>
      <c r="E12" s="2369"/>
      <c r="F12" s="2370"/>
    </row>
    <row r="13" spans="1:8" ht="19.5" customHeight="1" x14ac:dyDescent="0.2">
      <c r="A13" s="1084"/>
      <c r="B13" s="1085"/>
      <c r="C13" s="2368"/>
      <c r="D13" s="2369"/>
      <c r="E13" s="2369"/>
      <c r="F13" s="2370"/>
      <c r="H13" s="1074"/>
    </row>
    <row r="14" spans="1:8" ht="19.5" customHeight="1" x14ac:dyDescent="0.2">
      <c r="A14" s="1084"/>
      <c r="B14" s="1085"/>
      <c r="C14" s="2368"/>
      <c r="D14" s="2369"/>
      <c r="E14" s="2369"/>
      <c r="F14" s="2370"/>
      <c r="H14" s="1074"/>
    </row>
    <row r="15" spans="1:8" ht="17.25" customHeight="1" x14ac:dyDescent="0.2">
      <c r="A15" s="1084"/>
      <c r="B15" s="1085"/>
      <c r="C15" s="2371"/>
      <c r="D15" s="2372"/>
      <c r="E15" s="2372"/>
      <c r="F15" s="2373"/>
      <c r="H15" s="1074"/>
    </row>
    <row r="16" spans="1:8" s="310" customFormat="1" ht="51.75" hidden="1" customHeight="1" x14ac:dyDescent="0.2">
      <c r="A16" s="2367" t="s">
        <v>1787</v>
      </c>
      <c r="B16" s="2367"/>
      <c r="C16" s="2367"/>
      <c r="D16" s="2367"/>
      <c r="E16" s="2367"/>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25"/>
  <pageSetup firstPageNumber="19" fitToHeight="0" orientation="landscape" useFirstPageNumber="1" r:id="rId1"/>
  <headerFooter alignWithMargins="0">
    <oddHeader xml:space="preserve">&amp;L&amp;8Page 36&amp;R&amp;8Page 36
</oddHeader>
    <oddFooter>&amp;C&amp;"Franklin Gothic Book,Regular"&amp;8The Notes to Financial Statements are an integral part of this statement.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68" sqref="D6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89" t="s">
        <v>686</v>
      </c>
      <c r="B3" s="2390"/>
      <c r="C3" s="2390"/>
      <c r="D3" s="2391"/>
    </row>
    <row r="4" spans="1:4" x14ac:dyDescent="0.2">
      <c r="A4" s="1152" t="s">
        <v>1793</v>
      </c>
      <c r="B4" s="1153"/>
      <c r="C4" s="1154"/>
      <c r="D4" s="1155"/>
    </row>
    <row r="5" spans="1:4" ht="21" customHeight="1" x14ac:dyDescent="0.2">
      <c r="A5" s="1148"/>
      <c r="B5" s="1149">
        <v>1</v>
      </c>
      <c r="C5" s="1150" t="s">
        <v>1946</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00" t="s">
        <v>1584</v>
      </c>
      <c r="D7" s="2401"/>
    </row>
    <row r="8" spans="1:4" s="669" customFormat="1" ht="12.75" x14ac:dyDescent="0.2">
      <c r="A8" s="1138"/>
      <c r="B8" s="1093"/>
      <c r="C8" s="1096" t="s">
        <v>1583</v>
      </c>
      <c r="D8" s="1097"/>
    </row>
    <row r="9" spans="1:4" s="669" customFormat="1" ht="14.25" customHeight="1" x14ac:dyDescent="0.2">
      <c r="A9" s="1138"/>
      <c r="B9" s="1093">
        <f>B7+1</f>
        <v>4</v>
      </c>
      <c r="C9" s="1094" t="s">
        <v>2049</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92" t="s">
        <v>1065</v>
      </c>
      <c r="B15" s="2393"/>
      <c r="C15" s="2393"/>
      <c r="D15" s="2394"/>
    </row>
    <row r="16" spans="1:4" s="669" customFormat="1" ht="24" customHeight="1" x14ac:dyDescent="0.2">
      <c r="A16" s="2395" t="s">
        <v>684</v>
      </c>
      <c r="B16" s="2396"/>
      <c r="C16" s="2396"/>
      <c r="D16" s="2397"/>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04" t="s">
        <v>332</v>
      </c>
      <c r="D21" s="2405"/>
    </row>
    <row r="22" spans="1:10" ht="12.75" x14ac:dyDescent="0.2">
      <c r="A22" s="1139"/>
      <c r="B22" s="1140">
        <v>2</v>
      </c>
      <c r="C22" s="2402" t="s">
        <v>1605</v>
      </c>
      <c r="D22" s="2403"/>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06" t="s">
        <v>557</v>
      </c>
      <c r="D43" s="2407"/>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98" t="s">
        <v>817</v>
      </c>
      <c r="D56" s="2399"/>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2050</v>
      </c>
      <c r="D66" s="1125"/>
    </row>
    <row r="67" spans="1:4" x14ac:dyDescent="0.2">
      <c r="A67" s="1119"/>
      <c r="B67" s="1140"/>
      <c r="C67" s="1147" t="s">
        <v>1079</v>
      </c>
      <c r="D67" s="1125"/>
    </row>
    <row r="68" spans="1:4" x14ac:dyDescent="0.2">
      <c r="A68" s="1100"/>
      <c r="B68" s="1110"/>
      <c r="C68" s="1102" t="s">
        <v>2051</v>
      </c>
      <c r="D68" s="1124" t="str">
        <f>IF('Short-Term Long-Term Debt 24'!F49=SUM(,'Acct Summary 7-8'!C33:K33),"OK","ERROR!")</f>
        <v>ERROR!</v>
      </c>
    </row>
    <row r="69" spans="1:4" x14ac:dyDescent="0.2">
      <c r="A69" s="1100"/>
      <c r="B69" s="1110"/>
      <c r="C69" s="1102" t="s">
        <v>2052</v>
      </c>
      <c r="D69" s="1124" t="str">
        <f>IF('Expenditures 15-22'!H170&lt;&gt;'Short-Term Long-Term Debt 24'!H49,"ERROR!","OK")</f>
        <v>ERROR!</v>
      </c>
    </row>
    <row r="70" spans="1:4" x14ac:dyDescent="0.2">
      <c r="A70" s="1098"/>
      <c r="B70" s="1120">
        <f>B66+1</f>
        <v>9</v>
      </c>
      <c r="C70" s="2398" t="s">
        <v>1797</v>
      </c>
      <c r="D70" s="2399"/>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2053</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2054</v>
      </c>
      <c r="D78" s="1124" t="str">
        <f>IF(ISNUMBER('Acct Summary 7-8'!C9),"OK","ENTRY IS REQUIRED!")</f>
        <v>OK</v>
      </c>
    </row>
    <row r="79" spans="1:4" x14ac:dyDescent="0.2">
      <c r="A79" s="1119"/>
      <c r="B79" s="1120">
        <f>B74+1+1</f>
        <v>12</v>
      </c>
      <c r="C79" s="1130" t="s">
        <v>2019</v>
      </c>
      <c r="D79" s="1131" t="str">
        <f>IF(OR(COVER!$B$6="X",'PCTC-OEPP 27-28'!F78&gt;0),"OK","PLEASE ENTER 9 MO ADA.")</f>
        <v>OK</v>
      </c>
    </row>
    <row r="80" spans="1:4" x14ac:dyDescent="0.2">
      <c r="A80" s="1098"/>
      <c r="B80" s="1120">
        <v>13</v>
      </c>
      <c r="C80" s="1130" t="s">
        <v>2055</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1001001026</v>
      </c>
    </row>
    <row r="3" spans="1:2" x14ac:dyDescent="0.2">
      <c r="A3" t="s">
        <v>1013</v>
      </c>
      <c r="B3" s="138" t="str">
        <f>COVER!A15</f>
        <v>ADAMS</v>
      </c>
    </row>
    <row r="4" spans="1:2" x14ac:dyDescent="0.2">
      <c r="A4" t="s">
        <v>1064</v>
      </c>
      <c r="B4" s="138" t="str">
        <f>COVER!A17</f>
        <v>Payson CUSD 1</v>
      </c>
    </row>
    <row r="5" spans="1:2" x14ac:dyDescent="0.2">
      <c r="A5" t="s">
        <v>728</v>
      </c>
      <c r="B5" s="138" t="str">
        <f>COVER!A38</f>
        <v>DR DONNA VEILE</v>
      </c>
    </row>
    <row r="6" spans="1:2" x14ac:dyDescent="0.2">
      <c r="A6" t="s">
        <v>733</v>
      </c>
      <c r="B6" s="138">
        <f>COVER!P35</f>
        <v>0</v>
      </c>
    </row>
    <row r="7" spans="1:2" x14ac:dyDescent="0.2">
      <c r="A7" t="s">
        <v>729</v>
      </c>
      <c r="B7" s="138">
        <f>COVER!I38</f>
        <v>0</v>
      </c>
    </row>
    <row r="8" spans="1:2" x14ac:dyDescent="0.2">
      <c r="A8" t="s">
        <v>730</v>
      </c>
      <c r="B8" s="138" t="str">
        <f>COVER!T38</f>
        <v>JILL REIS</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066-003689</v>
      </c>
    </row>
    <row r="16" spans="1:2" x14ac:dyDescent="0.2">
      <c r="A16" t="s">
        <v>442</v>
      </c>
      <c r="B16" s="138" t="str">
        <f>COVER!T13</f>
        <v>GRAY HUNTER STENN LLP</v>
      </c>
    </row>
    <row r="17" spans="1:2" x14ac:dyDescent="0.2">
      <c r="A17" t="s">
        <v>939</v>
      </c>
      <c r="B17" s="138" t="str">
        <f>COVER!T15</f>
        <v>LOWELL A. YATES, C.P.A.</v>
      </c>
    </row>
    <row r="18" spans="1:2" x14ac:dyDescent="0.2">
      <c r="A18" t="s">
        <v>1212</v>
      </c>
      <c r="B18" s="138" t="str">
        <f>COVER!T17</f>
        <v>500 MAINE STREET, PO BOX 32</v>
      </c>
    </row>
    <row r="19" spans="1:2" x14ac:dyDescent="0.2">
      <c r="A19" t="s">
        <v>941</v>
      </c>
      <c r="B19" s="138" t="str">
        <f>COVER!T25</f>
        <v>lay@gray-hunter-stenn.com</v>
      </c>
    </row>
    <row r="20" spans="1:2" x14ac:dyDescent="0.2">
      <c r="A20" t="s">
        <v>942</v>
      </c>
      <c r="B20" s="138" t="str">
        <f>COVER!T19</f>
        <v>QUINCY</v>
      </c>
    </row>
    <row r="21" spans="1:2" x14ac:dyDescent="0.2">
      <c r="A21" t="s">
        <v>500</v>
      </c>
      <c r="B21" s="138" t="str">
        <f>COVER!X19</f>
        <v>IL</v>
      </c>
    </row>
    <row r="22" spans="1:2" x14ac:dyDescent="0.2">
      <c r="A22" t="s">
        <v>943</v>
      </c>
      <c r="B22" s="138" t="str">
        <f>COVER!Z19</f>
        <v>62306-0032</v>
      </c>
    </row>
    <row r="23" spans="1:2" x14ac:dyDescent="0.2">
      <c r="A23" t="s">
        <v>1214</v>
      </c>
      <c r="B23" s="138" t="str">
        <f>COVER!T21</f>
        <v>217-222-0304</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Yes</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1000000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2124151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80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80</v>
      </c>
      <c r="C91" s="2" t="s">
        <v>594</v>
      </c>
      <c r="D91" s="2" t="str">
        <f t="shared" si="0"/>
        <v>Error?</v>
      </c>
    </row>
    <row r="92" spans="1:4" x14ac:dyDescent="0.2">
      <c r="A92" s="5">
        <v>31</v>
      </c>
      <c r="B92" s="138">
        <f>'Assets-Liab 5-6'!C39</f>
        <v>2068791</v>
      </c>
      <c r="D92" s="2" t="str">
        <f t="shared" si="0"/>
        <v>Error?</v>
      </c>
    </row>
    <row r="93" spans="1:4" x14ac:dyDescent="0.2">
      <c r="A93" s="5">
        <v>32</v>
      </c>
      <c r="B93" s="138">
        <f>'Assets-Liab 5-6'!C41</f>
        <v>2124151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229707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229707</v>
      </c>
      <c r="D123" s="2" t="str">
        <f t="shared" si="0"/>
        <v>Error?</v>
      </c>
    </row>
    <row r="124" spans="1:4" x14ac:dyDescent="0.2">
      <c r="A124" s="5">
        <v>63</v>
      </c>
      <c r="B124" s="138">
        <f>'Assets-Liab 5-6'!D41</f>
        <v>229707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168037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168037</v>
      </c>
      <c r="D140" s="2" t="str">
        <f t="shared" si="1"/>
        <v>Error?</v>
      </c>
    </row>
    <row r="141" spans="1:4" x14ac:dyDescent="0.2">
      <c r="A141" s="5">
        <v>80</v>
      </c>
      <c r="B141" s="138">
        <f>'Assets-Liab 5-6'!E41</f>
        <v>168037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225067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225067</v>
      </c>
      <c r="D170" s="2" t="str">
        <f t="shared" si="1"/>
        <v>Error?</v>
      </c>
    </row>
    <row r="171" spans="1:4" x14ac:dyDescent="0.2">
      <c r="A171" s="5">
        <v>110</v>
      </c>
      <c r="B171" s="138">
        <f>'Assets-Liab 5-6'!F41</f>
        <v>225067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240287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168391</v>
      </c>
      <c r="D189" s="2" t="str">
        <f t="shared" si="1"/>
        <v>Error?</v>
      </c>
    </row>
    <row r="190" spans="1:4" x14ac:dyDescent="0.2">
      <c r="A190" s="5">
        <v>129</v>
      </c>
      <c r="B190" s="138">
        <f>'Assets-Liab 5-6'!G41</f>
        <v>240287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89214</v>
      </c>
      <c r="D273" s="2" t="str">
        <f t="shared" si="3"/>
        <v>Error?</v>
      </c>
    </row>
    <row r="274" spans="1:4" x14ac:dyDescent="0.2">
      <c r="A274" s="5">
        <v>213</v>
      </c>
      <c r="B274" s="138">
        <f>'Assets-Liab 5-6'!M17</f>
        <v>6836737</v>
      </c>
      <c r="D274" s="2" t="str">
        <f t="shared" si="3"/>
        <v>Error?</v>
      </c>
    </row>
    <row r="275" spans="1:4" x14ac:dyDescent="0.2">
      <c r="A275" s="5">
        <v>214</v>
      </c>
      <c r="B275" s="138">
        <f>'Assets-Liab 5-6'!M18</f>
        <v>1098573</v>
      </c>
      <c r="D275" s="2" t="str">
        <f t="shared" si="3"/>
        <v>Error?</v>
      </c>
    </row>
    <row r="276" spans="1:4" x14ac:dyDescent="0.2">
      <c r="A276" s="5">
        <v>215</v>
      </c>
      <c r="B276" s="138">
        <f>'Assets-Liab 5-6'!M19</f>
        <v>523319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8572378</v>
      </c>
      <c r="C279" s="2" t="s">
        <v>594</v>
      </c>
      <c r="D279" s="2" t="str">
        <f t="shared" si="3"/>
        <v>Error?</v>
      </c>
    </row>
    <row r="280" spans="1:4" x14ac:dyDescent="0.2">
      <c r="A280" s="5">
        <v>219</v>
      </c>
      <c r="B280" s="138">
        <f>'Assets-Liab 5-6'!M40</f>
        <v>8572378</v>
      </c>
      <c r="D280" s="2" t="str">
        <f t="shared" si="3"/>
        <v>Error?</v>
      </c>
    </row>
    <row r="281" spans="1:4" x14ac:dyDescent="0.2">
      <c r="A281" s="5">
        <v>220</v>
      </c>
      <c r="B281" s="138">
        <f>'Assets-Liab 5-6'!M41</f>
        <v>8572378</v>
      </c>
      <c r="C281" s="2" t="s">
        <v>594</v>
      </c>
      <c r="D281" s="2" t="str">
        <f t="shared" si="3"/>
        <v>Error?</v>
      </c>
    </row>
    <row r="282" spans="1:4" x14ac:dyDescent="0.2">
      <c r="A282" s="5">
        <v>221</v>
      </c>
      <c r="B282" s="138">
        <f>'Assets-Liab 5-6'!N21</f>
        <v>168037</v>
      </c>
      <c r="D282" s="2" t="str">
        <f t="shared" si="3"/>
        <v>Error?</v>
      </c>
    </row>
    <row r="283" spans="1:4" x14ac:dyDescent="0.2">
      <c r="A283" s="5">
        <v>222</v>
      </c>
      <c r="B283" s="138">
        <f>'Assets-Liab 5-6'!N22</f>
        <v>2345328</v>
      </c>
      <c r="D283" s="2" t="str">
        <f t="shared" si="3"/>
        <v>Error?</v>
      </c>
    </row>
    <row r="284" spans="1:4" x14ac:dyDescent="0.2">
      <c r="A284" s="5">
        <v>223</v>
      </c>
      <c r="B284" s="138">
        <f>'Assets-Liab 5-6'!N23</f>
        <v>2513365</v>
      </c>
      <c r="C284" s="2" t="s">
        <v>594</v>
      </c>
      <c r="D284" s="2" t="str">
        <f t="shared" si="3"/>
        <v>Error?</v>
      </c>
    </row>
    <row r="285" spans="1:4" x14ac:dyDescent="0.2">
      <c r="A285" s="5">
        <v>224</v>
      </c>
      <c r="B285" s="138">
        <f>'Assets-Liab 5-6'!N36</f>
        <v>2513365</v>
      </c>
      <c r="D285" s="2" t="str">
        <f t="shared" si="3"/>
        <v>Error?</v>
      </c>
    </row>
    <row r="286" spans="1:4" x14ac:dyDescent="0.2">
      <c r="A286" s="10">
        <v>225</v>
      </c>
      <c r="D286" s="2" t="str">
        <f t="shared" si="3"/>
        <v>OK</v>
      </c>
    </row>
    <row r="287" spans="1:4" x14ac:dyDescent="0.2">
      <c r="A287" s="5">
        <v>226</v>
      </c>
      <c r="B287" s="138">
        <f>'Assets-Liab 5-6'!N37</f>
        <v>2513365</v>
      </c>
      <c r="C287" s="2" t="s">
        <v>594</v>
      </c>
      <c r="D287" s="2" t="str">
        <f t="shared" si="3"/>
        <v>Error?</v>
      </c>
    </row>
    <row r="288" spans="1:4" x14ac:dyDescent="0.2">
      <c r="A288" s="5">
        <v>227</v>
      </c>
      <c r="B288" s="138">
        <f>'Assets-Liab 5-6'!N41</f>
        <v>2513365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1044757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97871</v>
      </c>
      <c r="D717" s="2" t="str">
        <f t="shared" si="10"/>
        <v>Error?</v>
      </c>
    </row>
    <row r="718" spans="1:4" x14ac:dyDescent="0.2">
      <c r="A718" s="5">
        <v>657</v>
      </c>
      <c r="B718" s="138">
        <f>'Expenditures 15-22'!C14</f>
        <v>95283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1721806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28023</v>
      </c>
      <c r="D722" s="2" t="str">
        <f t="shared" si="10"/>
        <v>Error?</v>
      </c>
    </row>
    <row r="723" spans="1:4" x14ac:dyDescent="0.2">
      <c r="A723" s="5">
        <v>662</v>
      </c>
      <c r="B723" s="138">
        <f>'Expenditures 15-22'!C38</f>
        <v>2552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36479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67054</v>
      </c>
      <c r="C727" s="2" t="s">
        <v>594</v>
      </c>
      <c r="D727" s="2" t="str">
        <f t="shared" si="10"/>
        <v>Error?</v>
      </c>
    </row>
    <row r="728" spans="1:4" x14ac:dyDescent="0.2">
      <c r="A728" s="5">
        <v>667</v>
      </c>
      <c r="B728" s="138">
        <f>'Expenditures 15-22'!C44</f>
        <v>47651</v>
      </c>
      <c r="D728" s="2" t="str">
        <f t="shared" si="10"/>
        <v>Error?</v>
      </c>
    </row>
    <row r="729" spans="1:4" x14ac:dyDescent="0.2">
      <c r="A729" s="5">
        <v>668</v>
      </c>
      <c r="B729" s="138">
        <f>'Expenditures 15-22'!C45</f>
        <v>7113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54764</v>
      </c>
      <c r="C731" s="2" t="s">
        <v>594</v>
      </c>
      <c r="D731" s="2" t="str">
        <f t="shared" si="10"/>
        <v>Error?</v>
      </c>
    </row>
    <row r="732" spans="1:4" x14ac:dyDescent="0.2">
      <c r="A732" s="5">
        <v>671</v>
      </c>
      <c r="B732" s="138">
        <f>'Expenditures 15-22'!C49</f>
        <v>8913</v>
      </c>
      <c r="D732" s="2" t="str">
        <f t="shared" si="10"/>
        <v>Error?</v>
      </c>
    </row>
    <row r="733" spans="1:4" x14ac:dyDescent="0.2">
      <c r="A733" s="5">
        <v>672</v>
      </c>
      <c r="B733" s="138">
        <f>'Expenditures 15-22'!C50</f>
        <v>92830</v>
      </c>
      <c r="D733" s="2" t="str">
        <f t="shared" si="10"/>
        <v>Error?</v>
      </c>
    </row>
    <row r="734" spans="1:4" x14ac:dyDescent="0.2">
      <c r="A734" s="5">
        <v>673</v>
      </c>
      <c r="B734" s="138">
        <f>'Expenditures 15-22'!C53</f>
        <v>104280</v>
      </c>
      <c r="C734" s="2" t="s">
        <v>594</v>
      </c>
      <c r="D734" s="2" t="str">
        <f t="shared" si="10"/>
        <v>Error?</v>
      </c>
    </row>
    <row r="735" spans="1:4" x14ac:dyDescent="0.2">
      <c r="A735" s="5">
        <v>674</v>
      </c>
      <c r="B735" s="138">
        <f>'Expenditures 15-22'!C55</f>
        <v>149078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149078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34048</v>
      </c>
      <c r="D739" s="2" t="str">
        <f t="shared" si="10"/>
        <v>Error?</v>
      </c>
    </row>
    <row r="740" spans="1:4" x14ac:dyDescent="0.2">
      <c r="A740" s="5">
        <v>679</v>
      </c>
      <c r="B740" s="138">
        <f>'Expenditures 15-22'!C61</f>
        <v>79588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64308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177944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553120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2274926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220830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24079</v>
      </c>
      <c r="D775" s="2" t="str">
        <f t="shared" si="11"/>
        <v>Error?</v>
      </c>
    </row>
    <row r="776" spans="1:4" x14ac:dyDescent="0.2">
      <c r="A776" s="5">
        <v>715</v>
      </c>
      <c r="B776" s="138">
        <f>'Expenditures 15-22'!D14</f>
        <v>6900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338596</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3372</v>
      </c>
      <c r="D780" s="2" t="str">
        <f t="shared" si="11"/>
        <v>Error?</v>
      </c>
    </row>
    <row r="781" spans="1:4" x14ac:dyDescent="0.2">
      <c r="A781" s="5">
        <v>720</v>
      </c>
      <c r="B781" s="138">
        <f>'Expenditures 15-22'!D38</f>
        <v>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5052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8427</v>
      </c>
      <c r="C785" s="2" t="s">
        <v>594</v>
      </c>
      <c r="D785" s="2" t="str">
        <f t="shared" si="11"/>
        <v>Error?</v>
      </c>
    </row>
    <row r="786" spans="1:4" x14ac:dyDescent="0.2">
      <c r="A786" s="5">
        <v>725</v>
      </c>
      <c r="B786" s="138">
        <f>'Expenditures 15-22'!D44</f>
        <v>12606</v>
      </c>
      <c r="D786" s="2" t="str">
        <f t="shared" si="11"/>
        <v>Error?</v>
      </c>
    </row>
    <row r="787" spans="1:4" x14ac:dyDescent="0.2">
      <c r="A787" s="5">
        <v>726</v>
      </c>
      <c r="B787" s="138">
        <f>'Expenditures 15-22'!D45</f>
        <v>18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12624</v>
      </c>
      <c r="C789" s="2" t="s">
        <v>594</v>
      </c>
      <c r="D789" s="2" t="str">
        <f t="shared" si="11"/>
        <v>Error?</v>
      </c>
    </row>
    <row r="790" spans="1:4" x14ac:dyDescent="0.2">
      <c r="A790" s="5">
        <v>729</v>
      </c>
      <c r="B790" s="138">
        <f>'Expenditures 15-22'!D49</f>
        <v>1831</v>
      </c>
      <c r="D790" s="2" t="str">
        <f t="shared" si="11"/>
        <v>Error?</v>
      </c>
    </row>
    <row r="791" spans="1:4" x14ac:dyDescent="0.2">
      <c r="A791" s="5">
        <v>730</v>
      </c>
      <c r="B791" s="138">
        <f>'Expenditures 15-22'!D50</f>
        <v>30935</v>
      </c>
      <c r="D791" s="2" t="str">
        <f t="shared" si="11"/>
        <v>Error?</v>
      </c>
    </row>
    <row r="792" spans="1:4" x14ac:dyDescent="0.2">
      <c r="A792" s="5">
        <v>731</v>
      </c>
      <c r="B792" s="138">
        <f>'Expenditures 15-22'!D53</f>
        <v>32766</v>
      </c>
      <c r="C792" s="2" t="s">
        <v>594</v>
      </c>
      <c r="D792" s="2" t="str">
        <f t="shared" si="11"/>
        <v>Error?</v>
      </c>
    </row>
    <row r="793" spans="1:4" x14ac:dyDescent="0.2">
      <c r="A793" s="5">
        <v>732</v>
      </c>
      <c r="B793" s="138">
        <f>'Expenditures 15-22'!D55</f>
        <v>30252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30252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26</v>
      </c>
      <c r="D797" s="2" t="str">
        <f t="shared" si="11"/>
        <v>Error?</v>
      </c>
    </row>
    <row r="798" spans="1:4" x14ac:dyDescent="0.2">
      <c r="A798" s="5">
        <v>737</v>
      </c>
      <c r="B798" s="138">
        <f>'Expenditures 15-22'!D61</f>
        <v>9997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13297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23320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107389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445985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17768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858</v>
      </c>
      <c r="D833" s="2" t="str">
        <f t="shared" si="12"/>
        <v>Error?</v>
      </c>
    </row>
    <row r="834" spans="1:4" x14ac:dyDescent="0.2">
      <c r="A834" s="5">
        <v>773</v>
      </c>
      <c r="B834" s="138">
        <f>'Expenditures 15-22'!E14</f>
        <v>20940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43041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11833</v>
      </c>
      <c r="D844" s="2" t="str">
        <f t="shared" si="12"/>
        <v>Error?</v>
      </c>
    </row>
    <row r="845" spans="1:4" x14ac:dyDescent="0.2">
      <c r="A845" s="5">
        <v>784</v>
      </c>
      <c r="B845" s="138">
        <f>'Expenditures 15-22'!E45</f>
        <v>60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11893</v>
      </c>
      <c r="C847" s="2" t="s">
        <v>594</v>
      </c>
      <c r="D847" s="2" t="str">
        <f t="shared" si="12"/>
        <v>Error?</v>
      </c>
    </row>
    <row r="848" spans="1:4" x14ac:dyDescent="0.2">
      <c r="A848" s="5">
        <v>787</v>
      </c>
      <c r="B848" s="138">
        <f>'Expenditures 15-22'!E49</f>
        <v>17733</v>
      </c>
      <c r="D848" s="2" t="str">
        <f t="shared" si="12"/>
        <v>Error?</v>
      </c>
    </row>
    <row r="849" spans="1:4" x14ac:dyDescent="0.2">
      <c r="A849" s="5">
        <v>788</v>
      </c>
      <c r="B849" s="138">
        <f>'Expenditures 15-22'!E50</f>
        <v>843</v>
      </c>
      <c r="D849" s="2" t="str">
        <f t="shared" si="12"/>
        <v>Error?</v>
      </c>
    </row>
    <row r="850" spans="1:4" x14ac:dyDescent="0.2">
      <c r="A850" s="5">
        <v>789</v>
      </c>
      <c r="B850" s="138">
        <f>'Expenditures 15-22'!E53</f>
        <v>18576</v>
      </c>
      <c r="C850" s="2" t="s">
        <v>594</v>
      </c>
      <c r="D850" s="2" t="str">
        <f t="shared" si="12"/>
        <v>Error?</v>
      </c>
    </row>
    <row r="851" spans="1:4" x14ac:dyDescent="0.2">
      <c r="A851" s="5">
        <v>790</v>
      </c>
      <c r="B851" s="138">
        <f>'Expenditures 15-22'!E55</f>
        <v>5060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5060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126708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126708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162237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226737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28613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13132</v>
      </c>
      <c r="D891" s="2" t="str">
        <f t="shared" si="12"/>
        <v>Error?</v>
      </c>
    </row>
    <row r="892" spans="1:4" x14ac:dyDescent="0.2">
      <c r="A892" s="5">
        <v>831</v>
      </c>
      <c r="B892" s="138">
        <f>'Expenditures 15-22'!F14</f>
        <v>1588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52610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955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955</v>
      </c>
      <c r="C901" s="2" t="s">
        <v>594</v>
      </c>
      <c r="D901" s="2" t="str">
        <f t="shared" si="13"/>
        <v>Error?</v>
      </c>
    </row>
    <row r="902" spans="1:4" x14ac:dyDescent="0.2">
      <c r="A902" s="5">
        <v>841</v>
      </c>
      <c r="B902" s="138">
        <f>'Expenditures 15-22'!F44</f>
        <v>65266</v>
      </c>
      <c r="D902" s="2" t="str">
        <f t="shared" si="13"/>
        <v>Error?</v>
      </c>
    </row>
    <row r="903" spans="1:4" x14ac:dyDescent="0.2">
      <c r="A903" s="5">
        <v>842</v>
      </c>
      <c r="B903" s="138">
        <f>'Expenditures 15-22'!F45</f>
        <v>751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66017</v>
      </c>
      <c r="C905" s="2" t="s">
        <v>594</v>
      </c>
      <c r="D905" s="2" t="str">
        <f t="shared" si="13"/>
        <v>Error?</v>
      </c>
    </row>
    <row r="906" spans="1:4" x14ac:dyDescent="0.2">
      <c r="A906" s="5">
        <v>845</v>
      </c>
      <c r="B906" s="138">
        <f>'Expenditures 15-22'!F49</f>
        <v>966</v>
      </c>
      <c r="D906" s="2" t="str">
        <f t="shared" si="13"/>
        <v>Error?</v>
      </c>
    </row>
    <row r="907" spans="1:4" x14ac:dyDescent="0.2">
      <c r="A907" s="5">
        <v>846</v>
      </c>
      <c r="B907" s="138">
        <f>'Expenditures 15-22'!F50</f>
        <v>41</v>
      </c>
      <c r="D907" s="2" t="str">
        <f t="shared" si="13"/>
        <v>Error?</v>
      </c>
    </row>
    <row r="908" spans="1:4" x14ac:dyDescent="0.2">
      <c r="A908" s="5">
        <v>847</v>
      </c>
      <c r="B908" s="138">
        <f>'Expenditures 15-22'!F53</f>
        <v>2007</v>
      </c>
      <c r="C908" s="2" t="s">
        <v>594</v>
      </c>
      <c r="D908" s="2" t="str">
        <f t="shared" si="13"/>
        <v>Error?</v>
      </c>
    </row>
    <row r="909" spans="1:4" x14ac:dyDescent="0.2">
      <c r="A909" s="5">
        <v>848</v>
      </c>
      <c r="B909" s="138">
        <f>'Expenditures 15-22'!F55</f>
        <v>398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398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375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50279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50654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120031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172641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27795</v>
      </c>
      <c r="D949" s="2" t="str">
        <f t="shared" si="13"/>
        <v>Error?</v>
      </c>
    </row>
    <row r="950" spans="1:4" x14ac:dyDescent="0.2">
      <c r="A950" s="5">
        <v>889</v>
      </c>
      <c r="B950" s="138">
        <f>'Expenditures 15-22'!G14</f>
        <v>4862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34254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40985</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40985</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40985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75239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3856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8512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118804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85</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85</v>
      </c>
      <c r="C1017" s="2" t="s">
        <v>594</v>
      </c>
      <c r="D1017" s="2" t="str">
        <f t="shared" si="14"/>
        <v>Error?</v>
      </c>
    </row>
    <row r="1018" spans="1:4" x14ac:dyDescent="0.2">
      <c r="A1018" s="5">
        <v>957</v>
      </c>
      <c r="B1018" s="138">
        <f>'Expenditures 15-22'!H44</f>
        <v>666</v>
      </c>
      <c r="D1018" s="2" t="str">
        <f t="shared" si="14"/>
        <v>Error?</v>
      </c>
    </row>
    <row r="1019" spans="1:4" x14ac:dyDescent="0.2">
      <c r="A1019" s="5">
        <v>958</v>
      </c>
      <c r="B1019" s="138">
        <f>'Expenditures 15-22'!H45</f>
        <v>194</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860</v>
      </c>
      <c r="C1021" s="2" t="s">
        <v>594</v>
      </c>
      <c r="D1021" s="2" t="str">
        <f t="shared" si="14"/>
        <v>Error?</v>
      </c>
    </row>
    <row r="1022" spans="1:4" x14ac:dyDescent="0.2">
      <c r="A1022" s="5">
        <v>961</v>
      </c>
      <c r="B1022" s="138">
        <f>'Expenditures 15-22'!H49</f>
        <v>12840</v>
      </c>
      <c r="D1022" s="2" t="str">
        <f t="shared" si="14"/>
        <v>Error?</v>
      </c>
    </row>
    <row r="1023" spans="1:4" x14ac:dyDescent="0.2">
      <c r="A1023" s="5">
        <v>962</v>
      </c>
      <c r="B1023" s="138">
        <f>'Expenditures 15-22'!H50</f>
        <v>1837</v>
      </c>
      <c r="D1023" s="2" t="str">
        <f t="shared" ref="D1023:D1086" si="15">IF(ISBLANK(B1023),"OK",IF(A1023-B1023=0,"OK","Error?"))</f>
        <v>Error?</v>
      </c>
    </row>
    <row r="1024" spans="1:4" x14ac:dyDescent="0.2">
      <c r="A1024" s="5">
        <v>963</v>
      </c>
      <c r="B1024" s="138">
        <f>'Expenditures 15-22'!H53</f>
        <v>14677</v>
      </c>
      <c r="C1024" s="2" t="s">
        <v>594</v>
      </c>
      <c r="D1024" s="2" t="str">
        <f t="shared" si="15"/>
        <v>Error?</v>
      </c>
    </row>
    <row r="1025" spans="1:4" x14ac:dyDescent="0.2">
      <c r="A1025" s="5">
        <v>964</v>
      </c>
      <c r="B1025" s="138">
        <f>'Expenditures 15-22'!H55</f>
        <v>1217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1217</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16839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21131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156774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1315824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163735</v>
      </c>
      <c r="C1105" s="2" t="s">
        <v>594</v>
      </c>
      <c r="D1105" s="2" t="str">
        <f t="shared" si="16"/>
        <v>Error?</v>
      </c>
    </row>
    <row r="1106" spans="1:4" x14ac:dyDescent="0.2">
      <c r="A1106" s="5">
        <v>1045</v>
      </c>
      <c r="B1106" s="138">
        <f>'Expenditures 15-22'!K14</f>
        <v>138085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2309111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31395</v>
      </c>
      <c r="C1110" s="2" t="s">
        <v>594</v>
      </c>
      <c r="D1110" s="2" t="str">
        <f t="shared" si="16"/>
        <v>Error?</v>
      </c>
    </row>
    <row r="1111" spans="1:4" x14ac:dyDescent="0.2">
      <c r="A1111" s="5">
        <v>1050</v>
      </c>
      <c r="B1111" s="138">
        <f>'Expenditures 15-22'!K38</f>
        <v>3595</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41531</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76521</v>
      </c>
      <c r="C1115" s="2" t="s">
        <v>594</v>
      </c>
      <c r="D1115" s="2" t="str">
        <f t="shared" si="16"/>
        <v>Error?</v>
      </c>
    </row>
    <row r="1116" spans="1:4" x14ac:dyDescent="0.2">
      <c r="A1116" s="5">
        <v>1055</v>
      </c>
      <c r="B1116" s="138">
        <f>'Expenditures 15-22'!K44</f>
        <v>179007</v>
      </c>
      <c r="C1116" s="2" t="s">
        <v>594</v>
      </c>
      <c r="D1116" s="2" t="str">
        <f t="shared" si="16"/>
        <v>Error?</v>
      </c>
    </row>
    <row r="1117" spans="1:4" x14ac:dyDescent="0.2">
      <c r="A1117" s="5">
        <v>1056</v>
      </c>
      <c r="B1117" s="138">
        <f>'Expenditures 15-22'!K45</f>
        <v>8136</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187143</v>
      </c>
      <c r="C1119" s="2" t="s">
        <v>594</v>
      </c>
      <c r="D1119" s="2" t="str">
        <f t="shared" si="16"/>
        <v>Error?</v>
      </c>
    </row>
    <row r="1120" spans="1:4" x14ac:dyDescent="0.2">
      <c r="A1120" s="5">
        <v>1059</v>
      </c>
      <c r="B1120" s="138">
        <f>'Expenditures 15-22'!K49</f>
        <v>42283</v>
      </c>
      <c r="C1120" s="2" t="s">
        <v>594</v>
      </c>
      <c r="D1120" s="2" t="str">
        <f t="shared" si="16"/>
        <v>Error?</v>
      </c>
    </row>
    <row r="1121" spans="1:4" x14ac:dyDescent="0.2">
      <c r="A1121" s="5">
        <v>1060</v>
      </c>
      <c r="B1121" s="138">
        <f>'Expenditures 15-22'!K50</f>
        <v>126486</v>
      </c>
      <c r="C1121" s="2" t="s">
        <v>594</v>
      </c>
      <c r="D1121" s="2" t="str">
        <f t="shared" si="16"/>
        <v>Error?</v>
      </c>
    </row>
    <row r="1122" spans="1:4" x14ac:dyDescent="0.2">
      <c r="A1122" s="5">
        <v>1061</v>
      </c>
      <c r="B1122" s="138">
        <f>'Expenditures 15-22'!K53</f>
        <v>172306</v>
      </c>
      <c r="C1122" s="2" t="s">
        <v>594</v>
      </c>
      <c r="D1122" s="2" t="str">
        <f t="shared" si="16"/>
        <v>Error?</v>
      </c>
    </row>
    <row r="1123" spans="1:4" x14ac:dyDescent="0.2">
      <c r="A1123" s="5">
        <v>1062</v>
      </c>
      <c r="B1123" s="138">
        <f>'Expenditures 15-22'!K55</f>
        <v>186005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186005</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34449</v>
      </c>
      <c r="C1127" s="2" t="s">
        <v>594</v>
      </c>
      <c r="D1127" s="2" t="str">
        <f t="shared" si="16"/>
        <v>Error?</v>
      </c>
    </row>
    <row r="1128" spans="1:4" x14ac:dyDescent="0.2">
      <c r="A1128" s="5">
        <v>1067</v>
      </c>
      <c r="B1128" s="138">
        <f>'Expenditures 15-22'!K61</f>
        <v>89585</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254592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378626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1000601</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42590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3352302</v>
      </c>
      <c r="C1152" s="2" t="s">
        <v>594</v>
      </c>
      <c r="D1152" s="2" t="str">
        <f t="shared" si="17"/>
        <v>Error?</v>
      </c>
    </row>
    <row r="1153" spans="1:4" x14ac:dyDescent="0.2">
      <c r="A1153" s="5">
        <v>1092</v>
      </c>
      <c r="B1153" s="138">
        <f>'Expenditures 15-22'!K115</f>
        <v>808885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38635</v>
      </c>
      <c r="D1221" s="2" t="str">
        <f t="shared" si="18"/>
        <v>Error?</v>
      </c>
    </row>
    <row r="1222" spans="1:4" x14ac:dyDescent="0.2">
      <c r="A1222" s="10">
        <v>1161</v>
      </c>
      <c r="D1222" s="2" t="str">
        <f t="shared" si="18"/>
        <v>OK</v>
      </c>
    </row>
    <row r="1223" spans="1:4" x14ac:dyDescent="0.2">
      <c r="A1223" s="5">
        <v>1162</v>
      </c>
      <c r="B1223" s="138">
        <f>'Expenditures 15-22'!C127</f>
        <v>38635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38635</v>
      </c>
      <c r="C1225" s="2" t="s">
        <v>594</v>
      </c>
      <c r="D1225" s="2" t="str">
        <f t="shared" si="18"/>
        <v>Error?</v>
      </c>
    </row>
    <row r="1226" spans="1:4" x14ac:dyDescent="0.2">
      <c r="A1226" s="5">
        <v>1165</v>
      </c>
      <c r="B1226" s="138">
        <f>'Expenditures 15-22'!C151</f>
        <v>38635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23</v>
      </c>
      <c r="D1229" s="2" t="str">
        <f t="shared" si="18"/>
        <v>Error?</v>
      </c>
    </row>
    <row r="1230" spans="1:4" x14ac:dyDescent="0.2">
      <c r="A1230" s="10">
        <v>1169</v>
      </c>
      <c r="D1230" s="2" t="str">
        <f t="shared" si="18"/>
        <v>OK</v>
      </c>
    </row>
    <row r="1231" spans="1:4" x14ac:dyDescent="0.2">
      <c r="A1231" s="5">
        <v>1170</v>
      </c>
      <c r="B1231" s="138">
        <f>'Expenditures 15-22'!D127</f>
        <v>23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23</v>
      </c>
      <c r="C1233" s="2" t="s">
        <v>594</v>
      </c>
      <c r="D1233" s="2" t="str">
        <f t="shared" si="18"/>
        <v>Error?</v>
      </c>
    </row>
    <row r="1234" spans="1:4" x14ac:dyDescent="0.2">
      <c r="A1234" s="5">
        <v>1173</v>
      </c>
      <c r="B1234" s="138">
        <f>'Expenditures 15-22'!D151</f>
        <v>23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32013</v>
      </c>
      <c r="D1237" s="2" t="str">
        <f t="shared" si="18"/>
        <v>Error?</v>
      </c>
    </row>
    <row r="1238" spans="1:4" x14ac:dyDescent="0.2">
      <c r="A1238" s="10">
        <v>1177</v>
      </c>
      <c r="D1238" s="2" t="str">
        <f t="shared" si="18"/>
        <v>OK</v>
      </c>
    </row>
    <row r="1239" spans="1:4" x14ac:dyDescent="0.2">
      <c r="A1239" s="5">
        <v>1178</v>
      </c>
      <c r="B1239" s="138">
        <f>'Expenditures 15-22'!E127</f>
        <v>32013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32013</v>
      </c>
      <c r="C1241" s="2" t="s">
        <v>594</v>
      </c>
      <c r="D1241" s="2" t="str">
        <f t="shared" si="18"/>
        <v>Error?</v>
      </c>
    </row>
    <row r="1242" spans="1:4" x14ac:dyDescent="0.2">
      <c r="A1242" s="5">
        <v>1181</v>
      </c>
      <c r="B1242" s="138">
        <f>'Expenditures 15-22'!E151</f>
        <v>32013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120282</v>
      </c>
      <c r="D1245" s="2" t="str">
        <f t="shared" si="18"/>
        <v>Error?</v>
      </c>
    </row>
    <row r="1246" spans="1:4" x14ac:dyDescent="0.2">
      <c r="A1246" s="10">
        <v>1185</v>
      </c>
      <c r="D1246" s="2" t="str">
        <f t="shared" si="18"/>
        <v>OK</v>
      </c>
    </row>
    <row r="1247" spans="1:4" x14ac:dyDescent="0.2">
      <c r="A1247" s="5">
        <v>1186</v>
      </c>
      <c r="B1247" s="138">
        <f>'Expenditures 15-22'!F127</f>
        <v>120282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120282</v>
      </c>
      <c r="C1249" s="2" t="s">
        <v>594</v>
      </c>
      <c r="D1249" s="2" t="str">
        <f t="shared" si="18"/>
        <v>Error?</v>
      </c>
    </row>
    <row r="1250" spans="1:4" x14ac:dyDescent="0.2">
      <c r="A1250" s="5">
        <v>1189</v>
      </c>
      <c r="B1250" s="138">
        <f>'Expenditures 15-22'!F151</f>
        <v>120282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10315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10315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10315</v>
      </c>
      <c r="C1258" s="2" t="s">
        <v>594</v>
      </c>
      <c r="D1258" s="2" t="str">
        <f t="shared" si="18"/>
        <v>Error?</v>
      </c>
    </row>
    <row r="1259" spans="1:4" x14ac:dyDescent="0.2">
      <c r="A1259" s="5">
        <v>1198</v>
      </c>
      <c r="B1259" s="138">
        <f>'Expenditures 15-22'!G151</f>
        <v>10315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201268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201268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201268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201268</v>
      </c>
      <c r="C1288" s="2" t="s">
        <v>594</v>
      </c>
      <c r="D1288" s="2" t="str">
        <f t="shared" si="19"/>
        <v>Error?</v>
      </c>
    </row>
    <row r="1289" spans="1:4" x14ac:dyDescent="0.2">
      <c r="A1289" s="5">
        <v>1228</v>
      </c>
      <c r="B1289" s="138">
        <f>'Expenditures 15-22'!K152</f>
        <v>56013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74304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426500</v>
      </c>
      <c r="D1315" s="2" t="str">
        <f t="shared" si="19"/>
        <v>Error?</v>
      </c>
    </row>
    <row r="1316" spans="1:4" x14ac:dyDescent="0.2">
      <c r="A1316" s="5">
        <v>1255</v>
      </c>
      <c r="B1316" s="138">
        <f>'Expenditures 15-22'!H171</f>
        <v>600</v>
      </c>
      <c r="D1316" s="2" t="str">
        <f t="shared" si="19"/>
        <v>Error?</v>
      </c>
    </row>
    <row r="1317" spans="1:4" x14ac:dyDescent="0.2">
      <c r="A1317" s="5">
        <v>1256</v>
      </c>
      <c r="B1317" s="138">
        <f>'Expenditures 15-22'!H172</f>
        <v>501404</v>
      </c>
      <c r="C1317" s="2" t="s">
        <v>594</v>
      </c>
      <c r="D1317" s="2" t="str">
        <f t="shared" si="19"/>
        <v>Error?</v>
      </c>
    </row>
    <row r="1318" spans="1:4" x14ac:dyDescent="0.2">
      <c r="A1318" s="5">
        <v>1257</v>
      </c>
      <c r="B1318" s="138">
        <f>'Expenditures 15-22'!H174</f>
        <v>501404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74304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426500</v>
      </c>
      <c r="C1329" s="2" t="s">
        <v>594</v>
      </c>
      <c r="D1329" s="2" t="str">
        <f t="shared" si="19"/>
        <v>Error?</v>
      </c>
    </row>
    <row r="1330" spans="1:4" x14ac:dyDescent="0.2">
      <c r="A1330" s="5">
        <v>1269</v>
      </c>
      <c r="B1330" s="138">
        <f>'Expenditures 15-22'!K171</f>
        <v>600</v>
      </c>
      <c r="C1330" s="2" t="s">
        <v>594</v>
      </c>
      <c r="D1330" s="2" t="str">
        <f t="shared" si="19"/>
        <v>Error?</v>
      </c>
    </row>
    <row r="1331" spans="1:4" x14ac:dyDescent="0.2">
      <c r="A1331" s="5">
        <v>1270</v>
      </c>
      <c r="B1331" s="138">
        <f>'Expenditures 15-22'!K172</f>
        <v>501404</v>
      </c>
      <c r="C1331" s="2" t="s">
        <v>594</v>
      </c>
      <c r="D1331" s="2" t="str">
        <f t="shared" si="19"/>
        <v>Error?</v>
      </c>
    </row>
    <row r="1332" spans="1:4" x14ac:dyDescent="0.2">
      <c r="A1332" s="5">
        <v>1271</v>
      </c>
      <c r="B1332" s="138">
        <f>'Expenditures 15-22'!K174</f>
        <v>501404</v>
      </c>
      <c r="C1332" s="2" t="s">
        <v>594</v>
      </c>
      <c r="D1332" s="2" t="str">
        <f t="shared" si="19"/>
        <v>Error?</v>
      </c>
    </row>
    <row r="1333" spans="1:4" x14ac:dyDescent="0.2">
      <c r="A1333" s="5">
        <v>1272</v>
      </c>
      <c r="B1333" s="138">
        <f>'Expenditures 15-22'!K175</f>
        <v>4041</v>
      </c>
      <c r="C1333" s="2" t="s">
        <v>594</v>
      </c>
      <c r="D1333" s="2" t="str">
        <f t="shared" si="19"/>
        <v>Error?</v>
      </c>
    </row>
    <row r="1334" spans="1:4" x14ac:dyDescent="0.2">
      <c r="A1334" s="10">
        <v>1273</v>
      </c>
      <c r="D1334" s="2" t="str">
        <f t="shared" si="19"/>
        <v>OK</v>
      </c>
    </row>
    <row r="1335" spans="1:4" x14ac:dyDescent="0.2">
      <c r="A1335" s="5">
        <v>1274</v>
      </c>
      <c r="B1335" s="138">
        <f>'Expenditures 15-22'!C182</f>
        <v>176039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176039</v>
      </c>
      <c r="C1339" s="2" t="s">
        <v>594</v>
      </c>
      <c r="D1339" s="2" t="str">
        <f t="shared" si="19"/>
        <v>Error?</v>
      </c>
    </row>
    <row r="1340" spans="1:4" x14ac:dyDescent="0.2">
      <c r="A1340" s="5">
        <v>1279</v>
      </c>
      <c r="B1340" s="138">
        <f>'Expenditures 15-22'!C210</f>
        <v>176039</v>
      </c>
      <c r="C1340" s="2" t="s">
        <v>594</v>
      </c>
      <c r="D1340" s="2" t="str">
        <f t="shared" si="19"/>
        <v>Error?</v>
      </c>
    </row>
    <row r="1341" spans="1:4" x14ac:dyDescent="0.2">
      <c r="A1341" s="5">
        <v>1280</v>
      </c>
      <c r="B1341" s="138">
        <f>'Expenditures 15-22'!D182</f>
        <v>3151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3151</v>
      </c>
      <c r="C1345" s="2" t="s">
        <v>594</v>
      </c>
      <c r="D1345" s="2" t="str">
        <f t="shared" si="20"/>
        <v>Error?</v>
      </c>
    </row>
    <row r="1346" spans="1:4" x14ac:dyDescent="0.2">
      <c r="A1346" s="5">
        <v>1285</v>
      </c>
      <c r="B1346" s="138">
        <f>'Expenditures 15-22'!D210</f>
        <v>3151</v>
      </c>
      <c r="C1346" s="2" t="s">
        <v>594</v>
      </c>
      <c r="D1346" s="2" t="str">
        <f t="shared" si="20"/>
        <v>Error?</v>
      </c>
    </row>
    <row r="1347" spans="1:4" x14ac:dyDescent="0.2">
      <c r="A1347" s="5">
        <v>1286</v>
      </c>
      <c r="B1347" s="138">
        <f>'Expenditures 15-22'!E182</f>
        <v>91629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91629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91629</v>
      </c>
      <c r="C1353" s="2" t="s">
        <v>594</v>
      </c>
      <c r="D1353" s="2" t="str">
        <f t="shared" si="20"/>
        <v>Error?</v>
      </c>
    </row>
    <row r="1354" spans="1:4" x14ac:dyDescent="0.2">
      <c r="A1354" s="5">
        <v>1293</v>
      </c>
      <c r="B1354" s="138">
        <f>'Expenditures 15-22'!F182</f>
        <v>44992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44992</v>
      </c>
      <c r="C1358" s="2" t="s">
        <v>594</v>
      </c>
      <c r="D1358" s="2" t="str">
        <f t="shared" si="20"/>
        <v>Error?</v>
      </c>
    </row>
    <row r="1359" spans="1:4" x14ac:dyDescent="0.2">
      <c r="A1359" s="5">
        <v>1298</v>
      </c>
      <c r="B1359" s="138">
        <f>'Expenditures 15-22'!F210</f>
        <v>44992</v>
      </c>
      <c r="C1359" s="2" t="s">
        <v>594</v>
      </c>
      <c r="D1359" s="2" t="str">
        <f t="shared" si="20"/>
        <v>Error?</v>
      </c>
    </row>
    <row r="1360" spans="1:4" x14ac:dyDescent="0.2">
      <c r="A1360" s="5">
        <v>1299</v>
      </c>
      <c r="B1360" s="138">
        <f>'Expenditures 15-22'!G182</f>
        <v>10728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10728</v>
      </c>
      <c r="C1364" s="2" t="s">
        <v>594</v>
      </c>
      <c r="D1364" s="2" t="str">
        <f t="shared" si="20"/>
        <v>Error?</v>
      </c>
    </row>
    <row r="1365" spans="1:4" x14ac:dyDescent="0.2">
      <c r="A1365" s="5">
        <v>1304</v>
      </c>
      <c r="B1365" s="138">
        <f>'Expenditures 15-22'!G210</f>
        <v>10728</v>
      </c>
      <c r="C1365" s="2" t="s">
        <v>594</v>
      </c>
      <c r="D1365" s="2" t="str">
        <f t="shared" si="20"/>
        <v>Error?</v>
      </c>
    </row>
    <row r="1366" spans="1:4" x14ac:dyDescent="0.2">
      <c r="A1366" s="5">
        <v>1305</v>
      </c>
      <c r="B1366" s="138">
        <f>'Expenditures 15-22'!H182</f>
        <v>712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712</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3453</v>
      </c>
      <c r="C1375" s="2" t="s">
        <v>594</v>
      </c>
      <c r="D1375" s="2" t="str">
        <f t="shared" si="20"/>
        <v>Error?</v>
      </c>
    </row>
    <row r="1376" spans="1:4" x14ac:dyDescent="0.2">
      <c r="A1376" s="5">
        <v>1315</v>
      </c>
      <c r="B1376" s="138">
        <f>'Expenditures 15-22'!H210</f>
        <v>4165</v>
      </c>
      <c r="C1376" s="2" t="s">
        <v>594</v>
      </c>
      <c r="D1376" s="2" t="str">
        <f t="shared" si="20"/>
        <v>Error?</v>
      </c>
    </row>
    <row r="1377" spans="1:4" x14ac:dyDescent="0.2">
      <c r="A1377" s="5">
        <v>1316</v>
      </c>
      <c r="B1377" s="138">
        <f>'Expenditures 15-22'!K182</f>
        <v>327251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327251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3453</v>
      </c>
      <c r="C1387" s="2" t="s">
        <v>594</v>
      </c>
      <c r="D1387" s="2" t="str">
        <f t="shared" si="20"/>
        <v>Error?</v>
      </c>
    </row>
    <row r="1388" spans="1:4" x14ac:dyDescent="0.2">
      <c r="A1388" s="5">
        <v>1327</v>
      </c>
      <c r="B1388" s="138">
        <f>'Expenditures 15-22'!K210</f>
        <v>330704</v>
      </c>
      <c r="C1388" s="2" t="s">
        <v>594</v>
      </c>
      <c r="D1388" s="2" t="str">
        <f t="shared" si="20"/>
        <v>Error?</v>
      </c>
    </row>
    <row r="1389" spans="1:4" x14ac:dyDescent="0.2">
      <c r="A1389" s="5">
        <v>1328</v>
      </c>
      <c r="B1389" s="138">
        <f>'Expenditures 15-22'!K211</f>
        <v>-60076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1327</v>
      </c>
      <c r="D1407" s="2" t="str">
        <f t="shared" ref="D1407:D1470" si="21">IF(ISBLANK(B1407),"OK",IF(A1407-B1407=0,"OK","Error?"))</f>
        <v>Error?</v>
      </c>
    </row>
    <row r="1408" spans="1:4" x14ac:dyDescent="0.2">
      <c r="A1408" s="5">
        <v>1347</v>
      </c>
      <c r="B1408" s="138">
        <f>'Expenditures 15-22'!D223</f>
        <v>3091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47726</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406</v>
      </c>
      <c r="D1412" s="2" t="str">
        <f t="shared" si="21"/>
        <v>Error?</v>
      </c>
    </row>
    <row r="1413" spans="1:4" x14ac:dyDescent="0.2">
      <c r="A1413" s="5">
        <v>1352</v>
      </c>
      <c r="B1413" s="138">
        <f>'Expenditures 15-22'!D234</f>
        <v>431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529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1366</v>
      </c>
      <c r="C1417" s="2" t="s">
        <v>594</v>
      </c>
      <c r="D1417" s="2" t="str">
        <f t="shared" si="21"/>
        <v>Error?</v>
      </c>
    </row>
    <row r="1418" spans="1:4" x14ac:dyDescent="0.2">
      <c r="A1418" s="5">
        <v>1357</v>
      </c>
      <c r="B1418" s="138">
        <f>'Expenditures 15-22'!D240</f>
        <v>457</v>
      </c>
      <c r="D1418" s="2" t="str">
        <f t="shared" si="21"/>
        <v>Error?</v>
      </c>
    </row>
    <row r="1419" spans="1:4" x14ac:dyDescent="0.2">
      <c r="A1419" s="5">
        <v>1358</v>
      </c>
      <c r="B1419" s="138">
        <f>'Expenditures 15-22'!D241</f>
        <v>1227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1684</v>
      </c>
      <c r="C1421" s="2" t="s">
        <v>594</v>
      </c>
      <c r="D1421" s="2" t="str">
        <f t="shared" si="21"/>
        <v>Error?</v>
      </c>
    </row>
    <row r="1422" spans="1:4" x14ac:dyDescent="0.2">
      <c r="A1422" s="5">
        <v>1361</v>
      </c>
      <c r="B1422" s="138">
        <f>'Expenditures 15-22'!D245</f>
        <v>1739</v>
      </c>
      <c r="D1422" s="2" t="str">
        <f t="shared" si="21"/>
        <v>Error?</v>
      </c>
    </row>
    <row r="1423" spans="1:4" x14ac:dyDescent="0.2">
      <c r="A1423" s="5">
        <v>1362</v>
      </c>
      <c r="B1423" s="138">
        <f>'Expenditures 15-22'!D246</f>
        <v>3128</v>
      </c>
      <c r="D1423" s="2" t="str">
        <f t="shared" si="21"/>
        <v>Error?</v>
      </c>
    </row>
    <row r="1424" spans="1:4" x14ac:dyDescent="0.2">
      <c r="A1424" s="5">
        <v>1363</v>
      </c>
      <c r="B1424" s="138">
        <f>'Expenditures 15-22'!D257</f>
        <v>22119</v>
      </c>
      <c r="C1424" s="2" t="s">
        <v>594</v>
      </c>
      <c r="D1424" s="2" t="str">
        <f t="shared" si="21"/>
        <v>Error?</v>
      </c>
    </row>
    <row r="1425" spans="1:4" x14ac:dyDescent="0.2">
      <c r="A1425" s="5">
        <v>1364</v>
      </c>
      <c r="B1425" s="138">
        <f>'Expenditures 15-22'!D259</f>
        <v>10616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10616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5885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19664</v>
      </c>
      <c r="D1431" s="2" t="str">
        <f t="shared" si="21"/>
        <v>Error?</v>
      </c>
    </row>
    <row r="1432" spans="1:4" x14ac:dyDescent="0.2">
      <c r="A1432" s="5">
        <v>1371</v>
      </c>
      <c r="B1432" s="138">
        <f>'Expenditures 15-22'!D267</f>
        <v>18331</v>
      </c>
      <c r="D1432" s="2" t="str">
        <f t="shared" si="21"/>
        <v>Error?</v>
      </c>
    </row>
    <row r="1433" spans="1:4" x14ac:dyDescent="0.2">
      <c r="A1433" s="5">
        <v>1372</v>
      </c>
      <c r="B1433" s="138">
        <f>'Expenditures 15-22'!D268</f>
        <v>8913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52793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88578</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136304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1327</v>
      </c>
      <c r="C1471" s="2" t="s">
        <v>594</v>
      </c>
      <c r="D1471" s="2" t="str">
        <f t="shared" ref="D1471:D1534" si="22">IF(ISBLANK(B1471),"OK",IF(A1471-B1471=0,"OK","Error?"))</f>
        <v>Error?</v>
      </c>
    </row>
    <row r="1472" spans="1:4" x14ac:dyDescent="0.2">
      <c r="A1472" s="5">
        <v>1411</v>
      </c>
      <c r="B1472" s="138">
        <f>'Expenditures 15-22'!K223</f>
        <v>3091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47726</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406</v>
      </c>
      <c r="C1476" s="2" t="s">
        <v>594</v>
      </c>
      <c r="D1476" s="2" t="str">
        <f t="shared" si="22"/>
        <v>Error?</v>
      </c>
    </row>
    <row r="1477" spans="1:4" x14ac:dyDescent="0.2">
      <c r="A1477" s="5">
        <v>1416</v>
      </c>
      <c r="B1477" s="138">
        <f>'Expenditures 15-22'!K234</f>
        <v>431</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529</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1366</v>
      </c>
      <c r="C1481" s="2" t="s">
        <v>594</v>
      </c>
      <c r="D1481" s="2" t="str">
        <f t="shared" si="22"/>
        <v>Error?</v>
      </c>
    </row>
    <row r="1482" spans="1:4" x14ac:dyDescent="0.2">
      <c r="A1482" s="5">
        <v>1421</v>
      </c>
      <c r="B1482" s="138">
        <f>'Expenditures 15-22'!K240</f>
        <v>457</v>
      </c>
      <c r="C1482" s="2" t="s">
        <v>594</v>
      </c>
      <c r="D1482" s="2" t="str">
        <f t="shared" si="22"/>
        <v>Error?</v>
      </c>
    </row>
    <row r="1483" spans="1:4" x14ac:dyDescent="0.2">
      <c r="A1483" s="5">
        <v>1422</v>
      </c>
      <c r="B1483" s="138">
        <f>'Expenditures 15-22'!K241</f>
        <v>1227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1684</v>
      </c>
      <c r="C1485" s="2" t="s">
        <v>594</v>
      </c>
      <c r="D1485" s="2" t="str">
        <f t="shared" si="22"/>
        <v>Error?</v>
      </c>
    </row>
    <row r="1486" spans="1:4" x14ac:dyDescent="0.2">
      <c r="A1486" s="5">
        <v>1425</v>
      </c>
      <c r="B1486" s="138">
        <f>'Expenditures 15-22'!K245</f>
        <v>1739</v>
      </c>
      <c r="C1486" s="2" t="s">
        <v>594</v>
      </c>
      <c r="D1486" s="2" t="str">
        <f t="shared" si="22"/>
        <v>Error?</v>
      </c>
    </row>
    <row r="1487" spans="1:4" x14ac:dyDescent="0.2">
      <c r="A1487" s="5">
        <v>1426</v>
      </c>
      <c r="B1487" s="138">
        <f>'Expenditures 15-22'!K246</f>
        <v>3128</v>
      </c>
      <c r="C1487" s="2" t="s">
        <v>594</v>
      </c>
      <c r="D1487" s="2" t="str">
        <f t="shared" si="22"/>
        <v>Error?</v>
      </c>
    </row>
    <row r="1488" spans="1:4" x14ac:dyDescent="0.2">
      <c r="A1488" s="5">
        <v>1427</v>
      </c>
      <c r="B1488" s="138">
        <f>'Expenditures 15-22'!K257</f>
        <v>22119</v>
      </c>
      <c r="C1488" s="2" t="s">
        <v>594</v>
      </c>
      <c r="D1488" s="2" t="str">
        <f t="shared" si="22"/>
        <v>Error?</v>
      </c>
    </row>
    <row r="1489" spans="1:4" x14ac:dyDescent="0.2">
      <c r="A1489" s="5">
        <v>1428</v>
      </c>
      <c r="B1489" s="138">
        <f>'Expenditures 15-22'!K259</f>
        <v>10616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10616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5885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19664</v>
      </c>
      <c r="C1495" s="2" t="s">
        <v>594</v>
      </c>
      <c r="D1495" s="2" t="str">
        <f t="shared" si="22"/>
        <v>Error?</v>
      </c>
    </row>
    <row r="1496" spans="1:4" x14ac:dyDescent="0.2">
      <c r="A1496" s="5">
        <v>1435</v>
      </c>
      <c r="B1496" s="138">
        <f>'Expenditures 15-22'!K267</f>
        <v>18331</v>
      </c>
      <c r="C1496" s="2" t="s">
        <v>594</v>
      </c>
      <c r="D1496" s="2" t="str">
        <f t="shared" si="22"/>
        <v>Error?</v>
      </c>
    </row>
    <row r="1497" spans="1:4" x14ac:dyDescent="0.2">
      <c r="A1497" s="5">
        <v>1436</v>
      </c>
      <c r="B1497" s="138">
        <f>'Expenditures 15-22'!K268</f>
        <v>8913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52793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88578</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136304</v>
      </c>
      <c r="C1517" s="2" t="s">
        <v>594</v>
      </c>
      <c r="D1517" s="2" t="str">
        <f t="shared" si="22"/>
        <v>Error?</v>
      </c>
    </row>
    <row r="1518" spans="1:4" x14ac:dyDescent="0.2">
      <c r="A1518" s="5">
        <v>1457</v>
      </c>
      <c r="B1518" s="138">
        <f>'Expenditures 15-22'!K296</f>
        <v>67035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1315186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2124071</v>
      </c>
      <c r="C1630" s="2" t="s">
        <v>594</v>
      </c>
      <c r="D1630" s="2" t="str">
        <f t="shared" si="24"/>
        <v>Error?</v>
      </c>
    </row>
    <row r="1631" spans="1:4" x14ac:dyDescent="0.2">
      <c r="A1631" s="5">
        <v>1570</v>
      </c>
      <c r="B1631" s="138">
        <f>'Acct Summary 7-8'!D79</f>
        <v>173694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229707</v>
      </c>
      <c r="C1644" s="2" t="s">
        <v>594</v>
      </c>
      <c r="D1644" s="2" t="str">
        <f t="shared" si="24"/>
        <v>Error?</v>
      </c>
    </row>
    <row r="1645" spans="1:4" x14ac:dyDescent="0.2">
      <c r="A1645" s="5">
        <v>1584</v>
      </c>
      <c r="B1645" s="138">
        <f>'Acct Summary 7-8'!E79</f>
        <v>163996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168037</v>
      </c>
      <c r="C1658" s="2" t="s">
        <v>594</v>
      </c>
      <c r="D1658" s="2" t="str">
        <f t="shared" si="24"/>
        <v>Error?</v>
      </c>
    </row>
    <row r="1659" spans="1:4" x14ac:dyDescent="0.2">
      <c r="A1659" s="5">
        <v>1598</v>
      </c>
      <c r="B1659" s="138">
        <f>'Acct Summary 7-8'!F79</f>
        <v>274415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225067</v>
      </c>
      <c r="C1672" s="2" t="s">
        <v>594</v>
      </c>
      <c r="D1672" s="2" t="str">
        <f t="shared" si="25"/>
        <v>Error?</v>
      </c>
    </row>
    <row r="1673" spans="1:4" x14ac:dyDescent="0.2">
      <c r="A1673" s="5">
        <v>1612</v>
      </c>
      <c r="B1673" s="138">
        <f>'Acct Summary 7-8'!G79</f>
        <v>173252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240287</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1010751</v>
      </c>
      <c r="C1744" s="2" t="s">
        <v>594</v>
      </c>
      <c r="D1744" s="2" t="str">
        <f t="shared" si="26"/>
        <v>Error?</v>
      </c>
    </row>
    <row r="1745" spans="1:5" x14ac:dyDescent="0.2">
      <c r="A1745" s="5">
        <v>1684</v>
      </c>
      <c r="B1745" s="138">
        <f>'Tax Sched 23'!B5</f>
        <v>256535</v>
      </c>
      <c r="C1745" s="2" t="s">
        <v>594</v>
      </c>
      <c r="D1745" s="2" t="str">
        <f t="shared" si="26"/>
        <v>Error?</v>
      </c>
    </row>
    <row r="1746" spans="1:5" x14ac:dyDescent="0.2">
      <c r="A1746" s="5">
        <v>1685</v>
      </c>
      <c r="B1746" s="138">
        <f>'Tax Sched 23'!B6</f>
        <v>504544</v>
      </c>
      <c r="C1746" s="2" t="s">
        <v>594</v>
      </c>
      <c r="D1746" s="2" t="str">
        <f t="shared" si="26"/>
        <v>Error?</v>
      </c>
    </row>
    <row r="1747" spans="1:5" x14ac:dyDescent="0.2">
      <c r="A1747" s="5">
        <v>1686</v>
      </c>
      <c r="B1747" s="138">
        <f>'Tax Sched 23'!B7</f>
        <v>102615</v>
      </c>
      <c r="C1747" s="2" t="s">
        <v>594</v>
      </c>
      <c r="D1747" s="2" t="str">
        <f t="shared" si="26"/>
        <v>Error?</v>
      </c>
    </row>
    <row r="1748" spans="1:5" x14ac:dyDescent="0.2">
      <c r="A1748" s="5">
        <v>1687</v>
      </c>
      <c r="B1748" s="138">
        <f>'Tax Sched 23'!B8</f>
        <v>79804</v>
      </c>
      <c r="C1748" s="2" t="s">
        <v>594</v>
      </c>
      <c r="D1748" s="2" t="str">
        <f t="shared" si="26"/>
        <v>Error?</v>
      </c>
    </row>
    <row r="1749" spans="1:5" x14ac:dyDescent="0.2">
      <c r="A1749" s="5">
        <v>1688</v>
      </c>
      <c r="B1749" s="138">
        <f>'Tax Sched 23'!B10</f>
        <v>25652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498742</v>
      </c>
      <c r="C1752" s="2" t="s">
        <v>594</v>
      </c>
      <c r="D1752" s="2" t="str">
        <f t="shared" si="26"/>
        <v>Error?</v>
      </c>
    </row>
    <row r="1753" spans="1:5" x14ac:dyDescent="0.2">
      <c r="A1753" s="5">
        <v>1692</v>
      </c>
      <c r="B1753" s="138">
        <f>'Tax Sched 23'!B12</f>
        <v>25652</v>
      </c>
      <c r="C1753" s="2" t="s">
        <v>594</v>
      </c>
      <c r="D1753" s="2" t="str">
        <f t="shared" si="26"/>
        <v>Error?</v>
      </c>
    </row>
    <row r="1754" spans="1:5" x14ac:dyDescent="0.2">
      <c r="A1754" s="5">
        <v>1693</v>
      </c>
      <c r="B1754" s="138">
        <f>'Tax Sched 23'!B14</f>
        <v>20522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2665187</v>
      </c>
      <c r="C1759" s="2" t="s">
        <v>594</v>
      </c>
      <c r="D1759" s="2" t="str">
        <f t="shared" si="26"/>
        <v>Error?</v>
      </c>
    </row>
    <row r="1760" spans="1:5" x14ac:dyDescent="0.2">
      <c r="A1760" s="5">
        <v>1699</v>
      </c>
      <c r="B1760" s="138">
        <f>'Tax Sched 23'!D4</f>
        <v>1010751</v>
      </c>
      <c r="C1760" s="2" t="s">
        <v>594</v>
      </c>
      <c r="D1760" s="2" t="str">
        <f t="shared" si="26"/>
        <v>Error?</v>
      </c>
    </row>
    <row r="1761" spans="1:5" x14ac:dyDescent="0.2">
      <c r="A1761" s="5">
        <v>1700</v>
      </c>
      <c r="B1761" s="138">
        <f>'Tax Sched 23'!D5</f>
        <v>256535</v>
      </c>
      <c r="C1761" s="2" t="s">
        <v>594</v>
      </c>
      <c r="D1761" s="2" t="str">
        <f t="shared" si="26"/>
        <v>Error?</v>
      </c>
    </row>
    <row r="1762" spans="1:5" s="8" customFormat="1" x14ac:dyDescent="0.2">
      <c r="A1762" s="5">
        <v>1701</v>
      </c>
      <c r="B1762" s="138">
        <f>'Tax Sched 23'!D6</f>
        <v>504544</v>
      </c>
      <c r="C1762" s="2" t="s">
        <v>594</v>
      </c>
      <c r="D1762" s="2" t="str">
        <f t="shared" si="26"/>
        <v>Error?</v>
      </c>
      <c r="E1762" s="9"/>
    </row>
    <row r="1763" spans="1:5" x14ac:dyDescent="0.2">
      <c r="A1763" s="5">
        <v>1702</v>
      </c>
      <c r="B1763" s="138">
        <f>'Tax Sched 23'!D7</f>
        <v>102615</v>
      </c>
      <c r="C1763" s="2" t="s">
        <v>594</v>
      </c>
      <c r="D1763" s="2" t="str">
        <f t="shared" si="26"/>
        <v>Error?</v>
      </c>
    </row>
    <row r="1764" spans="1:5" x14ac:dyDescent="0.2">
      <c r="A1764" s="5">
        <v>1703</v>
      </c>
      <c r="B1764" s="138">
        <f>'Tax Sched 23'!D8</f>
        <v>79804</v>
      </c>
      <c r="C1764" s="2" t="s">
        <v>594</v>
      </c>
      <c r="D1764" s="2" t="str">
        <f t="shared" si="26"/>
        <v>Error?</v>
      </c>
    </row>
    <row r="1765" spans="1:5" x14ac:dyDescent="0.2">
      <c r="A1765" s="5">
        <v>1704</v>
      </c>
      <c r="B1765" s="138">
        <f>'Tax Sched 23'!D10</f>
        <v>25652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498742</v>
      </c>
      <c r="C1768" s="2" t="s">
        <v>594</v>
      </c>
      <c r="D1768" s="2" t="str">
        <f t="shared" si="26"/>
        <v>Error?</v>
      </c>
    </row>
    <row r="1769" spans="1:5" x14ac:dyDescent="0.2">
      <c r="A1769" s="5">
        <v>1708</v>
      </c>
      <c r="B1769" s="138">
        <f>'Tax Sched 23'!D12</f>
        <v>25652</v>
      </c>
      <c r="C1769" s="2" t="s">
        <v>594</v>
      </c>
      <c r="D1769" s="2" t="str">
        <f t="shared" si="26"/>
        <v>Error?</v>
      </c>
    </row>
    <row r="1770" spans="1:5" x14ac:dyDescent="0.2">
      <c r="A1770" s="5">
        <v>1709</v>
      </c>
      <c r="B1770" s="138">
        <f>'Tax Sched 23'!D14</f>
        <v>20522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2665187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1080801</v>
      </c>
      <c r="C1792" s="2" t="s">
        <v>594</v>
      </c>
      <c r="D1792" s="2" t="str">
        <f t="shared" si="27"/>
        <v>Error?</v>
      </c>
    </row>
    <row r="1793" spans="1:4" x14ac:dyDescent="0.2">
      <c r="A1793" s="5">
        <v>1732</v>
      </c>
      <c r="B1793" s="138">
        <f>'Tax Sched 23'!F5</f>
        <v>274315</v>
      </c>
      <c r="C1793" s="2" t="s">
        <v>594</v>
      </c>
      <c r="D1793" s="2" t="str">
        <f t="shared" si="27"/>
        <v>Error?</v>
      </c>
    </row>
    <row r="1794" spans="1:4" x14ac:dyDescent="0.2">
      <c r="A1794" s="5">
        <v>1733</v>
      </c>
      <c r="B1794" s="138">
        <f>'Tax Sched 23'!F6</f>
        <v>265625</v>
      </c>
      <c r="C1794" s="2" t="s">
        <v>594</v>
      </c>
      <c r="D1794" s="2" t="str">
        <f t="shared" si="27"/>
        <v>Error?</v>
      </c>
    </row>
    <row r="1795" spans="1:4" x14ac:dyDescent="0.2">
      <c r="A1795" s="5">
        <v>1734</v>
      </c>
      <c r="B1795" s="138">
        <f>'Tax Sched 23'!F7</f>
        <v>109726</v>
      </c>
      <c r="C1795" s="2" t="s">
        <v>594</v>
      </c>
      <c r="D1795" s="2" t="str">
        <f t="shared" si="27"/>
        <v>Error?</v>
      </c>
    </row>
    <row r="1796" spans="1:4" x14ac:dyDescent="0.2">
      <c r="A1796" s="5">
        <v>1735</v>
      </c>
      <c r="B1796" s="138">
        <f>'Tax Sched 23'!F8</f>
        <v>80007</v>
      </c>
      <c r="C1796" s="2" t="s">
        <v>594</v>
      </c>
      <c r="D1796" s="2" t="str">
        <f t="shared" si="27"/>
        <v>Error?</v>
      </c>
    </row>
    <row r="1797" spans="1:4" x14ac:dyDescent="0.2">
      <c r="A1797" s="5">
        <v>1736</v>
      </c>
      <c r="B1797" s="138">
        <f>'Tax Sched 23'!F10</f>
        <v>27431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500005</v>
      </c>
      <c r="C1800" s="2" t="s">
        <v>594</v>
      </c>
      <c r="D1800" s="2" t="str">
        <f t="shared" si="27"/>
        <v>Error?</v>
      </c>
    </row>
    <row r="1801" spans="1:4" x14ac:dyDescent="0.2">
      <c r="A1801" s="5">
        <v>1740</v>
      </c>
      <c r="B1801" s="138">
        <f>'Tax Sched 23'!F12</f>
        <v>27431</v>
      </c>
      <c r="C1801" s="2" t="s">
        <v>594</v>
      </c>
      <c r="D1801" s="2" t="str">
        <f t="shared" si="27"/>
        <v>Error?</v>
      </c>
    </row>
    <row r="1802" spans="1:4" x14ac:dyDescent="0.2">
      <c r="A1802" s="5">
        <v>1741</v>
      </c>
      <c r="B1802" s="138">
        <f>'Tax Sched 23'!F14</f>
        <v>21945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2529726</v>
      </c>
      <c r="C1807" s="2" t="s">
        <v>594</v>
      </c>
      <c r="D1807" s="2" t="str">
        <f t="shared" si="27"/>
        <v>Error?</v>
      </c>
    </row>
    <row r="1808" spans="1:4" x14ac:dyDescent="0.2">
      <c r="A1808" s="5">
        <v>1747</v>
      </c>
      <c r="B1808" s="138">
        <f>'Tax Sched 23'!E4</f>
        <v>1080801</v>
      </c>
      <c r="D1808" s="2" t="str">
        <f t="shared" si="27"/>
        <v>Error?</v>
      </c>
    </row>
    <row r="1809" spans="1:4" x14ac:dyDescent="0.2">
      <c r="A1809" s="5">
        <v>1748</v>
      </c>
      <c r="B1809" s="138">
        <f>'Tax Sched 23'!E5</f>
        <v>274315</v>
      </c>
      <c r="D1809" s="2" t="str">
        <f t="shared" si="27"/>
        <v>Error?</v>
      </c>
    </row>
    <row r="1810" spans="1:4" x14ac:dyDescent="0.2">
      <c r="A1810" s="5">
        <v>1749</v>
      </c>
      <c r="B1810" s="138">
        <f>'Tax Sched 23'!E6</f>
        <v>265625</v>
      </c>
      <c r="D1810" s="2" t="str">
        <f t="shared" si="27"/>
        <v>Error?</v>
      </c>
    </row>
    <row r="1811" spans="1:4" x14ac:dyDescent="0.2">
      <c r="A1811" s="5">
        <v>1750</v>
      </c>
      <c r="B1811" s="138">
        <f>'Tax Sched 23'!E7</f>
        <v>109726</v>
      </c>
      <c r="D1811" s="2" t="str">
        <f t="shared" si="27"/>
        <v>Error?</v>
      </c>
    </row>
    <row r="1812" spans="1:4" x14ac:dyDescent="0.2">
      <c r="A1812" s="5">
        <v>1751</v>
      </c>
      <c r="B1812" s="138">
        <f>'Tax Sched 23'!E8</f>
        <v>80007</v>
      </c>
      <c r="D1812" s="2" t="str">
        <f t="shared" si="27"/>
        <v>Error?</v>
      </c>
    </row>
    <row r="1813" spans="1:4" x14ac:dyDescent="0.2">
      <c r="A1813" s="5">
        <v>1752</v>
      </c>
      <c r="B1813" s="138">
        <f>'Tax Sched 23'!E10</f>
        <v>27431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500005</v>
      </c>
      <c r="D1816" s="2" t="str">
        <f t="shared" si="27"/>
        <v>Error?</v>
      </c>
    </row>
    <row r="1817" spans="1:4" x14ac:dyDescent="0.2">
      <c r="A1817" s="5">
        <v>1756</v>
      </c>
      <c r="B1817" s="138">
        <f>'Tax Sched 23'!E12</f>
        <v>27431</v>
      </c>
      <c r="D1817" s="2" t="str">
        <f t="shared" si="27"/>
        <v>Error?</v>
      </c>
    </row>
    <row r="1818" spans="1:4" x14ac:dyDescent="0.2">
      <c r="A1818" s="5">
        <v>1757</v>
      </c>
      <c r="B1818" s="138">
        <f>'Tax Sched 23'!E14</f>
        <v>21945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2529726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2932300</v>
      </c>
      <c r="C1939" s="2" t="s">
        <v>594</v>
      </c>
      <c r="D1939" s="2" t="str">
        <f t="shared" si="29"/>
        <v>Error?</v>
      </c>
    </row>
    <row r="1940" spans="1:5" x14ac:dyDescent="0.2">
      <c r="A1940" s="5">
        <v>1879</v>
      </c>
      <c r="B1940" s="138">
        <f>'Short-Term Long-Term Debt 24'!F49</f>
        <v>10728</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20548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20548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20548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89214</v>
      </c>
      <c r="D2008" s="2" t="str">
        <f t="shared" si="30"/>
        <v>Error?</v>
      </c>
    </row>
    <row r="2009" spans="1:4" x14ac:dyDescent="0.2">
      <c r="A2009" s="5">
        <v>1948</v>
      </c>
      <c r="B2009" s="138">
        <f>'Cap Outlay Deprec 26'!C8</f>
        <v>6748197</v>
      </c>
      <c r="D2009" s="2" t="str">
        <f t="shared" si="30"/>
        <v>Error?</v>
      </c>
    </row>
    <row r="2010" spans="1:4" x14ac:dyDescent="0.2">
      <c r="A2010" s="5">
        <v>1949</v>
      </c>
      <c r="B2010" s="138">
        <f>'Cap Outlay Deprec 26'!C10</f>
        <v>960352</v>
      </c>
      <c r="D2010" s="2" t="str">
        <f t="shared" si="30"/>
        <v>Error?</v>
      </c>
    </row>
    <row r="2011" spans="1:4" x14ac:dyDescent="0.2">
      <c r="A2011" s="5">
        <v>1950</v>
      </c>
      <c r="B2011" s="138">
        <f>'Cap Outlay Deprec 26'!C12</f>
        <v>497669</v>
      </c>
      <c r="D2011" s="2" t="str">
        <f t="shared" si="30"/>
        <v>Error?</v>
      </c>
    </row>
    <row r="2012" spans="1:4" x14ac:dyDescent="0.2">
      <c r="A2012" s="5">
        <v>1951</v>
      </c>
      <c r="B2012" s="138">
        <f>'Cap Outlay Deprec 26'!C13</f>
        <v>5560</v>
      </c>
      <c r="D2012" s="2" t="str">
        <f t="shared" si="30"/>
        <v>Error?</v>
      </c>
    </row>
    <row r="2013" spans="1:4" x14ac:dyDescent="0.2">
      <c r="A2013" s="5">
        <v>1952</v>
      </c>
      <c r="B2013" s="138">
        <f>'Cap Outlay Deprec 26'!C16</f>
        <v>8300992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88540</v>
      </c>
      <c r="D2015" s="2" t="str">
        <f t="shared" si="30"/>
        <v>Error?</v>
      </c>
    </row>
    <row r="2016" spans="1:4" x14ac:dyDescent="0.2">
      <c r="A2016" s="5">
        <v>1955</v>
      </c>
      <c r="B2016" s="138">
        <f>'Cap Outlay Deprec 26'!D10</f>
        <v>138221</v>
      </c>
      <c r="D2016" s="2" t="str">
        <f t="shared" si="30"/>
        <v>Error?</v>
      </c>
    </row>
    <row r="2017" spans="1:4" x14ac:dyDescent="0.2">
      <c r="A2017" s="5">
        <v>1956</v>
      </c>
      <c r="B2017" s="138">
        <f>'Cap Outlay Deprec 26'!D12</f>
        <v>88876</v>
      </c>
      <c r="D2017" s="2" t="str">
        <f t="shared" si="30"/>
        <v>Error?</v>
      </c>
    </row>
    <row r="2018" spans="1:4" x14ac:dyDescent="0.2">
      <c r="A2018" s="5">
        <v>1957</v>
      </c>
      <c r="B2018" s="138">
        <f>'Cap Outlay Deprec 26'!D13</f>
        <v>10728</v>
      </c>
      <c r="D2018" s="2" t="str">
        <f t="shared" si="30"/>
        <v>Error?</v>
      </c>
    </row>
    <row r="2019" spans="1:4" x14ac:dyDescent="0.2">
      <c r="A2019" s="5">
        <v>1958</v>
      </c>
      <c r="B2019" s="138">
        <f>'Cap Outlay Deprec 26'!D16</f>
        <v>350900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77894</v>
      </c>
      <c r="D2023" s="2" t="str">
        <f t="shared" si="30"/>
        <v>Error?</v>
      </c>
    </row>
    <row r="2024" spans="1:4" x14ac:dyDescent="0.2">
      <c r="A2024" s="5">
        <v>1963</v>
      </c>
      <c r="B2024" s="138">
        <f>'Cap Outlay Deprec 26'!E13</f>
        <v>1620</v>
      </c>
      <c r="D2024" s="2" t="str">
        <f t="shared" si="30"/>
        <v>Error?</v>
      </c>
    </row>
    <row r="2025" spans="1:4" x14ac:dyDescent="0.2">
      <c r="A2025" s="5">
        <v>1964</v>
      </c>
      <c r="B2025" s="138">
        <f>'Cap Outlay Deprec 26'!E16</f>
        <v>79514</v>
      </c>
      <c r="C2025" s="2" t="s">
        <v>594</v>
      </c>
      <c r="D2025" s="2" t="str">
        <f t="shared" si="30"/>
        <v>Error?</v>
      </c>
    </row>
    <row r="2026" spans="1:4" x14ac:dyDescent="0.2">
      <c r="A2026" s="5">
        <v>1965</v>
      </c>
      <c r="B2026" s="138">
        <f>'Cap Outlay Deprec 26'!F5</f>
        <v>89214</v>
      </c>
      <c r="C2026" s="2" t="s">
        <v>594</v>
      </c>
      <c r="D2026" s="2" t="str">
        <f t="shared" si="30"/>
        <v>Error?</v>
      </c>
    </row>
    <row r="2027" spans="1:4" x14ac:dyDescent="0.2">
      <c r="A2027" s="5">
        <v>1966</v>
      </c>
      <c r="B2027" s="138">
        <f>'Cap Outlay Deprec 26'!F8</f>
        <v>6836737</v>
      </c>
      <c r="C2027" s="2" t="s">
        <v>594</v>
      </c>
      <c r="D2027" s="2" t="str">
        <f t="shared" si="30"/>
        <v>Error?</v>
      </c>
    </row>
    <row r="2028" spans="1:4" x14ac:dyDescent="0.2">
      <c r="A2028" s="5">
        <v>1967</v>
      </c>
      <c r="B2028" s="138">
        <f>'Cap Outlay Deprec 26'!F10</f>
        <v>1098573</v>
      </c>
      <c r="C2028" s="2" t="s">
        <v>594</v>
      </c>
      <c r="D2028" s="2" t="str">
        <f t="shared" si="30"/>
        <v>Error?</v>
      </c>
    </row>
    <row r="2029" spans="1:4" x14ac:dyDescent="0.2">
      <c r="A2029" s="5">
        <v>1968</v>
      </c>
      <c r="B2029" s="138">
        <f>'Cap Outlay Deprec 26'!F12</f>
        <v>508651</v>
      </c>
      <c r="C2029" s="2" t="s">
        <v>594</v>
      </c>
      <c r="D2029" s="2" t="str">
        <f t="shared" si="30"/>
        <v>Error?</v>
      </c>
    </row>
    <row r="2030" spans="1:4" x14ac:dyDescent="0.2">
      <c r="A2030" s="5">
        <v>1969</v>
      </c>
      <c r="B2030" s="138">
        <f>'Cap Outlay Deprec 26'!F13</f>
        <v>14668</v>
      </c>
      <c r="C2030" s="2" t="s">
        <v>594</v>
      </c>
      <c r="D2030" s="2" t="str">
        <f t="shared" si="30"/>
        <v>Error?</v>
      </c>
    </row>
    <row r="2031" spans="1:4" x14ac:dyDescent="0.2">
      <c r="A2031" s="5">
        <v>1970</v>
      </c>
      <c r="B2031" s="138">
        <f>'Cap Outlay Deprec 26'!F16</f>
        <v>8572378</v>
      </c>
      <c r="C2031" s="2" t="s">
        <v>594</v>
      </c>
      <c r="D2031" s="2" t="str">
        <f t="shared" si="30"/>
        <v>Error?</v>
      </c>
    </row>
    <row r="2032" spans="1:4" x14ac:dyDescent="0.2">
      <c r="A2032" s="10">
        <v>1971</v>
      </c>
      <c r="D2032" s="2" t="str">
        <f t="shared" si="30"/>
        <v>OK</v>
      </c>
    </row>
    <row r="2033" spans="1:4" x14ac:dyDescent="0.2">
      <c r="A2033" s="5">
        <v>1972</v>
      </c>
      <c r="B2033" s="138">
        <f>'Cap Outlay Deprec 26'!H8</f>
        <v>2128214</v>
      </c>
      <c r="D2033" s="2" t="str">
        <f t="shared" si="30"/>
        <v>Error?</v>
      </c>
    </row>
    <row r="2034" spans="1:4" x14ac:dyDescent="0.2">
      <c r="A2034" s="5">
        <v>1973</v>
      </c>
      <c r="B2034" s="138">
        <f>'Cap Outlay Deprec 26'!H10</f>
        <v>337717</v>
      </c>
      <c r="D2034" s="2" t="str">
        <f t="shared" si="30"/>
        <v>Error?</v>
      </c>
    </row>
    <row r="2035" spans="1:4" x14ac:dyDescent="0.2">
      <c r="A2035" s="5">
        <v>1974</v>
      </c>
      <c r="B2035" s="138">
        <f>'Cap Outlay Deprec 26'!H12</f>
        <v>279412</v>
      </c>
      <c r="D2035" s="2" t="str">
        <f t="shared" si="30"/>
        <v>Error?</v>
      </c>
    </row>
    <row r="2036" spans="1:4" x14ac:dyDescent="0.2">
      <c r="A2036" s="5">
        <v>1975</v>
      </c>
      <c r="B2036" s="138">
        <f>'Cap Outlay Deprec 26'!H13</f>
        <v>3056</v>
      </c>
      <c r="D2036" s="2" t="str">
        <f t="shared" si="30"/>
        <v>Error?</v>
      </c>
    </row>
    <row r="2037" spans="1:4" x14ac:dyDescent="0.2">
      <c r="A2037" s="5">
        <v>1976</v>
      </c>
      <c r="B2037" s="138">
        <f>'Cap Outlay Deprec 26'!H16</f>
        <v>2748399</v>
      </c>
      <c r="C2037" s="2" t="s">
        <v>594</v>
      </c>
      <c r="D2037" s="2" t="str">
        <f t="shared" si="30"/>
        <v>Error?</v>
      </c>
    </row>
    <row r="2038" spans="1:4" x14ac:dyDescent="0.2">
      <c r="A2038" s="10">
        <v>1977</v>
      </c>
      <c r="D2038" s="2" t="str">
        <f t="shared" si="30"/>
        <v>OK</v>
      </c>
    </row>
    <row r="2039" spans="1:4" x14ac:dyDescent="0.2">
      <c r="A2039" s="5">
        <v>1978</v>
      </c>
      <c r="B2039" s="138">
        <f>'Cap Outlay Deprec 26'!I8</f>
        <v>163028</v>
      </c>
      <c r="D2039" s="2" t="str">
        <f t="shared" si="30"/>
        <v>Error?</v>
      </c>
    </row>
    <row r="2040" spans="1:4" x14ac:dyDescent="0.2">
      <c r="A2040" s="5">
        <v>1979</v>
      </c>
      <c r="B2040" s="138">
        <f>'Cap Outlay Deprec 26'!I10</f>
        <v>54928</v>
      </c>
      <c r="D2040" s="2" t="str">
        <f t="shared" si="30"/>
        <v>Error?</v>
      </c>
    </row>
    <row r="2041" spans="1:4" x14ac:dyDescent="0.2">
      <c r="A2041" s="5">
        <v>1980</v>
      </c>
      <c r="B2041" s="138">
        <f>'Cap Outlay Deprec 26'!I12</f>
        <v>58663</v>
      </c>
      <c r="D2041" s="2" t="str">
        <f t="shared" si="30"/>
        <v>Error?</v>
      </c>
    </row>
    <row r="2042" spans="1:4" x14ac:dyDescent="0.2">
      <c r="A2042" s="5">
        <v>1981</v>
      </c>
      <c r="B2042" s="138">
        <f>'Cap Outlay Deprec 26'!I13</f>
        <v>3258</v>
      </c>
      <c r="D2042" s="2" t="str">
        <f t="shared" si="30"/>
        <v>Error?</v>
      </c>
    </row>
    <row r="2043" spans="1:4" x14ac:dyDescent="0.2">
      <c r="A2043" s="5">
        <v>1982</v>
      </c>
      <c r="B2043" s="138">
        <f>'Cap Outlay Deprec 26'!I16</f>
        <v>279877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77894</v>
      </c>
      <c r="D2047" s="2" t="str">
        <f t="shared" ref="D2047:D2110" si="31">IF(ISBLANK(B2047),"OK",IF(A2047-B2047=0,"OK","Error?"))</f>
        <v>Error?</v>
      </c>
    </row>
    <row r="2048" spans="1:4" x14ac:dyDescent="0.2">
      <c r="A2048" s="5">
        <v>1987</v>
      </c>
      <c r="B2048" s="138">
        <f>'Cap Outlay Deprec 26'!J13</f>
        <v>1620</v>
      </c>
      <c r="D2048" s="2" t="str">
        <f t="shared" si="31"/>
        <v>Error?</v>
      </c>
    </row>
    <row r="2049" spans="1:4" x14ac:dyDescent="0.2">
      <c r="A2049" s="5">
        <v>1988</v>
      </c>
      <c r="B2049" s="138">
        <f>'Cap Outlay Deprec 26'!J16</f>
        <v>79514</v>
      </c>
      <c r="C2049" s="2" t="s">
        <v>594</v>
      </c>
      <c r="D2049" s="2" t="str">
        <f t="shared" si="31"/>
        <v>Error?</v>
      </c>
    </row>
    <row r="2050" spans="1:4" x14ac:dyDescent="0.2">
      <c r="A2050" s="10">
        <v>1989</v>
      </c>
      <c r="D2050" s="2" t="str">
        <f t="shared" si="31"/>
        <v>OK</v>
      </c>
    </row>
    <row r="2051" spans="1:4" x14ac:dyDescent="0.2">
      <c r="A2051" s="5">
        <v>1990</v>
      </c>
      <c r="B2051" s="138">
        <f>'Cap Outlay Deprec 26'!K8</f>
        <v>2291242</v>
      </c>
      <c r="C2051" s="2" t="s">
        <v>594</v>
      </c>
      <c r="D2051" s="2" t="str">
        <f t="shared" si="31"/>
        <v>Error?</v>
      </c>
    </row>
    <row r="2052" spans="1:4" x14ac:dyDescent="0.2">
      <c r="A2052" s="5">
        <v>1991</v>
      </c>
      <c r="B2052" s="138">
        <f>'Cap Outlay Deprec 26'!K10</f>
        <v>392645</v>
      </c>
      <c r="C2052" s="2" t="s">
        <v>594</v>
      </c>
      <c r="D2052" s="2" t="str">
        <f t="shared" si="31"/>
        <v>Error?</v>
      </c>
    </row>
    <row r="2053" spans="1:4" x14ac:dyDescent="0.2">
      <c r="A2053" s="5">
        <v>1992</v>
      </c>
      <c r="B2053" s="138">
        <f>'Cap Outlay Deprec 26'!K12</f>
        <v>260181</v>
      </c>
      <c r="C2053" s="2" t="s">
        <v>594</v>
      </c>
      <c r="D2053" s="2" t="str">
        <f t="shared" si="31"/>
        <v>Error?</v>
      </c>
    </row>
    <row r="2054" spans="1:4" x14ac:dyDescent="0.2">
      <c r="A2054" s="5">
        <v>1993</v>
      </c>
      <c r="B2054" s="138">
        <f>'Cap Outlay Deprec 26'!K13</f>
        <v>4694</v>
      </c>
      <c r="C2054" s="2" t="s">
        <v>594</v>
      </c>
      <c r="D2054" s="2" t="str">
        <f t="shared" si="31"/>
        <v>Error?</v>
      </c>
    </row>
    <row r="2055" spans="1:4" x14ac:dyDescent="0.2">
      <c r="A2055" s="5">
        <v>1994</v>
      </c>
      <c r="B2055" s="138">
        <f>'Cap Outlay Deprec 26'!K16</f>
        <v>2948762</v>
      </c>
      <c r="C2055" s="2" t="s">
        <v>594</v>
      </c>
      <c r="D2055" s="2" t="str">
        <f t="shared" si="31"/>
        <v>Error?</v>
      </c>
    </row>
    <row r="2056" spans="1:4" x14ac:dyDescent="0.2">
      <c r="A2056" s="5">
        <v>1995</v>
      </c>
      <c r="B2056" s="138">
        <f>'Cap Outlay Deprec 26'!L5</f>
        <v>89214</v>
      </c>
      <c r="C2056" s="2" t="s">
        <v>594</v>
      </c>
      <c r="D2056" s="2" t="str">
        <f t="shared" si="31"/>
        <v>Error?</v>
      </c>
    </row>
    <row r="2057" spans="1:4" x14ac:dyDescent="0.2">
      <c r="A2057" s="5">
        <v>1996</v>
      </c>
      <c r="B2057" s="138">
        <f>'Cap Outlay Deprec 26'!L8</f>
        <v>4545495</v>
      </c>
      <c r="C2057" s="2" t="s">
        <v>594</v>
      </c>
      <c r="D2057" s="2" t="str">
        <f t="shared" si="31"/>
        <v>Error?</v>
      </c>
    </row>
    <row r="2058" spans="1:4" x14ac:dyDescent="0.2">
      <c r="A2058" s="5">
        <v>1997</v>
      </c>
      <c r="B2058" s="138">
        <f>'Cap Outlay Deprec 26'!L10</f>
        <v>705928</v>
      </c>
      <c r="C2058" s="2" t="s">
        <v>594</v>
      </c>
      <c r="D2058" s="2" t="str">
        <f t="shared" si="31"/>
        <v>Error?</v>
      </c>
    </row>
    <row r="2059" spans="1:4" x14ac:dyDescent="0.2">
      <c r="A2059" s="5">
        <v>1998</v>
      </c>
      <c r="B2059" s="138">
        <f>'Cap Outlay Deprec 26'!L12</f>
        <v>248470</v>
      </c>
      <c r="C2059" s="2" t="s">
        <v>594</v>
      </c>
      <c r="D2059" s="2" t="str">
        <f t="shared" si="31"/>
        <v>Error?</v>
      </c>
    </row>
    <row r="2060" spans="1:4" x14ac:dyDescent="0.2">
      <c r="A2060" s="5">
        <v>1999</v>
      </c>
      <c r="B2060" s="138">
        <f>'Cap Outlay Deprec 26'!L13</f>
        <v>9974</v>
      </c>
      <c r="C2060" s="2" t="s">
        <v>594</v>
      </c>
      <c r="D2060" s="2" t="str">
        <f t="shared" si="31"/>
        <v>Error?</v>
      </c>
    </row>
    <row r="2061" spans="1:4" x14ac:dyDescent="0.2">
      <c r="A2061" s="5">
        <v>2000</v>
      </c>
      <c r="B2061" s="138">
        <f>'Cap Outlay Deprec 26'!L16</f>
        <v>5623616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21459</v>
      </c>
      <c r="C2088" s="2" t="s">
        <v>594</v>
      </c>
      <c r="D2088" s="2" t="str">
        <f t="shared" si="31"/>
        <v>Error?</v>
      </c>
    </row>
    <row r="2089" spans="1:4" x14ac:dyDescent="0.2">
      <c r="A2089" s="5">
        <v>2028</v>
      </c>
      <c r="B2089" s="138">
        <f>'Expenditures 15-22'!K92</f>
        <v>21131</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55280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71896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1357125</v>
      </c>
      <c r="C2551" s="2" t="s">
        <v>594</v>
      </c>
      <c r="D2551" s="2" t="str">
        <f t="shared" si="38"/>
        <v>Error?</v>
      </c>
    </row>
    <row r="2552" spans="1:4" x14ac:dyDescent="0.2">
      <c r="A2552" s="10">
        <v>2491</v>
      </c>
      <c r="D2552" s="2" t="str">
        <f t="shared" si="38"/>
        <v>OK</v>
      </c>
    </row>
    <row r="2553" spans="1:4" x14ac:dyDescent="0.2">
      <c r="A2553" s="5">
        <v>2492</v>
      </c>
      <c r="B2553" s="138">
        <f>'Acct Summary 7-8'!C6</f>
        <v>2361090</v>
      </c>
      <c r="C2553" s="2" t="s">
        <v>594</v>
      </c>
      <c r="D2553" s="2" t="str">
        <f t="shared" si="38"/>
        <v>Error?</v>
      </c>
    </row>
    <row r="2554" spans="1:4" x14ac:dyDescent="0.2">
      <c r="A2554" s="5">
        <v>2493</v>
      </c>
      <c r="B2554" s="138">
        <f>'Acct Summary 7-8'!C7</f>
        <v>442972</v>
      </c>
      <c r="C2554" s="2" t="s">
        <v>594</v>
      </c>
      <c r="D2554" s="2" t="str">
        <f t="shared" si="38"/>
        <v>Error?</v>
      </c>
    </row>
    <row r="2555" spans="1:4" x14ac:dyDescent="0.2">
      <c r="A2555" s="5">
        <v>2494</v>
      </c>
      <c r="B2555" s="138">
        <f>'Acct Summary 7-8'!C8</f>
        <v>4161187</v>
      </c>
      <c r="C2555" s="2" t="s">
        <v>594</v>
      </c>
      <c r="D2555" s="2" t="str">
        <f t="shared" si="38"/>
        <v>Error?</v>
      </c>
    </row>
    <row r="2556" spans="1:4" x14ac:dyDescent="0.2">
      <c r="A2556" s="5">
        <v>2495</v>
      </c>
      <c r="B2556" s="138">
        <f>'Acct Summary 7-8'!C12</f>
        <v>2309111</v>
      </c>
      <c r="C2556" s="2" t="s">
        <v>594</v>
      </c>
      <c r="D2556" s="2" t="str">
        <f t="shared" si="38"/>
        <v>Error?</v>
      </c>
    </row>
    <row r="2557" spans="1:4" x14ac:dyDescent="0.2">
      <c r="A2557" s="5">
        <v>2496</v>
      </c>
      <c r="B2557" s="138">
        <f>'Acct Summary 7-8'!C13</f>
        <v>1000601</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42590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3352302</v>
      </c>
      <c r="C2561" s="2" t="s">
        <v>594</v>
      </c>
      <c r="D2561" s="2" t="str">
        <f t="shared" si="39"/>
        <v>Error?</v>
      </c>
    </row>
    <row r="2562" spans="1:4" x14ac:dyDescent="0.2">
      <c r="A2562" s="5">
        <v>2501</v>
      </c>
      <c r="B2562" s="138">
        <f>'Acct Summary 7-8'!C20</f>
        <v>808885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257281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257281</v>
      </c>
      <c r="C2568" s="2" t="s">
        <v>594</v>
      </c>
      <c r="D2568" s="2" t="str">
        <f t="shared" si="39"/>
        <v>Error?</v>
      </c>
    </row>
    <row r="2569" spans="1:4" x14ac:dyDescent="0.2">
      <c r="A2569" s="5">
        <v>2508</v>
      </c>
      <c r="B2569" s="138">
        <f>'Acct Summary 7-8'!D13</f>
        <v>201268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201268</v>
      </c>
      <c r="C2573" s="2" t="s">
        <v>594</v>
      </c>
      <c r="D2573" s="2" t="str">
        <f t="shared" si="39"/>
        <v>Error?</v>
      </c>
    </row>
    <row r="2574" spans="1:4" x14ac:dyDescent="0.2">
      <c r="A2574" s="5">
        <v>2513</v>
      </c>
      <c r="B2574" s="138">
        <f>'Acct Summary 7-8'!D20</f>
        <v>56013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106386</v>
      </c>
      <c r="C2591" s="2" t="s">
        <v>594</v>
      </c>
      <c r="D2591" s="2" t="str">
        <f t="shared" si="39"/>
        <v>Error?</v>
      </c>
    </row>
    <row r="2592" spans="1:4" x14ac:dyDescent="0.2">
      <c r="A2592" s="10">
        <v>2531</v>
      </c>
      <c r="D2592" s="2" t="str">
        <f t="shared" si="39"/>
        <v>OK</v>
      </c>
    </row>
    <row r="2593" spans="1:4" x14ac:dyDescent="0.2">
      <c r="A2593" s="5">
        <v>2532</v>
      </c>
      <c r="B2593" s="138">
        <f>'Acct Summary 7-8'!F6</f>
        <v>164242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270628</v>
      </c>
      <c r="C2595" s="2" t="s">
        <v>594</v>
      </c>
      <c r="D2595" s="2" t="str">
        <f t="shared" si="39"/>
        <v>Error?</v>
      </c>
    </row>
    <row r="2596" spans="1:4" x14ac:dyDescent="0.2">
      <c r="A2596" s="5">
        <v>2535</v>
      </c>
      <c r="B2596" s="138">
        <f>'Acct Summary 7-8'!F13</f>
        <v>327251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3453</v>
      </c>
      <c r="C2599" s="2" t="s">
        <v>594</v>
      </c>
      <c r="D2599" s="2" t="str">
        <f t="shared" si="39"/>
        <v>Error?</v>
      </c>
    </row>
    <row r="2600" spans="1:4" x14ac:dyDescent="0.2">
      <c r="A2600" s="5">
        <v>2539</v>
      </c>
      <c r="B2600" s="138">
        <f>'Acct Summary 7-8'!F17</f>
        <v>330704</v>
      </c>
      <c r="C2600" s="2" t="s">
        <v>594</v>
      </c>
      <c r="D2600" s="2" t="str">
        <f t="shared" si="39"/>
        <v>Error?</v>
      </c>
    </row>
    <row r="2601" spans="1:4" x14ac:dyDescent="0.2">
      <c r="A2601" s="5">
        <v>2540</v>
      </c>
      <c r="B2601" s="138">
        <f>'Acct Summary 7-8'!F20</f>
        <v>-60076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194869</v>
      </c>
      <c r="C2603" s="2" t="s">
        <v>594</v>
      </c>
      <c r="D2603" s="2" t="str">
        <f t="shared" si="39"/>
        <v>Error?</v>
      </c>
    </row>
    <row r="2604" spans="1:4" x14ac:dyDescent="0.2">
      <c r="A2604" s="5">
        <v>2543</v>
      </c>
      <c r="B2604" s="138">
        <f>'Acct Summary 7-8'!G6</f>
        <v>8470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203339</v>
      </c>
      <c r="C2606" s="2" t="s">
        <v>594</v>
      </c>
      <c r="D2606" s="2" t="str">
        <f t="shared" si="39"/>
        <v>Error?</v>
      </c>
    </row>
    <row r="2607" spans="1:4" x14ac:dyDescent="0.2">
      <c r="A2607" s="5">
        <v>2546</v>
      </c>
      <c r="B2607" s="138">
        <f>'Acct Summary 7-8'!G12</f>
        <v>47726</v>
      </c>
      <c r="C2607" s="2" t="s">
        <v>594</v>
      </c>
      <c r="D2607" s="2" t="str">
        <f t="shared" si="39"/>
        <v>Error?</v>
      </c>
    </row>
    <row r="2608" spans="1:4" x14ac:dyDescent="0.2">
      <c r="A2608" s="5">
        <v>2547</v>
      </c>
      <c r="B2608" s="138">
        <f>'Acct Summary 7-8'!G13</f>
        <v>88578</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136304</v>
      </c>
      <c r="C2612" s="2" t="s">
        <v>594</v>
      </c>
      <c r="D2612" s="2" t="str">
        <f t="shared" si="39"/>
        <v>Error?</v>
      </c>
    </row>
    <row r="2613" spans="1:4" x14ac:dyDescent="0.2">
      <c r="A2613" s="5">
        <v>2552</v>
      </c>
      <c r="B2613" s="138">
        <f>'Acct Summary 7-8'!G20</f>
        <v>67035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505445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505445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501404</v>
      </c>
      <c r="C2634" s="2" t="s">
        <v>594</v>
      </c>
      <c r="D2634" s="2" t="str">
        <f t="shared" si="40"/>
        <v>Error?</v>
      </c>
    </row>
    <row r="2635" spans="1:4" x14ac:dyDescent="0.2">
      <c r="A2635" s="5">
        <v>2574</v>
      </c>
      <c r="B2635" s="138">
        <f>'Acct Summary 7-8'!E17</f>
        <v>501404</v>
      </c>
      <c r="C2635" s="2" t="s">
        <v>594</v>
      </c>
      <c r="D2635" s="2" t="str">
        <f t="shared" si="40"/>
        <v>Error?</v>
      </c>
    </row>
    <row r="2636" spans="1:4" x14ac:dyDescent="0.2">
      <c r="A2636" s="5">
        <v>2575</v>
      </c>
      <c r="B2636" s="138">
        <f>'Acct Summary 7-8'!E20</f>
        <v>4041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2537</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1000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3537</v>
      </c>
      <c r="C2724" s="2" t="s">
        <v>594</v>
      </c>
      <c r="D2724" s="2" t="str">
        <f t="shared" si="41"/>
        <v>Error?</v>
      </c>
    </row>
    <row r="2725" spans="1:4" x14ac:dyDescent="0.2">
      <c r="A2725" s="5">
        <v>2664</v>
      </c>
      <c r="B2725" s="138">
        <f>'Expenditures 15-22'!D247</f>
        <v>410</v>
      </c>
      <c r="D2725" s="2" t="str">
        <f t="shared" si="41"/>
        <v>Error?</v>
      </c>
    </row>
    <row r="2726" spans="1:4" x14ac:dyDescent="0.2">
      <c r="A2726" s="5">
        <v>2665</v>
      </c>
      <c r="B2726" s="138">
        <f>'Expenditures 15-22'!K247</f>
        <v>410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21459</v>
      </c>
      <c r="C2789" s="2" t="s">
        <v>594</v>
      </c>
      <c r="D2789" s="2" t="str">
        <f t="shared" si="42"/>
        <v>Error?</v>
      </c>
    </row>
    <row r="2790" spans="1:4" x14ac:dyDescent="0.2">
      <c r="A2790" s="5">
        <v>2729</v>
      </c>
      <c r="B2790" s="138">
        <f>'Expenditures 15-22'!E102</f>
        <v>21459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24535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400000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849526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25000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105716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849526</v>
      </c>
      <c r="D2912" s="2" t="str">
        <f t="shared" si="44"/>
        <v>Error?</v>
      </c>
    </row>
    <row r="2913" spans="1:4" x14ac:dyDescent="0.2">
      <c r="A2913" s="5">
        <v>2852</v>
      </c>
      <c r="B2913" s="138">
        <f>'Assets-Liab 5-6'!I41</f>
        <v>849526</v>
      </c>
      <c r="C2913" s="2" t="s">
        <v>594</v>
      </c>
      <c r="D2913" s="2" t="str">
        <f t="shared" si="44"/>
        <v>Error?</v>
      </c>
    </row>
    <row r="2914" spans="1:4" x14ac:dyDescent="0.2">
      <c r="A2914" s="5">
        <v>2853</v>
      </c>
      <c r="B2914" s="138">
        <f>'Assets-Liab 5-6'!L33</f>
        <v>105716</v>
      </c>
      <c r="D2914" s="2" t="str">
        <f t="shared" si="44"/>
        <v>Error?</v>
      </c>
    </row>
    <row r="2915" spans="1:4" x14ac:dyDescent="0.2">
      <c r="A2915" s="10">
        <v>2854</v>
      </c>
      <c r="D2915" s="2" t="str">
        <f t="shared" si="44"/>
        <v>OK</v>
      </c>
    </row>
    <row r="2916" spans="1:4" x14ac:dyDescent="0.2">
      <c r="A2916" s="5">
        <v>2855</v>
      </c>
      <c r="B2916" s="138">
        <f>'Assets-Liab 5-6'!L34</f>
        <v>105716</v>
      </c>
      <c r="C2916" s="2" t="s">
        <v>594</v>
      </c>
      <c r="D2916" s="2" t="str">
        <f t="shared" si="44"/>
        <v>Error?</v>
      </c>
    </row>
    <row r="2917" spans="1:4" x14ac:dyDescent="0.2">
      <c r="A2917" s="5">
        <v>2856</v>
      </c>
      <c r="B2917" s="138">
        <f>'Assets-Liab 5-6'!L41</f>
        <v>105716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21459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21459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61324</v>
      </c>
      <c r="D3055" s="2" t="str">
        <f t="shared" si="46"/>
        <v>Error?</v>
      </c>
    </row>
    <row r="3056" spans="1:4" x14ac:dyDescent="0.2">
      <c r="A3056" s="5">
        <v>2995</v>
      </c>
      <c r="B3056" s="138">
        <f>'Expenditures 15-22'!D10</f>
        <v>21146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82470</v>
      </c>
      <c r="C3062" s="2" t="s">
        <v>594</v>
      </c>
      <c r="D3062" s="2" t="str">
        <f t="shared" si="46"/>
        <v>Error?</v>
      </c>
    </row>
    <row r="3063" spans="1:4" x14ac:dyDescent="0.2">
      <c r="A3063" s="10">
        <v>3002</v>
      </c>
      <c r="D3063" s="2" t="str">
        <f t="shared" si="46"/>
        <v>OK</v>
      </c>
    </row>
    <row r="3064" spans="1:4" x14ac:dyDescent="0.2">
      <c r="A3064" s="5">
        <v>3003</v>
      </c>
      <c r="B3064" s="138">
        <f>'Expenditures 15-22'!D219</f>
        <v>848</v>
      </c>
      <c r="D3064" s="2" t="str">
        <f t="shared" si="46"/>
        <v>Error?</v>
      </c>
    </row>
    <row r="3065" spans="1:4" x14ac:dyDescent="0.2">
      <c r="A3065" s="5">
        <v>3004</v>
      </c>
      <c r="B3065" s="138">
        <f>'Expenditures 15-22'!K219</f>
        <v>848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25698</v>
      </c>
      <c r="C3225" s="2" t="s">
        <v>594</v>
      </c>
      <c r="D3225" s="2" t="str">
        <f t="shared" si="49"/>
        <v>Error?</v>
      </c>
    </row>
    <row r="3226" spans="1:4" x14ac:dyDescent="0.2">
      <c r="A3226" s="5">
        <v>3165</v>
      </c>
      <c r="B3226" s="138">
        <f>'Acct Summary 7-8'!I8</f>
        <v>25698</v>
      </c>
      <c r="C3226" s="2" t="s">
        <v>594</v>
      </c>
      <c r="D3226" s="2" t="str">
        <f t="shared" si="49"/>
        <v>Error?</v>
      </c>
    </row>
    <row r="3227" spans="1:4" x14ac:dyDescent="0.2">
      <c r="A3227" s="5">
        <v>3166</v>
      </c>
      <c r="B3227" s="138">
        <f>'Acct Summary 7-8'!I20</f>
        <v>25698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808885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56013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10728</v>
      </c>
      <c r="D3251" s="2" t="str">
        <f t="shared" si="49"/>
        <v>Error?</v>
      </c>
    </row>
    <row r="3252" spans="1:4" x14ac:dyDescent="0.2">
      <c r="A3252" s="5">
        <v>3191</v>
      </c>
      <c r="B3252" s="138">
        <f>'Acct Summary 7-8'!F44</f>
        <v>10728</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10728</v>
      </c>
      <c r="C3255" s="2" t="s">
        <v>594</v>
      </c>
      <c r="D3255" s="2" t="str">
        <f t="shared" si="49"/>
        <v>Error?</v>
      </c>
    </row>
    <row r="3256" spans="1:4" x14ac:dyDescent="0.2">
      <c r="A3256" s="5">
        <v>3195</v>
      </c>
      <c r="B3256" s="138">
        <f>'Acct Summary 7-8'!F78</f>
        <v>-49348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67035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4041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25698</v>
      </c>
      <c r="C3320" s="2" t="s">
        <v>594</v>
      </c>
      <c r="D3320" s="2" t="str">
        <f t="shared" si="50"/>
        <v>Error?</v>
      </c>
    </row>
    <row r="3321" spans="1:4" x14ac:dyDescent="0.2">
      <c r="A3321" s="5">
        <v>3260</v>
      </c>
      <c r="B3321" s="138">
        <f>'Acct Summary 7-8'!I79</f>
        <v>823828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849526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324915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50362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3213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1413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1597</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381500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14327</v>
      </c>
      <c r="D3387" s="2" t="str">
        <f t="shared" si="51"/>
        <v>Error?</v>
      </c>
    </row>
    <row r="3388" spans="1:4" x14ac:dyDescent="0.2">
      <c r="A3388" s="5">
        <v>3327</v>
      </c>
      <c r="B3388" s="138">
        <f>'Expenditures 15-22'!D217</f>
        <v>23705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14327</v>
      </c>
      <c r="C3390" s="2" t="s">
        <v>594</v>
      </c>
      <c r="D3390" s="2" t="str">
        <f t="shared" si="51"/>
        <v>Error?</v>
      </c>
    </row>
    <row r="3391" spans="1:4" x14ac:dyDescent="0.2">
      <c r="A3391" s="5">
        <v>3330</v>
      </c>
      <c r="B3391" s="138">
        <f>'Expenditures 15-22'!K217</f>
        <v>23705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1124151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229707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168037</v>
      </c>
      <c r="D3417" s="2" t="str">
        <f t="shared" si="52"/>
        <v>Error?</v>
      </c>
    </row>
    <row r="3418" spans="1:4" x14ac:dyDescent="0.2">
      <c r="A3418" s="10">
        <v>3357</v>
      </c>
      <c r="D3418" s="2" t="str">
        <f t="shared" si="52"/>
        <v>OK</v>
      </c>
    </row>
    <row r="3419" spans="1:4" x14ac:dyDescent="0.2">
      <c r="A3419" s="5">
        <v>3358</v>
      </c>
      <c r="B3419" s="138">
        <f>'Assets-Liab 5-6'!F4</f>
        <v>225067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240287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449526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80716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114718</v>
      </c>
      <c r="C3446" s="2" t="s">
        <v>594</v>
      </c>
      <c r="D3446" s="2" t="str">
        <f t="shared" si="52"/>
        <v>Error?</v>
      </c>
    </row>
    <row r="3447" spans="1:4" x14ac:dyDescent="0.2">
      <c r="A3447" s="5">
        <v>3386</v>
      </c>
      <c r="B3447" s="138">
        <f>'Tax Sched 23'!D16</f>
        <v>114718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115009</v>
      </c>
      <c r="C3449" s="2" t="s">
        <v>594</v>
      </c>
      <c r="D3449" s="2" t="str">
        <f t="shared" si="52"/>
        <v>Error?</v>
      </c>
    </row>
    <row r="3450" spans="1:4" x14ac:dyDescent="0.2">
      <c r="A3450" s="5">
        <v>3389</v>
      </c>
      <c r="B3450" s="138">
        <f>'Tax Sched 23'!E16</f>
        <v>115009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24535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24535</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24535</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386466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263176</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649642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400000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249642</v>
      </c>
      <c r="D3567" s="2" t="str">
        <f t="shared" si="54"/>
        <v>Error?</v>
      </c>
    </row>
    <row r="3568" spans="1:4" x14ac:dyDescent="0.2">
      <c r="A3568" s="5">
        <v>3507</v>
      </c>
      <c r="B3568" s="138">
        <f>'Assets-Liab 5-6'!K41</f>
        <v>649642</v>
      </c>
      <c r="C3568" s="2" t="s">
        <v>594</v>
      </c>
      <c r="D3568" s="2" t="str">
        <f t="shared" si="54"/>
        <v>Error?</v>
      </c>
    </row>
    <row r="3569" spans="1:4" x14ac:dyDescent="0.2">
      <c r="A3569" s="5">
        <v>3508</v>
      </c>
      <c r="B3569" s="138">
        <f>'Acct Summary 7-8'!K4</f>
        <v>34937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34937</v>
      </c>
      <c r="C3571" s="2" t="s">
        <v>594</v>
      </c>
      <c r="D3571" s="2" t="str">
        <f t="shared" si="54"/>
        <v>Error?</v>
      </c>
    </row>
    <row r="3572" spans="1:4" x14ac:dyDescent="0.2">
      <c r="A3572" s="5">
        <v>3511</v>
      </c>
      <c r="B3572" s="138">
        <f>'Acct Summary 7-8'!K13</f>
        <v>126730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126730</v>
      </c>
      <c r="C3575" s="2" t="s">
        <v>594</v>
      </c>
      <c r="D3575" s="2" t="str">
        <f t="shared" si="54"/>
        <v>Error?</v>
      </c>
    </row>
    <row r="3576" spans="1:4" x14ac:dyDescent="0.2">
      <c r="A3576" s="5">
        <v>3515</v>
      </c>
      <c r="B3576" s="138">
        <f>'Acct Summary 7-8'!K20</f>
        <v>-91793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-91793</v>
      </c>
      <c r="C3588" s="2" t="s">
        <v>594</v>
      </c>
      <c r="D3588" s="2" t="str">
        <f t="shared" si="55"/>
        <v>Error?</v>
      </c>
    </row>
    <row r="3589" spans="1:4" x14ac:dyDescent="0.2">
      <c r="A3589" s="5">
        <v>3528</v>
      </c>
      <c r="B3589" s="138">
        <f>'Acct Summary 7-8'!K79</f>
        <v>341435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249642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9975</v>
      </c>
      <c r="D3632" s="2" t="str">
        <f t="shared" si="55"/>
        <v>Error?</v>
      </c>
    </row>
    <row r="3633" spans="1:4" x14ac:dyDescent="0.2">
      <c r="A3633" s="5">
        <v>3572</v>
      </c>
      <c r="B3633" s="138">
        <f>'Expenditures 15-22'!E350</f>
        <v>9975</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9975</v>
      </c>
      <c r="C3635" s="2" t="s">
        <v>594</v>
      </c>
      <c r="D3635" s="2" t="str">
        <f t="shared" si="55"/>
        <v>Error?</v>
      </c>
    </row>
    <row r="3636" spans="1:4" x14ac:dyDescent="0.2">
      <c r="A3636" s="5">
        <v>3575</v>
      </c>
      <c r="B3636" s="138">
        <f>'Expenditures 15-22'!E367</f>
        <v>9975</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358</v>
      </c>
      <c r="D3639" s="2" t="str">
        <f t="shared" si="55"/>
        <v>Error?</v>
      </c>
    </row>
    <row r="3640" spans="1:4" x14ac:dyDescent="0.2">
      <c r="A3640" s="5">
        <v>3579</v>
      </c>
      <c r="B3640" s="138">
        <f>'Expenditures 15-22'!F350</f>
        <v>358</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358</v>
      </c>
      <c r="C3642" s="2" t="s">
        <v>594</v>
      </c>
      <c r="D3642" s="2" t="str">
        <f t="shared" si="55"/>
        <v>Error?</v>
      </c>
    </row>
    <row r="3643" spans="1:4" x14ac:dyDescent="0.2">
      <c r="A3643" s="5">
        <v>3582</v>
      </c>
      <c r="B3643" s="138">
        <f>'Expenditures 15-22'!F367</f>
        <v>358</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116397</v>
      </c>
      <c r="D3646" s="2" t="str">
        <f t="shared" si="55"/>
        <v>Error?</v>
      </c>
    </row>
    <row r="3647" spans="1:4" x14ac:dyDescent="0.2">
      <c r="A3647" s="5">
        <v>3586</v>
      </c>
      <c r="B3647" s="138">
        <f>'Expenditures 15-22'!G350</f>
        <v>116397</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116397</v>
      </c>
      <c r="C3649" s="2" t="s">
        <v>594</v>
      </c>
      <c r="D3649" s="2" t="str">
        <f t="shared" si="56"/>
        <v>Error?</v>
      </c>
    </row>
    <row r="3650" spans="1:4" x14ac:dyDescent="0.2">
      <c r="A3650" s="5">
        <v>3589</v>
      </c>
      <c r="B3650" s="138">
        <f>'Expenditures 15-22'!G367</f>
        <v>116397</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126730</v>
      </c>
      <c r="C3669" s="2" t="s">
        <v>594</v>
      </c>
      <c r="D3669" s="2" t="str">
        <f t="shared" si="56"/>
        <v>Error?</v>
      </c>
    </row>
    <row r="3670" spans="1:4" x14ac:dyDescent="0.2">
      <c r="A3670" s="5">
        <v>3609</v>
      </c>
      <c r="B3670" s="138">
        <f>'Expenditures 15-22'!K350</f>
        <v>126730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126730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126730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-91793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25652</v>
      </c>
      <c r="C3725" s="2" t="s">
        <v>594</v>
      </c>
      <c r="D3725" s="2" t="str">
        <f t="shared" si="57"/>
        <v>Error?</v>
      </c>
    </row>
    <row r="3726" spans="1:4" x14ac:dyDescent="0.2">
      <c r="A3726" s="5">
        <v>3665</v>
      </c>
      <c r="B3726" s="138">
        <f>'Tax Sched 23'!D13</f>
        <v>25652</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27431</v>
      </c>
      <c r="C3728" s="2" t="s">
        <v>594</v>
      </c>
      <c r="D3728" s="2" t="str">
        <f t="shared" si="57"/>
        <v>Error?</v>
      </c>
    </row>
    <row r="3729" spans="1:4" x14ac:dyDescent="0.2">
      <c r="A3729" s="5">
        <v>3668</v>
      </c>
      <c r="B3729" s="138">
        <f>'Tax Sched 23'!E13</f>
        <v>27431</v>
      </c>
      <c r="D3729" s="2" t="str">
        <f t="shared" si="57"/>
        <v>Error?</v>
      </c>
    </row>
    <row r="3730" spans="1:4" x14ac:dyDescent="0.2">
      <c r="A3730" s="5">
        <v>3669</v>
      </c>
      <c r="B3730" s="138">
        <f>'ICR Computation 30'!E10</f>
        <v>108235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1603274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5764461</v>
      </c>
      <c r="C4122" s="2" t="s">
        <v>594</v>
      </c>
      <c r="D4122" s="2" t="str">
        <f t="shared" si="63"/>
        <v>Error?</v>
      </c>
    </row>
    <row r="4123" spans="1:4" x14ac:dyDescent="0.2">
      <c r="A4123" s="5">
        <v>4062</v>
      </c>
      <c r="B4123" s="138">
        <f>'Acct Summary 7-8'!D10</f>
        <v>257281</v>
      </c>
      <c r="C4123" s="2" t="s">
        <v>594</v>
      </c>
      <c r="D4123" s="2" t="str">
        <f t="shared" si="63"/>
        <v>Error?</v>
      </c>
    </row>
    <row r="4124" spans="1:4" x14ac:dyDescent="0.2">
      <c r="A4124" s="5">
        <v>4063</v>
      </c>
      <c r="B4124" s="138">
        <f>'Acct Summary 7-8'!E10</f>
        <v>505445</v>
      </c>
      <c r="C4124" s="2" t="s">
        <v>594</v>
      </c>
      <c r="D4124" s="2" t="str">
        <f t="shared" si="63"/>
        <v>Error?</v>
      </c>
    </row>
    <row r="4125" spans="1:4" x14ac:dyDescent="0.2">
      <c r="A4125" s="5">
        <v>4064</v>
      </c>
      <c r="B4125" s="138">
        <f>'Acct Summary 7-8'!F10</f>
        <v>270628</v>
      </c>
      <c r="C4125" s="2" t="s">
        <v>594</v>
      </c>
      <c r="D4125" s="2" t="str">
        <f t="shared" si="63"/>
        <v>Error?</v>
      </c>
    </row>
    <row r="4126" spans="1:4" x14ac:dyDescent="0.2">
      <c r="A4126" s="5">
        <v>4065</v>
      </c>
      <c r="B4126" s="138">
        <f>'Acct Summary 7-8'!G10</f>
        <v>203339</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25698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34937</v>
      </c>
      <c r="C4130" s="2" t="s">
        <v>594</v>
      </c>
      <c r="D4130" s="2" t="str">
        <f t="shared" si="63"/>
        <v>Error?</v>
      </c>
    </row>
    <row r="4131" spans="1:4" x14ac:dyDescent="0.2">
      <c r="A4131" s="5">
        <v>4070</v>
      </c>
      <c r="B4131" s="138">
        <f>'Acct Summary 7-8'!C18</f>
        <v>1603274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4955576</v>
      </c>
      <c r="C4136" s="2" t="s">
        <v>594</v>
      </c>
      <c r="D4136" s="2" t="str">
        <f t="shared" si="63"/>
        <v>Error?</v>
      </c>
    </row>
    <row r="4137" spans="1:4" x14ac:dyDescent="0.2">
      <c r="A4137" s="5">
        <v>4076</v>
      </c>
      <c r="B4137" s="138">
        <f>'Acct Summary 7-8'!D19</f>
        <v>201268</v>
      </c>
      <c r="C4137" s="2" t="s">
        <v>594</v>
      </c>
      <c r="D4137" s="2" t="str">
        <f t="shared" si="63"/>
        <v>Error?</v>
      </c>
    </row>
    <row r="4138" spans="1:4" x14ac:dyDescent="0.2">
      <c r="A4138" s="5">
        <v>4077</v>
      </c>
      <c r="B4138" s="138">
        <f>'Acct Summary 7-8'!E19</f>
        <v>501404</v>
      </c>
      <c r="C4138" s="2" t="s">
        <v>594</v>
      </c>
      <c r="D4138" s="2" t="str">
        <f t="shared" si="63"/>
        <v>Error?</v>
      </c>
    </row>
    <row r="4139" spans="1:4" x14ac:dyDescent="0.2">
      <c r="A4139" s="5">
        <v>4078</v>
      </c>
      <c r="B4139" s="138">
        <f>'Acct Summary 7-8'!F19</f>
        <v>330704</v>
      </c>
      <c r="C4139" s="2" t="s">
        <v>594</v>
      </c>
      <c r="D4139" s="2" t="str">
        <f t="shared" si="63"/>
        <v>Error?</v>
      </c>
    </row>
    <row r="4140" spans="1:4" x14ac:dyDescent="0.2">
      <c r="A4140" s="5">
        <v>4079</v>
      </c>
      <c r="B4140" s="138">
        <f>'Acct Summary 7-8'!G19</f>
        <v>136304</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126730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2513365</v>
      </c>
      <c r="C4171" s="2" t="s">
        <v>594</v>
      </c>
      <c r="D4171" s="2" t="str">
        <f t="shared" si="64"/>
        <v>Error?</v>
      </c>
    </row>
    <row r="4172" spans="1:4" x14ac:dyDescent="0.2">
      <c r="A4172" s="5">
        <v>4111</v>
      </c>
      <c r="B4172" s="138">
        <f>'Short-Term Long-Term Debt 24'!J49</f>
        <v>2345328</v>
      </c>
      <c r="C4172" s="2" t="s">
        <v>594</v>
      </c>
      <c r="D4172" s="2" t="str">
        <f t="shared" si="64"/>
        <v>Error?</v>
      </c>
    </row>
    <row r="4173" spans="1:4" x14ac:dyDescent="0.2">
      <c r="A4173" s="5">
        <v>4112</v>
      </c>
      <c r="B4173" s="138">
        <f>'Short-Term Long-Term Debt 24'!H49</f>
        <v>429663</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3163</v>
      </c>
      <c r="D4210" s="2" t="str">
        <f t="shared" si="64"/>
        <v>Error?</v>
      </c>
    </row>
    <row r="4211" spans="1:4" x14ac:dyDescent="0.2">
      <c r="A4211" s="5">
        <v>4150</v>
      </c>
      <c r="B4211" s="138">
        <f>'Expenditures 15-22'!K206</f>
        <v>3163</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1969.9999999999998</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2670</v>
      </c>
      <c r="C4268" s="2" t="s">
        <v>594</v>
      </c>
      <c r="D4268" s="2" t="str">
        <f t="shared" si="65"/>
        <v>Error?</v>
      </c>
    </row>
    <row r="4269" spans="1:5" x14ac:dyDescent="0.2">
      <c r="A4269" s="12">
        <v>4208</v>
      </c>
      <c r="B4269" s="138">
        <f>'FP Info 3'!J16</f>
        <v>3428371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5040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40569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38342</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38342</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17659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54862960</v>
      </c>
      <c r="D4995" s="2" t="str">
        <f t="shared" si="77"/>
        <v>Error?</v>
      </c>
    </row>
    <row r="4996" spans="1:4" x14ac:dyDescent="0.2">
      <c r="A4996" s="12">
        <v>4935</v>
      </c>
      <c r="B4996" s="138">
        <f>'FP Info 3'!H31</f>
        <v>7571088.4800000004</v>
      </c>
      <c r="D4996" s="2" t="str">
        <f t="shared" si="77"/>
        <v>Error?</v>
      </c>
    </row>
    <row r="4997" spans="1:4" x14ac:dyDescent="0.2">
      <c r="A4997" s="12">
        <v>4936</v>
      </c>
      <c r="B4997" s="138">
        <f>'FP Info 3'!H37</f>
        <v>2513365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25652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1010751</v>
      </c>
      <c r="D5061" s="2" t="str">
        <f t="shared" si="78"/>
        <v>Error?</v>
      </c>
    </row>
    <row r="5062" spans="1:4" x14ac:dyDescent="0.2">
      <c r="A5062" s="10">
        <v>5001</v>
      </c>
      <c r="D5062" s="2" t="str">
        <f t="shared" si="78"/>
        <v>OK</v>
      </c>
    </row>
    <row r="5063" spans="1:4" x14ac:dyDescent="0.2">
      <c r="A5063" s="5">
        <v>5002</v>
      </c>
      <c r="B5063" s="138">
        <f>'Revenues 9-14'!C7</f>
        <v>20522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1056925</v>
      </c>
      <c r="C5066" s="2" t="s">
        <v>594</v>
      </c>
      <c r="D5066" s="2" t="str">
        <f t="shared" si="78"/>
        <v>Error?</v>
      </c>
    </row>
    <row r="5067" spans="1:4" x14ac:dyDescent="0.2">
      <c r="A5067" s="5">
        <v>5006</v>
      </c>
      <c r="B5067" s="138">
        <f>'Revenues 9-14'!C14</f>
        <v>46</v>
      </c>
      <c r="D5067" s="2" t="str">
        <f t="shared" si="78"/>
        <v>Error?</v>
      </c>
    </row>
    <row r="5068" spans="1:4" x14ac:dyDescent="0.2">
      <c r="A5068" s="5">
        <v>5007</v>
      </c>
      <c r="B5068" s="138">
        <f>'Revenues 9-14'!C15</f>
        <v>1345</v>
      </c>
      <c r="D5068" s="2" t="str">
        <f t="shared" si="78"/>
        <v>Error?</v>
      </c>
    </row>
    <row r="5069" spans="1:4" x14ac:dyDescent="0.2">
      <c r="A5069" s="5">
        <v>5008</v>
      </c>
      <c r="B5069" s="138">
        <f>'Revenues 9-14'!C16</f>
        <v>35720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37111</v>
      </c>
      <c r="C5071" s="2" t="s">
        <v>594</v>
      </c>
      <c r="D5071" s="2" t="str">
        <f t="shared" si="78"/>
        <v>Error?</v>
      </c>
    </row>
    <row r="5072" spans="1:4" x14ac:dyDescent="0.2">
      <c r="A5072" s="5">
        <v>5011</v>
      </c>
      <c r="B5072" s="138">
        <f>'Revenues 9-14'!C20</f>
        <v>6849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1188</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8037</v>
      </c>
      <c r="C5087" s="2" t="s">
        <v>594</v>
      </c>
      <c r="D5087" s="2" t="str">
        <f t="shared" si="78"/>
        <v>Error?</v>
      </c>
    </row>
    <row r="5088" spans="1:4" x14ac:dyDescent="0.2">
      <c r="A5088" s="5">
        <v>5027</v>
      </c>
      <c r="B5088" s="138">
        <f>'Revenues 9-14'!C65</f>
        <v>14414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14414</v>
      </c>
      <c r="C5090" s="2" t="s">
        <v>594</v>
      </c>
      <c r="D5090" s="2" t="str">
        <f t="shared" si="78"/>
        <v>Error?</v>
      </c>
    </row>
    <row r="5091" spans="1:4" x14ac:dyDescent="0.2">
      <c r="A5091" s="5">
        <v>5030</v>
      </c>
      <c r="B5091" s="138">
        <f>'Revenues 9-14'!C70</f>
        <v>5485</v>
      </c>
      <c r="D5091" s="2" t="str">
        <f t="shared" si="78"/>
        <v>Error?</v>
      </c>
    </row>
    <row r="5092" spans="1:4" x14ac:dyDescent="0.2">
      <c r="A5092" s="5">
        <v>5031</v>
      </c>
      <c r="B5092" s="138">
        <f>'Revenues 9-14'!C71</f>
        <v>27353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8335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97749</v>
      </c>
      <c r="C5096" s="2" t="s">
        <v>594</v>
      </c>
      <c r="D5096" s="2" t="str">
        <f t="shared" si="78"/>
        <v>Error?</v>
      </c>
    </row>
    <row r="5097" spans="1:4" x14ac:dyDescent="0.2">
      <c r="A5097" s="5">
        <v>5036</v>
      </c>
      <c r="B5097" s="138">
        <f>'Revenues 9-14'!C77</f>
        <v>28412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5725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34137</v>
      </c>
      <c r="C5102" s="2" t="s">
        <v>594</v>
      </c>
      <c r="D5102" s="2" t="str">
        <f t="shared" si="78"/>
        <v>Error?</v>
      </c>
    </row>
    <row r="5103" spans="1:4" x14ac:dyDescent="0.2">
      <c r="A5103" s="5">
        <v>5042</v>
      </c>
      <c r="B5103" s="138">
        <f>'Revenues 9-14'!C84</f>
        <v>34444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34444</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58917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200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8096</v>
      </c>
      <c r="D5119" s="2" t="str">
        <f t="shared" ref="D5119:D5182" si="79">IF(ISBLANK(B5119),"OK",IF(A5119-B5119=0,"OK","Error?"))</f>
        <v>Error?</v>
      </c>
    </row>
    <row r="5120" spans="1:4" x14ac:dyDescent="0.2">
      <c r="A5120" s="5">
        <v>5059</v>
      </c>
      <c r="B5120" s="138">
        <f>'Revenues 9-14'!C108</f>
        <v>74308</v>
      </c>
      <c r="C5120" s="2" t="s">
        <v>594</v>
      </c>
      <c r="D5120" s="2" t="str">
        <f t="shared" si="79"/>
        <v>Error?</v>
      </c>
    </row>
    <row r="5121" spans="1:4" x14ac:dyDescent="0.2">
      <c r="A5121" s="5">
        <v>5060</v>
      </c>
      <c r="B5121" s="138">
        <f>'Revenues 9-14'!C109</f>
        <v>1357125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2083887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2083887</v>
      </c>
      <c r="C5132" s="2" t="s">
        <v>594</v>
      </c>
      <c r="D5132" s="2" t="str">
        <f t="shared" si="79"/>
        <v>Error?</v>
      </c>
    </row>
    <row r="5133" spans="1:4" x14ac:dyDescent="0.2">
      <c r="A5133" s="5">
        <v>5072</v>
      </c>
      <c r="B5133" s="138">
        <f>'Revenues 9-14'!C124</f>
        <v>76064</v>
      </c>
      <c r="D5133" s="2" t="str">
        <f t="shared" si="79"/>
        <v>Error?</v>
      </c>
    </row>
    <row r="5134" spans="1:4" x14ac:dyDescent="0.2">
      <c r="A5134" s="5">
        <v>5073</v>
      </c>
      <c r="B5134" s="138">
        <f>'Revenues 9-14'!C125</f>
        <v>34896</v>
      </c>
      <c r="D5134" s="2" t="str">
        <f t="shared" si="79"/>
        <v>Error?</v>
      </c>
    </row>
    <row r="5135" spans="1:4" x14ac:dyDescent="0.2">
      <c r="A5135" s="5">
        <v>5074</v>
      </c>
      <c r="B5135" s="138">
        <f>'Revenues 9-14'!C126</f>
        <v>37392</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1599</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149951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12103</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17475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1989</v>
      </c>
      <c r="D5167" s="2" t="str">
        <f t="shared" si="79"/>
        <v>Error?</v>
      </c>
    </row>
    <row r="5168" spans="1:4" x14ac:dyDescent="0.2">
      <c r="A5168" s="5">
        <v>5107</v>
      </c>
      <c r="B5168" s="138">
        <f>'Revenues 9-14'!C147</f>
        <v>7297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98991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277203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2361090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118848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30677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149525</v>
      </c>
      <c r="C5246" s="2" t="s">
        <v>594</v>
      </c>
      <c r="D5246" s="2" t="str">
        <f t="shared" si="80"/>
        <v>Error?</v>
      </c>
    </row>
    <row r="5247" spans="1:4" x14ac:dyDescent="0.2">
      <c r="A5247" s="5">
        <v>5186</v>
      </c>
      <c r="B5247" s="138">
        <f>'Revenues 9-14'!C203</f>
        <v>84876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84876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6597</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100364</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106961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442972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442972</v>
      </c>
      <c r="C5326" s="2" t="s">
        <v>594</v>
      </c>
      <c r="D5326" s="2" t="str">
        <f t="shared" si="82"/>
        <v>Error?</v>
      </c>
    </row>
    <row r="5327" spans="1:4" x14ac:dyDescent="0.2">
      <c r="A5327" s="5">
        <v>5266</v>
      </c>
      <c r="B5327" s="138">
        <f>'Revenues 9-14'!C275</f>
        <v>4161187</v>
      </c>
      <c r="C5327" s="2" t="s">
        <v>594</v>
      </c>
      <c r="D5327" s="2" t="str">
        <f t="shared" si="82"/>
        <v>Error?</v>
      </c>
    </row>
    <row r="5328" spans="1:4" x14ac:dyDescent="0.2">
      <c r="A5328" s="5">
        <v>5267</v>
      </c>
      <c r="B5328" s="138">
        <f>'Revenues 9-14'!D5</f>
        <v>256535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256535</v>
      </c>
      <c r="C5334" s="2" t="s">
        <v>594</v>
      </c>
      <c r="D5334" s="2" t="str">
        <f t="shared" si="82"/>
        <v>Error?</v>
      </c>
    </row>
    <row r="5335" spans="1:4" x14ac:dyDescent="0.2">
      <c r="A5335" s="5">
        <v>5274</v>
      </c>
      <c r="B5335" s="138">
        <f>'Revenues 9-14'!D14</f>
        <v>11</v>
      </c>
      <c r="D5335" s="2" t="str">
        <f t="shared" si="82"/>
        <v>Error?</v>
      </c>
    </row>
    <row r="5336" spans="1:4" x14ac:dyDescent="0.2">
      <c r="A5336" s="5">
        <v>5275</v>
      </c>
      <c r="B5336" s="138">
        <f>'Revenues 9-14'!D15</f>
        <v>327</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338</v>
      </c>
      <c r="C5339" s="2" t="s">
        <v>594</v>
      </c>
      <c r="D5339" s="2" t="str">
        <f t="shared" si="82"/>
        <v>Error?</v>
      </c>
    </row>
    <row r="5340" spans="1:4" x14ac:dyDescent="0.2">
      <c r="A5340" s="5">
        <v>5279</v>
      </c>
      <c r="B5340" s="138">
        <f>'Revenues 9-14'!D65</f>
        <v>120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120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230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9</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49</v>
      </c>
      <c r="D5354" s="2" t="str">
        <f t="shared" si="82"/>
        <v>Error?</v>
      </c>
    </row>
    <row r="5355" spans="1:4" x14ac:dyDescent="0.2">
      <c r="A5355" s="5">
        <v>5294</v>
      </c>
      <c r="B5355" s="138">
        <f>'Revenues 9-14'!D108</f>
        <v>288</v>
      </c>
      <c r="C5355" s="2" t="s">
        <v>594</v>
      </c>
      <c r="D5355" s="2" t="str">
        <f t="shared" si="82"/>
        <v>Error?</v>
      </c>
    </row>
    <row r="5356" spans="1:4" x14ac:dyDescent="0.2">
      <c r="A5356" s="5">
        <v>5295</v>
      </c>
      <c r="B5356" s="138">
        <f>'Revenues 9-14'!D109</f>
        <v>257281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257281</v>
      </c>
      <c r="C5508" s="2" t="s">
        <v>594</v>
      </c>
      <c r="D5508" s="2" t="str">
        <f t="shared" si="85"/>
        <v>Error?</v>
      </c>
    </row>
    <row r="5509" spans="1:4" x14ac:dyDescent="0.2">
      <c r="A5509" s="5">
        <v>5448</v>
      </c>
      <c r="B5509" s="138">
        <f>'Revenues 9-14'!E5</f>
        <v>504544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504544</v>
      </c>
      <c r="C5513" s="2" t="s">
        <v>594</v>
      </c>
      <c r="D5513" s="2" t="str">
        <f t="shared" si="85"/>
        <v>Error?</v>
      </c>
    </row>
    <row r="5514" spans="1:4" x14ac:dyDescent="0.2">
      <c r="A5514" s="5">
        <v>5453</v>
      </c>
      <c r="B5514" s="138">
        <f>'Revenues 9-14'!E14</f>
        <v>22</v>
      </c>
      <c r="D5514" s="2" t="str">
        <f t="shared" si="85"/>
        <v>Error?</v>
      </c>
    </row>
    <row r="5515" spans="1:4" x14ac:dyDescent="0.2">
      <c r="A5515" s="5">
        <v>5454</v>
      </c>
      <c r="B5515" s="138">
        <f>'Revenues 9-14'!E15</f>
        <v>642</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664</v>
      </c>
      <c r="C5518" s="2" t="s">
        <v>594</v>
      </c>
      <c r="D5518" s="2" t="str">
        <f t="shared" si="85"/>
        <v>Error?</v>
      </c>
    </row>
    <row r="5519" spans="1:4" x14ac:dyDescent="0.2">
      <c r="A5519" s="5">
        <v>5458</v>
      </c>
      <c r="B5519" s="138">
        <f>'Revenues 9-14'!E65</f>
        <v>237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237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505445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505445</v>
      </c>
      <c r="C5552" s="2" t="s">
        <v>594</v>
      </c>
      <c r="D5552" s="2" t="str">
        <f t="shared" si="85"/>
        <v>Error?</v>
      </c>
    </row>
    <row r="5553" spans="1:4" x14ac:dyDescent="0.2">
      <c r="A5553" s="5">
        <v>5492</v>
      </c>
      <c r="B5553" s="138">
        <f>'Revenues 9-14'!F5</f>
        <v>102615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102615</v>
      </c>
      <c r="C5557" s="2" t="s">
        <v>594</v>
      </c>
      <c r="D5557" s="2" t="str">
        <f t="shared" si="85"/>
        <v>Error?</v>
      </c>
    </row>
    <row r="5558" spans="1:4" x14ac:dyDescent="0.2">
      <c r="A5558" s="5">
        <v>5497</v>
      </c>
      <c r="B5558" s="138">
        <f>'Revenues 9-14'!F14</f>
        <v>5</v>
      </c>
      <c r="D5558" s="2" t="str">
        <f t="shared" si="85"/>
        <v>Error?</v>
      </c>
    </row>
    <row r="5559" spans="1:4" x14ac:dyDescent="0.2">
      <c r="A5559" s="5">
        <v>5498</v>
      </c>
      <c r="B5559" s="138">
        <f>'Revenues 9-14'!F15</f>
        <v>131</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136</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1967</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1967</v>
      </c>
      <c r="C5579" s="2" t="s">
        <v>594</v>
      </c>
      <c r="D5579" s="2" t="str">
        <f t="shared" si="86"/>
        <v>Error?</v>
      </c>
    </row>
    <row r="5580" spans="1:4" x14ac:dyDescent="0.2">
      <c r="A5580" s="5">
        <v>5519</v>
      </c>
      <c r="B5580" s="138">
        <f>'Revenues 9-14'!F65</f>
        <v>48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48</v>
      </c>
      <c r="C5582" s="2" t="s">
        <v>594</v>
      </c>
      <c r="D5582" s="2" t="str">
        <f t="shared" si="86"/>
        <v>Error?</v>
      </c>
    </row>
    <row r="5583" spans="1:4" x14ac:dyDescent="0.2">
      <c r="A5583" s="5">
        <v>5522</v>
      </c>
      <c r="B5583" s="138">
        <f>'Revenues 9-14'!F96</f>
        <v>1500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120</v>
      </c>
      <c r="D5586" s="2" t="str">
        <f t="shared" si="86"/>
        <v>Error?</v>
      </c>
    </row>
    <row r="5587" spans="1:4" x14ac:dyDescent="0.2">
      <c r="A5587" s="5">
        <v>5526</v>
      </c>
      <c r="B5587" s="138">
        <f>'Revenues 9-14'!F108</f>
        <v>1620</v>
      </c>
      <c r="C5587" s="2" t="s">
        <v>594</v>
      </c>
      <c r="D5587" s="2" t="str">
        <f t="shared" si="86"/>
        <v>Error?</v>
      </c>
    </row>
    <row r="5588" spans="1:4" x14ac:dyDescent="0.2">
      <c r="A5588" s="5">
        <v>5527</v>
      </c>
      <c r="B5588" s="138">
        <f>'Revenues 9-14'!F109</f>
        <v>106386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76539</v>
      </c>
      <c r="D5615" s="2" t="str">
        <f t="shared" si="86"/>
        <v>Error?</v>
      </c>
    </row>
    <row r="5616" spans="1:4" x14ac:dyDescent="0.2">
      <c r="A5616" s="10">
        <v>5555</v>
      </c>
      <c r="D5616" s="2" t="str">
        <f t="shared" si="86"/>
        <v>OK</v>
      </c>
    </row>
    <row r="5617" spans="1:4" x14ac:dyDescent="0.2">
      <c r="A5617" s="5">
        <v>5556</v>
      </c>
      <c r="B5617" s="138">
        <f>'Revenues 9-14'!F152</f>
        <v>38622</v>
      </c>
      <c r="D5617" s="2" t="str">
        <f t="shared" si="86"/>
        <v>Error?</v>
      </c>
    </row>
    <row r="5618" spans="1:4" x14ac:dyDescent="0.2">
      <c r="A5618" s="5">
        <v>5557</v>
      </c>
      <c r="B5618" s="138">
        <f>'Revenues 9-14'!F154</f>
        <v>115161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49081</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164242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164242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270628</v>
      </c>
      <c r="C5720" s="2" t="s">
        <v>594</v>
      </c>
      <c r="D5720" s="2" t="str">
        <f t="shared" si="88"/>
        <v>Error?</v>
      </c>
    </row>
    <row r="5721" spans="1:4" x14ac:dyDescent="0.2">
      <c r="A5721" s="5">
        <v>5660</v>
      </c>
      <c r="B5721" s="138">
        <f>'Revenues 9-14'!G5</f>
        <v>79804</v>
      </c>
      <c r="D5721" s="2" t="str">
        <f t="shared" si="88"/>
        <v>Error?</v>
      </c>
    </row>
    <row r="5722" spans="1:4" x14ac:dyDescent="0.2">
      <c r="A5722" s="5">
        <v>5661</v>
      </c>
      <c r="B5722" s="138">
        <f>'Revenues 9-14'!G7</f>
        <v>0</v>
      </c>
      <c r="D5722" s="2" t="str">
        <f t="shared" si="88"/>
        <v>Error?</v>
      </c>
    </row>
    <row r="5723" spans="1:4" x14ac:dyDescent="0.2">
      <c r="A5723" s="5">
        <v>5662</v>
      </c>
      <c r="B5723" s="138">
        <f>'Revenues 9-14'!G8</f>
        <v>114718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194522</v>
      </c>
      <c r="C5725" s="2" t="s">
        <v>594</v>
      </c>
      <c r="D5725" s="2" t="str">
        <f t="shared" si="88"/>
        <v>Error?</v>
      </c>
    </row>
    <row r="5726" spans="1:4" x14ac:dyDescent="0.2">
      <c r="A5726" s="5">
        <v>5665</v>
      </c>
      <c r="B5726" s="138">
        <f>'Revenues 9-14'!G14</f>
        <v>9</v>
      </c>
      <c r="D5726" s="2" t="str">
        <f t="shared" si="88"/>
        <v>Error?</v>
      </c>
    </row>
    <row r="5727" spans="1:4" x14ac:dyDescent="0.2">
      <c r="A5727" s="5">
        <v>5666</v>
      </c>
      <c r="B5727" s="138">
        <f>'Revenues 9-14'!G15</f>
        <v>248</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257</v>
      </c>
      <c r="C5730" s="2" t="s">
        <v>594</v>
      </c>
      <c r="D5730" s="2" t="str">
        <f t="shared" si="88"/>
        <v>Error?</v>
      </c>
    </row>
    <row r="5731" spans="1:4" x14ac:dyDescent="0.2">
      <c r="A5731" s="5">
        <v>5670</v>
      </c>
      <c r="B5731" s="138">
        <f>'Revenues 9-14'!G65</f>
        <v>90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8470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8470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8470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203339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25652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25652</v>
      </c>
      <c r="C5918" s="2" t="s">
        <v>594</v>
      </c>
      <c r="D5918" s="2" t="str">
        <f t="shared" si="91"/>
        <v>Error?</v>
      </c>
    </row>
    <row r="5919" spans="1:4" x14ac:dyDescent="0.2">
      <c r="A5919" s="5">
        <v>5858</v>
      </c>
      <c r="B5919" s="138">
        <f>'Revenues 9-14'!I14</f>
        <v>1</v>
      </c>
      <c r="D5919" s="2" t="str">
        <f t="shared" si="91"/>
        <v>Error?</v>
      </c>
    </row>
    <row r="5920" spans="1:4" x14ac:dyDescent="0.2">
      <c r="A5920" s="5">
        <v>5859</v>
      </c>
      <c r="B5920" s="138">
        <f>'Revenues 9-14'!I15</f>
        <v>33</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34</v>
      </c>
      <c r="C5923" s="2" t="s">
        <v>594</v>
      </c>
      <c r="D5923" s="2" t="str">
        <f t="shared" si="91"/>
        <v>Error?</v>
      </c>
    </row>
    <row r="5924" spans="1:4" x14ac:dyDescent="0.2">
      <c r="A5924" s="5">
        <v>5863</v>
      </c>
      <c r="B5924" s="138">
        <f>'Revenues 9-14'!I65</f>
        <v>12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25698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25652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25652</v>
      </c>
      <c r="C5987" s="2" t="s">
        <v>594</v>
      </c>
      <c r="D5987" s="2" t="str">
        <f t="shared" si="92"/>
        <v>Error?</v>
      </c>
    </row>
    <row r="5988" spans="1:4" x14ac:dyDescent="0.2">
      <c r="A5988" s="5">
        <v>5927</v>
      </c>
      <c r="B5988" s="138">
        <f>'Revenues 9-14'!K14</f>
        <v>1</v>
      </c>
      <c r="D5988" s="2" t="str">
        <f t="shared" si="92"/>
        <v>Error?</v>
      </c>
    </row>
    <row r="5989" spans="1:4" x14ac:dyDescent="0.2">
      <c r="A5989" s="5">
        <v>5928</v>
      </c>
      <c r="B5989" s="138">
        <f>'Revenues 9-14'!K15</f>
        <v>33</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34</v>
      </c>
      <c r="C5992" s="2" t="s">
        <v>594</v>
      </c>
      <c r="D5992" s="2" t="str">
        <f t="shared" si="92"/>
        <v>Error?</v>
      </c>
    </row>
    <row r="5993" spans="1:4" x14ac:dyDescent="0.2">
      <c r="A5993" s="5">
        <v>5932</v>
      </c>
      <c r="B5993" s="138">
        <f>'Revenues 9-14'!K65</f>
        <v>9251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9251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34937</v>
      </c>
      <c r="C6023" s="2" t="s">
        <v>594</v>
      </c>
      <c r="D6023" s="2" t="str">
        <f t="shared" si="93"/>
        <v>Error?</v>
      </c>
    </row>
    <row r="6024" spans="1:5" x14ac:dyDescent="0.2">
      <c r="A6024" s="5">
        <v>5963</v>
      </c>
      <c r="B6024" s="138">
        <f>'Revenues 9-14'!G109</f>
        <v>194869</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25698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34937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56576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22484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511.64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270547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400000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270547</v>
      </c>
      <c r="D6215" s="2" t="str">
        <f t="shared" si="96"/>
        <v>Error?</v>
      </c>
      <c r="E6215" s="2" t="s">
        <v>199</v>
      </c>
    </row>
    <row r="6216" spans="1:5" x14ac:dyDescent="0.2">
      <c r="A6216">
        <v>6155</v>
      </c>
      <c r="B6216" s="138">
        <f>'Assets-Liab 5-6'!J41</f>
        <v>270547</v>
      </c>
      <c r="D6216" s="2" t="str">
        <f t="shared" si="96"/>
        <v>Error?</v>
      </c>
      <c r="E6216" s="2" t="s">
        <v>199</v>
      </c>
    </row>
    <row r="6217" spans="1:5" x14ac:dyDescent="0.2">
      <c r="A6217">
        <v>6156</v>
      </c>
      <c r="B6217" s="138">
        <f>'Assets-Liab 5-6'!J4</f>
        <v>270547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504973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504973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504973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530179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530179</v>
      </c>
      <c r="D6229" s="2" t="str">
        <f t="shared" si="96"/>
        <v>Error?</v>
      </c>
      <c r="E6229" s="2" t="s">
        <v>199</v>
      </c>
    </row>
    <row r="6230" spans="1:5" x14ac:dyDescent="0.2">
      <c r="A6230">
        <v>6169</v>
      </c>
      <c r="B6230" s="138">
        <f>'Acct Summary 7-8'!J20</f>
        <v>-25206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-25206</v>
      </c>
      <c r="D6263" s="2" t="str">
        <f t="shared" si="96"/>
        <v>Error?</v>
      </c>
      <c r="E6263" s="2" t="s">
        <v>199</v>
      </c>
    </row>
    <row r="6264" spans="1:5" x14ac:dyDescent="0.2">
      <c r="A6264">
        <v>6203</v>
      </c>
      <c r="B6264" s="138">
        <f>'Acct Summary 7-8'!J79</f>
        <v>295753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270547</v>
      </c>
      <c r="D6266" s="2" t="str">
        <f t="shared" si="96"/>
        <v>Error?</v>
      </c>
      <c r="E6266" s="2" t="s">
        <v>199</v>
      </c>
    </row>
    <row r="6267" spans="1:5" x14ac:dyDescent="0.2">
      <c r="A6267">
        <v>6206</v>
      </c>
      <c r="B6267" s="138">
        <f>'Acct Summary 7-8'!C82</f>
        <v>808885</v>
      </c>
      <c r="D6267" s="2" t="str">
        <f t="shared" si="96"/>
        <v>Error?</v>
      </c>
      <c r="E6267" s="2" t="s">
        <v>199</v>
      </c>
    </row>
    <row r="6268" spans="1:5" x14ac:dyDescent="0.2">
      <c r="A6268">
        <v>6207</v>
      </c>
      <c r="B6268" s="138">
        <f>'Acct Summary 7-8'!D82</f>
        <v>56013</v>
      </c>
      <c r="D6268" s="2" t="str">
        <f t="shared" si="96"/>
        <v>Error?</v>
      </c>
      <c r="E6268" s="2" t="s">
        <v>199</v>
      </c>
    </row>
    <row r="6269" spans="1:5" x14ac:dyDescent="0.2">
      <c r="A6269">
        <v>6208</v>
      </c>
      <c r="B6269" s="138">
        <f>'Acct Summary 7-8'!E82</f>
        <v>4041</v>
      </c>
      <c r="D6269" s="2" t="str">
        <f t="shared" si="96"/>
        <v>Error?</v>
      </c>
      <c r="E6269" s="2" t="s">
        <v>199</v>
      </c>
    </row>
    <row r="6270" spans="1:5" x14ac:dyDescent="0.2">
      <c r="A6270">
        <v>6209</v>
      </c>
      <c r="B6270" s="138">
        <f>'Acct Summary 7-8'!F82</f>
        <v>-49348</v>
      </c>
      <c r="D6270" s="2" t="str">
        <f t="shared" si="96"/>
        <v>Error?</v>
      </c>
      <c r="E6270" s="2" t="s">
        <v>199</v>
      </c>
    </row>
    <row r="6271" spans="1:5" x14ac:dyDescent="0.2">
      <c r="A6271">
        <v>6210</v>
      </c>
      <c r="B6271" s="138">
        <f>'Acct Summary 7-8'!G82</f>
        <v>67035</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25698</v>
      </c>
      <c r="D6273" s="2" t="str">
        <f t="shared" si="97"/>
        <v>Error?</v>
      </c>
      <c r="E6273" s="2" t="s">
        <v>199</v>
      </c>
    </row>
    <row r="6274" spans="1:5" x14ac:dyDescent="0.2">
      <c r="A6274">
        <v>6213</v>
      </c>
      <c r="B6274" s="138">
        <f>'Acct Summary 7-8'!J82</f>
        <v>-25206</v>
      </c>
      <c r="D6274" s="2" t="str">
        <f t="shared" si="97"/>
        <v>Error?</v>
      </c>
      <c r="E6274" s="2" t="s">
        <v>199</v>
      </c>
    </row>
    <row r="6275" spans="1:5" x14ac:dyDescent="0.2">
      <c r="A6275">
        <v>6214</v>
      </c>
      <c r="B6275" s="138">
        <f>'Acct Summary 7-8'!K82</f>
        <v>-91793</v>
      </c>
      <c r="D6275" s="2" t="str">
        <f t="shared" si="97"/>
        <v>Error?</v>
      </c>
      <c r="E6275" s="2" t="s">
        <v>199</v>
      </c>
    </row>
    <row r="6276" spans="1:5" x14ac:dyDescent="0.2">
      <c r="A6276">
        <v>6215</v>
      </c>
      <c r="B6276" s="138">
        <f>'Acct Summary 7-8'!C83</f>
        <v>0.3808182494841274</v>
      </c>
      <c r="D6276" s="2" t="str">
        <f t="shared" si="97"/>
        <v>Error?</v>
      </c>
      <c r="E6276" s="2" t="s">
        <v>199</v>
      </c>
    </row>
    <row r="6277" spans="1:5" x14ac:dyDescent="0.2">
      <c r="A6277">
        <v>6216</v>
      </c>
      <c r="B6277" s="138">
        <f>'Acct Summary 7-8'!D83</f>
        <v>0.24384542047042537</v>
      </c>
      <c r="D6277" s="2" t="str">
        <f t="shared" si="97"/>
        <v>Error?</v>
      </c>
      <c r="E6277" s="2" t="s">
        <v>199</v>
      </c>
    </row>
    <row r="6278" spans="1:5" x14ac:dyDescent="0.2">
      <c r="A6278">
        <v>6217</v>
      </c>
      <c r="B6278" s="138">
        <f>'Acct Summary 7-8'!E83</f>
        <v>2.4048275082273547E-2</v>
      </c>
      <c r="D6278" s="2" t="str">
        <f t="shared" si="97"/>
        <v>Error?</v>
      </c>
      <c r="E6278" s="2" t="s">
        <v>199</v>
      </c>
    </row>
    <row r="6279" spans="1:5" x14ac:dyDescent="0.2">
      <c r="A6279">
        <v>6218</v>
      </c>
      <c r="B6279" s="138">
        <f>'Acct Summary 7-8'!F83</f>
        <v>-0.21925915394082651</v>
      </c>
      <c r="D6279" s="2" t="str">
        <f t="shared" si="97"/>
        <v>Error?</v>
      </c>
      <c r="E6279" s="2" t="s">
        <v>199</v>
      </c>
    </row>
    <row r="6280" spans="1:5" x14ac:dyDescent="0.2">
      <c r="A6280">
        <v>6219</v>
      </c>
      <c r="B6280" s="138">
        <f>'Acct Summary 7-8'!G83</f>
        <v>0.27897888774673618</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3.0249809893987942E-2</v>
      </c>
      <c r="D6282" s="2" t="str">
        <f t="shared" si="97"/>
        <v>Error?</v>
      </c>
      <c r="E6282" s="2" t="s">
        <v>199</v>
      </c>
    </row>
    <row r="6283" spans="1:5" x14ac:dyDescent="0.2">
      <c r="A6283">
        <v>6222</v>
      </c>
      <c r="B6283" s="138">
        <f>'Acct Summary 7-8'!J83</f>
        <v>-9.3166806506817676E-2</v>
      </c>
      <c r="D6283" s="2" t="str">
        <f t="shared" si="97"/>
        <v>Error?</v>
      </c>
      <c r="E6283" s="2" t="s">
        <v>199</v>
      </c>
    </row>
    <row r="6284" spans="1:5" x14ac:dyDescent="0.2">
      <c r="A6284">
        <v>6223</v>
      </c>
      <c r="B6284" s="138">
        <f>'Acct Summary 7-8'!K83</f>
        <v>-0.36769854431545973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498742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498742</v>
      </c>
      <c r="D6301" s="2" t="str">
        <f t="shared" si="97"/>
        <v>Error?</v>
      </c>
      <c r="E6301" s="2" t="s">
        <v>199</v>
      </c>
    </row>
    <row r="6302" spans="1:5" x14ac:dyDescent="0.2">
      <c r="A6302">
        <v>6241</v>
      </c>
      <c r="B6302" s="138">
        <f>'Revenues 9-14'!J14</f>
        <v>22</v>
      </c>
      <c r="D6302" s="2" t="str">
        <f t="shared" si="97"/>
        <v>Error?</v>
      </c>
      <c r="E6302" s="2" t="s">
        <v>199</v>
      </c>
    </row>
    <row r="6303" spans="1:5" x14ac:dyDescent="0.2">
      <c r="A6303">
        <v>6242</v>
      </c>
      <c r="B6303" s="138">
        <f>'Revenues 9-14'!J15</f>
        <v>635</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657</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234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234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5340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7095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5340</v>
      </c>
      <c r="D6351" s="2" t="str">
        <f t="shared" si="98"/>
        <v>Error?</v>
      </c>
      <c r="E6351" s="2" t="s">
        <v>199</v>
      </c>
    </row>
    <row r="6352" spans="1:5" x14ac:dyDescent="0.2">
      <c r="A6352">
        <v>6291</v>
      </c>
      <c r="B6352" s="138">
        <f>'Revenues 9-14'!J109</f>
        <v>504973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5372</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62644</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81493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39680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106324</v>
      </c>
      <c r="D6880" s="2" t="str">
        <f t="shared" si="106"/>
        <v>Error?</v>
      </c>
    </row>
    <row r="6881" spans="1:4" x14ac:dyDescent="0.2">
      <c r="A6881">
        <v>6820</v>
      </c>
      <c r="B6881" s="138">
        <f>'Expenditures 15-22'!K22</f>
        <v>106324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20018</v>
      </c>
      <c r="D6983" s="2" t="str">
        <f t="shared" si="108"/>
        <v>Error?</v>
      </c>
    </row>
    <row r="6984" spans="1:4" x14ac:dyDescent="0.2">
      <c r="A6984">
        <v>6923</v>
      </c>
      <c r="B6984" s="138">
        <f>'Expenditures 15-22'!K86</f>
        <v>20018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1113</v>
      </c>
      <c r="D6987" s="2" t="str">
        <f t="shared" si="108"/>
        <v>Error?</v>
      </c>
    </row>
    <row r="6988" spans="1:4" x14ac:dyDescent="0.2">
      <c r="A6988">
        <v>6927</v>
      </c>
      <c r="B6988" s="138">
        <f>'Expenditures 15-22'!K88</f>
        <v>1113</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21131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530179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504973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290</v>
      </c>
      <c r="D7067" s="2" t="str">
        <f t="shared" si="109"/>
        <v>Error?</v>
      </c>
    </row>
    <row r="7068" spans="1:4" x14ac:dyDescent="0.2">
      <c r="A7068">
        <v>7007</v>
      </c>
      <c r="B7068" s="138">
        <f>'Expenditures 15-22'!K205</f>
        <v>290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3922</v>
      </c>
      <c r="D7073" s="2" t="str">
        <f t="shared" si="109"/>
        <v>Error?</v>
      </c>
    </row>
    <row r="7074" spans="1:4" x14ac:dyDescent="0.2">
      <c r="A7074">
        <v>7013</v>
      </c>
      <c r="B7074" s="138">
        <f>'Expenditures 15-22'!K216</f>
        <v>3922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506</v>
      </c>
      <c r="D7079" s="2" t="str">
        <f t="shared" si="109"/>
        <v>Error?</v>
      </c>
    </row>
    <row r="7080" spans="1:4" x14ac:dyDescent="0.2">
      <c r="A7080">
        <v>7019</v>
      </c>
      <c r="B7080" s="138">
        <f>'Expenditures 15-22'!K226</f>
        <v>506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16842</v>
      </c>
      <c r="D7089" s="2" t="str">
        <f t="shared" si="109"/>
        <v>Error?</v>
      </c>
    </row>
    <row r="7090" spans="1:4" x14ac:dyDescent="0.2">
      <c r="A7090">
        <v>7029</v>
      </c>
      <c r="B7090" s="138">
        <f>'Expenditures 15-22'!K252</f>
        <v>16842</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59227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59227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251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251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38671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38671</v>
      </c>
      <c r="D7153" s="2" t="str">
        <f t="shared" si="110"/>
        <v>Error?</v>
      </c>
    </row>
    <row r="7154" spans="1:4" x14ac:dyDescent="0.2">
      <c r="A7154">
        <v>7093</v>
      </c>
      <c r="B7154" s="138">
        <f>'Expenditures 15-22'!C323</f>
        <v>233051</v>
      </c>
      <c r="D7154" s="2" t="str">
        <f t="shared" si="110"/>
        <v>Error?</v>
      </c>
    </row>
    <row r="7155" spans="1:4" x14ac:dyDescent="0.2">
      <c r="A7155">
        <v>7094</v>
      </c>
      <c r="B7155" s="138">
        <f>'Expenditures 15-22'!D323</f>
        <v>42073</v>
      </c>
      <c r="D7155" s="2" t="str">
        <f t="shared" si="110"/>
        <v>Error?</v>
      </c>
    </row>
    <row r="7156" spans="1:4" x14ac:dyDescent="0.2">
      <c r="A7156">
        <v>7095</v>
      </c>
      <c r="B7156" s="138">
        <f>'Expenditures 15-22'!E323</f>
        <v>13039</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138221</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426384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5646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5646</v>
      </c>
      <c r="D7198" s="2" t="str">
        <f t="shared" si="111"/>
        <v>Error?</v>
      </c>
    </row>
    <row r="7199" spans="1:4" x14ac:dyDescent="0.2">
      <c r="A7199">
        <v>7138</v>
      </c>
      <c r="B7199" s="138">
        <f>'Expenditures 15-22'!C330</f>
        <v>233051</v>
      </c>
      <c r="D7199" s="2" t="str">
        <f t="shared" si="111"/>
        <v>Error?</v>
      </c>
    </row>
    <row r="7200" spans="1:4" x14ac:dyDescent="0.2">
      <c r="A7200">
        <v>7139</v>
      </c>
      <c r="B7200" s="138">
        <f>'Expenditures 15-22'!D330</f>
        <v>42073</v>
      </c>
      <c r="D7200" s="2" t="str">
        <f t="shared" si="111"/>
        <v>Error?</v>
      </c>
    </row>
    <row r="7201" spans="1:4" x14ac:dyDescent="0.2">
      <c r="A7201">
        <v>7140</v>
      </c>
      <c r="B7201" s="138">
        <f>'Expenditures 15-22'!E330</f>
        <v>116834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138221</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530179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233051</v>
      </c>
      <c r="D7216" s="2" t="str">
        <f t="shared" si="111"/>
        <v>Error?</v>
      </c>
    </row>
    <row r="7217" spans="1:4" x14ac:dyDescent="0.2">
      <c r="A7217">
        <v>7156</v>
      </c>
      <c r="B7217" s="138">
        <f>'Expenditures 15-22'!D342</f>
        <v>42073</v>
      </c>
      <c r="D7217" s="2" t="str">
        <f t="shared" si="111"/>
        <v>Error?</v>
      </c>
    </row>
    <row r="7218" spans="1:4" x14ac:dyDescent="0.2">
      <c r="A7218">
        <v>7157</v>
      </c>
      <c r="B7218" s="138">
        <f>'Expenditures 15-22'!E342</f>
        <v>116834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138221</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530179</v>
      </c>
      <c r="D7224" s="2" t="str">
        <f t="shared" si="111"/>
        <v>Error?</v>
      </c>
    </row>
    <row r="7225" spans="1:4" x14ac:dyDescent="0.2">
      <c r="A7225">
        <v>7164</v>
      </c>
      <c r="B7225" s="138">
        <f>'Expenditures 15-22'!K343</f>
        <v>-25206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11022</v>
      </c>
      <c r="D7246" s="2" t="str">
        <f t="shared" si="112"/>
        <v>Error?</v>
      </c>
    </row>
    <row r="7247" spans="1:4" x14ac:dyDescent="0.2">
      <c r="A7247">
        <f t="shared" si="113"/>
        <v>7186</v>
      </c>
      <c r="B7247" s="138">
        <f>'Expenditures 15-22'!E7</f>
        <v>262</v>
      </c>
      <c r="D7247" s="2" t="str">
        <f t="shared" si="112"/>
        <v>Error?</v>
      </c>
    </row>
    <row r="7248" spans="1:4" x14ac:dyDescent="0.2">
      <c r="A7248">
        <f t="shared" si="113"/>
        <v>7187</v>
      </c>
      <c r="B7248" s="138">
        <f>'Expenditures 15-22'!F7</f>
        <v>7565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35012</v>
      </c>
      <c r="D7263" s="2" t="str">
        <f t="shared" si="112"/>
        <v>Error?</v>
      </c>
    </row>
    <row r="7264" spans="1:4" x14ac:dyDescent="0.2">
      <c r="A7264">
        <f t="shared" si="113"/>
        <v>7203</v>
      </c>
      <c r="B7264" s="138">
        <f>'Expenditures 15-22'!D17</f>
        <v>4257</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299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112</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279877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7095</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7297</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14392</v>
      </c>
      <c r="D7719" s="2" t="str">
        <f t="shared" si="126"/>
        <v>Error?</v>
      </c>
      <c r="E7719" s="2" t="s">
        <v>881</v>
      </c>
    </row>
    <row r="7720" spans="1:6" x14ac:dyDescent="0.2">
      <c r="A7720">
        <v>7659</v>
      </c>
      <c r="B7720" s="138">
        <f>'Rest Tax Levies-Tort Im 25'!H14</f>
        <v>20548</v>
      </c>
      <c r="D7720" s="2" t="str">
        <f t="shared" si="126"/>
        <v>Error?</v>
      </c>
      <c r="E7720" s="2" t="s">
        <v>881</v>
      </c>
    </row>
    <row r="7721" spans="1:6" x14ac:dyDescent="0.2">
      <c r="A7721">
        <v>7660</v>
      </c>
      <c r="B7721" s="138">
        <f>'Rest Tax Levies-Tort Im 25'!K14</f>
        <v>14392</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224505</v>
      </c>
      <c r="D7797" s="2" t="str">
        <f t="shared" si="127"/>
        <v>Error?</v>
      </c>
      <c r="E7797" s="4" t="s">
        <v>2020</v>
      </c>
    </row>
    <row r="7798" spans="1:5" x14ac:dyDescent="0.2">
      <c r="A7798">
        <v>7737</v>
      </c>
      <c r="B7798" s="138">
        <f>'Contracts Paid in CY 29'!F141</f>
        <v>75803</v>
      </c>
      <c r="D7798" s="2" t="str">
        <f t="shared" si="127"/>
        <v>Error?</v>
      </c>
      <c r="E7798" s="4" t="s">
        <v>2020</v>
      </c>
    </row>
    <row r="7799" spans="1:5" x14ac:dyDescent="0.2">
      <c r="A7799">
        <v>7738</v>
      </c>
      <c r="B7799" s="138">
        <f>'Contracts Paid in CY 29'!G141</f>
        <v>148702</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5"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8" t="s">
        <v>1253</v>
      </c>
      <c r="B2" s="2408"/>
      <c r="C2" s="2408"/>
      <c r="D2" s="2408"/>
      <c r="E2" s="2408"/>
      <c r="F2" s="2408"/>
      <c r="G2" s="2408"/>
      <c r="H2" s="2408"/>
      <c r="I2" s="2408"/>
      <c r="J2" s="2408"/>
      <c r="K2" s="2408"/>
      <c r="L2" s="2408"/>
    </row>
    <row r="3" spans="1:29" ht="13.5" customHeight="1" x14ac:dyDescent="0.2">
      <c r="A3" s="2439" t="s">
        <v>1252</v>
      </c>
      <c r="B3" s="2439"/>
      <c r="C3" s="2439"/>
      <c r="D3" s="2439"/>
      <c r="E3" s="2439"/>
      <c r="F3" s="2439"/>
      <c r="G3" s="2439"/>
      <c r="H3" s="2439"/>
      <c r="I3" s="2439"/>
      <c r="J3" s="2439"/>
      <c r="K3" s="2439"/>
      <c r="L3" s="2439"/>
    </row>
    <row r="4" spans="1:29" ht="13.5" customHeight="1" x14ac:dyDescent="0.2">
      <c r="A4" s="2408" t="s">
        <v>1799</v>
      </c>
      <c r="B4" s="2429"/>
      <c r="C4" s="2429"/>
      <c r="D4" s="2429"/>
      <c r="E4" s="2429"/>
      <c r="F4" s="2429"/>
      <c r="G4" s="2429"/>
      <c r="H4" s="2429"/>
      <c r="I4" s="2429"/>
      <c r="J4" s="2429"/>
      <c r="K4" s="2429"/>
      <c r="L4" s="242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30" t="str">
        <f>COVER!A17</f>
        <v>Payson CUSD 1</v>
      </c>
      <c r="B7" s="2431"/>
      <c r="C7" s="2431"/>
      <c r="D7" s="2432"/>
      <c r="E7" s="2433">
        <f>COVER!A13</f>
        <v>1001001026</v>
      </c>
      <c r="F7" s="2434"/>
      <c r="G7" s="2440" t="str">
        <f>COVER!T23</f>
        <v>066-003689</v>
      </c>
      <c r="H7" s="2441"/>
      <c r="I7" s="2441"/>
      <c r="J7" s="2441"/>
      <c r="K7" s="2441"/>
      <c r="L7" s="2442"/>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43"/>
      <c r="B9" s="2444"/>
      <c r="C9" s="2444"/>
      <c r="D9" s="2444"/>
      <c r="E9" s="2444"/>
      <c r="F9" s="2445"/>
      <c r="G9" s="2414" t="str">
        <f>COVER!T13</f>
        <v>GRAY HUNTER STENN LLP</v>
      </c>
      <c r="H9" s="2446"/>
      <c r="I9" s="2446"/>
      <c r="J9" s="2446"/>
      <c r="K9" s="2446"/>
      <c r="L9" s="2447"/>
    </row>
    <row r="10" spans="1:29" ht="13.5" customHeight="1" x14ac:dyDescent="0.2">
      <c r="A10" s="2420" t="str">
        <f>COVER!A38</f>
        <v>DR DONNA VEILE</v>
      </c>
      <c r="B10" s="2421"/>
      <c r="C10" s="2421"/>
      <c r="D10" s="2421"/>
      <c r="E10" s="2421"/>
      <c r="F10" s="2422"/>
      <c r="G10" s="2414" t="str">
        <f>COVER!T17</f>
        <v>500 MAINE STREET, PO BOX 32</v>
      </c>
      <c r="H10" s="2415"/>
      <c r="I10" s="2415"/>
      <c r="J10" s="2415"/>
      <c r="K10" s="2415"/>
      <c r="L10" s="2416"/>
    </row>
    <row r="11" spans="1:29" ht="13.5" customHeight="1" x14ac:dyDescent="0.2">
      <c r="A11" s="1184" t="s">
        <v>1599</v>
      </c>
      <c r="B11" s="1185"/>
      <c r="C11" s="1186"/>
      <c r="D11" s="1191"/>
      <c r="E11" s="1186"/>
      <c r="F11" s="1190"/>
      <c r="G11" s="2414" t="str">
        <f>COVER!T19</f>
        <v>QUINCY</v>
      </c>
      <c r="H11" s="2415"/>
      <c r="I11" s="2415"/>
      <c r="J11" s="2415"/>
      <c r="K11" s="2415"/>
      <c r="L11" s="2416"/>
    </row>
    <row r="12" spans="1:29" ht="13.5" customHeight="1" x14ac:dyDescent="0.2">
      <c r="A12" s="2423" t="s">
        <v>1598</v>
      </c>
      <c r="B12" s="2424"/>
      <c r="C12" s="2424"/>
      <c r="D12" s="2424"/>
      <c r="E12" s="2424"/>
      <c r="F12" s="2425"/>
      <c r="G12" s="2417"/>
      <c r="H12" s="2418"/>
      <c r="I12" s="2418"/>
      <c r="J12" s="2418"/>
      <c r="K12" s="2418"/>
      <c r="L12" s="2419"/>
    </row>
    <row r="13" spans="1:29" ht="13.5" customHeight="1" x14ac:dyDescent="0.2">
      <c r="A13" s="2414"/>
      <c r="B13" s="2415"/>
      <c r="C13" s="2415"/>
      <c r="D13" s="2415"/>
      <c r="E13" s="2415"/>
      <c r="F13" s="2416"/>
      <c r="G13" s="2409" t="s">
        <v>1600</v>
      </c>
      <c r="H13" s="2410"/>
      <c r="I13" s="2426" t="str">
        <f>COVER!T25</f>
        <v>lay@gray-hunter-stenn.com</v>
      </c>
      <c r="J13" s="2427"/>
      <c r="K13" s="2427"/>
      <c r="L13" s="2428"/>
    </row>
    <row r="14" spans="1:29" ht="13.5" customHeight="1" x14ac:dyDescent="0.2">
      <c r="A14" s="2414" t="str">
        <f>COVER!A19</f>
        <v>406 WEST STATE STREET</v>
      </c>
      <c r="B14" s="2415"/>
      <c r="C14" s="2415"/>
      <c r="D14" s="2415"/>
      <c r="E14" s="2415"/>
      <c r="F14" s="2416"/>
      <c r="G14" s="1195" t="s">
        <v>1247</v>
      </c>
      <c r="H14" s="1193"/>
      <c r="I14" s="1193"/>
      <c r="J14" s="1193"/>
      <c r="K14" s="1193"/>
      <c r="L14" s="1194"/>
    </row>
    <row r="15" spans="1:29" ht="13.5" customHeight="1" x14ac:dyDescent="0.2">
      <c r="A15" s="2414" t="str">
        <f>COVER!A21</f>
        <v>PAYSON</v>
      </c>
      <c r="B15" s="2415"/>
      <c r="C15" s="2415"/>
      <c r="D15" s="2415"/>
      <c r="E15" s="2415"/>
      <c r="F15" s="2416"/>
      <c r="G15" s="2411" t="str">
        <f>COVER!T15</f>
        <v>LOWELL A. YATES, C.P.A.</v>
      </c>
      <c r="H15" s="2412"/>
      <c r="I15" s="2412"/>
      <c r="J15" s="2412"/>
      <c r="K15" s="2412"/>
      <c r="L15" s="2413"/>
    </row>
    <row r="16" spans="1:29" ht="12.2" customHeight="1" x14ac:dyDescent="0.2">
      <c r="A16" s="2436">
        <f>COVER!A25</f>
        <v>62360</v>
      </c>
      <c r="B16" s="2437"/>
      <c r="C16" s="2437"/>
      <c r="D16" s="2437"/>
      <c r="E16" s="2437"/>
      <c r="F16" s="2438"/>
      <c r="G16" s="2448"/>
      <c r="H16" s="2449"/>
      <c r="I16" s="2449"/>
      <c r="J16" s="2449"/>
      <c r="K16" s="2449"/>
      <c r="L16" s="2450"/>
    </row>
    <row r="17" spans="1:13" ht="12.2" customHeight="1" x14ac:dyDescent="0.2">
      <c r="A17" s="2451"/>
      <c r="B17" s="2437"/>
      <c r="C17" s="2437"/>
      <c r="D17" s="2437"/>
      <c r="E17" s="2437"/>
      <c r="F17" s="2438"/>
      <c r="G17" s="1195" t="s">
        <v>1246</v>
      </c>
      <c r="H17" s="1193"/>
      <c r="I17" s="1193"/>
      <c r="J17" s="1193"/>
      <c r="K17" s="1197" t="s">
        <v>1245</v>
      </c>
      <c r="L17" s="1190"/>
      <c r="M17" s="1183"/>
    </row>
    <row r="18" spans="1:13" ht="12.2" customHeight="1" x14ac:dyDescent="0.2">
      <c r="A18" s="2420"/>
      <c r="B18" s="2421"/>
      <c r="C18" s="2421"/>
      <c r="D18" s="2421"/>
      <c r="E18" s="2421"/>
      <c r="F18" s="2422"/>
      <c r="G18" s="2430" t="str">
        <f>COVER!T21</f>
        <v>217-222-0304</v>
      </c>
      <c r="H18" s="2431"/>
      <c r="I18" s="2431"/>
      <c r="J18" s="2431"/>
      <c r="K18" s="2430" t="str">
        <f>COVER!X21</f>
        <v>217-222-1691</v>
      </c>
      <c r="L18" s="243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88"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52" t="str">
        <f>'Single Audit Cover'!A7</f>
        <v>Payson CUSD 1</v>
      </c>
      <c r="B1" s="2429"/>
      <c r="C1" s="2429"/>
      <c r="D1" s="2429"/>
    </row>
    <row r="2" spans="1:11" s="1214" customFormat="1" ht="12.75" x14ac:dyDescent="0.2">
      <c r="A2" s="2453">
        <f>'Single Audit Cover'!E7</f>
        <v>1001001026</v>
      </c>
      <c r="B2" s="2454"/>
      <c r="C2" s="2454"/>
      <c r="D2" s="2454"/>
    </row>
    <row r="3" spans="1:11" s="1214" customFormat="1" ht="12.75" x14ac:dyDescent="0.2">
      <c r="A3" s="2452" t="s">
        <v>1593</v>
      </c>
      <c r="B3" s="2429"/>
      <c r="C3" s="2429"/>
      <c r="D3" s="2429"/>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1948</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6" t="str">
        <f>'Single Audit Cover'!A7</f>
        <v>Payson CUSD 1</v>
      </c>
      <c r="B1" s="2456"/>
      <c r="C1" s="2456"/>
      <c r="D1" s="2456"/>
      <c r="E1" s="2456"/>
    </row>
    <row r="2" spans="1:5" x14ac:dyDescent="0.2">
      <c r="A2" s="2457">
        <f>'Single Audit Cover'!E7</f>
        <v>1001001026</v>
      </c>
      <c r="B2" s="2457"/>
      <c r="C2" s="2457"/>
      <c r="D2" s="2457"/>
      <c r="E2" s="2457"/>
    </row>
    <row r="3" spans="1:5" ht="4.5" customHeight="1" x14ac:dyDescent="0.2"/>
    <row r="4" spans="1:5" x14ac:dyDescent="0.2">
      <c r="A4" s="2456" t="s">
        <v>1307</v>
      </c>
      <c r="B4" s="2456"/>
      <c r="C4" s="2456"/>
      <c r="D4" s="2456"/>
      <c r="E4" s="2456"/>
    </row>
    <row r="5" spans="1:5" x14ac:dyDescent="0.2">
      <c r="A5" s="2459" t="str">
        <f>'Single Audit Cover'!A4</f>
        <v>Year Ending June 30, 2018</v>
      </c>
      <c r="B5" s="2459"/>
      <c r="C5" s="2459"/>
      <c r="D5" s="2459"/>
      <c r="E5" s="2459"/>
    </row>
    <row r="6" spans="1:5" x14ac:dyDescent="0.2">
      <c r="A6" s="2456" t="s">
        <v>1306</v>
      </c>
      <c r="B6" s="2456"/>
      <c r="C6" s="2456"/>
      <c r="D6" s="2456"/>
      <c r="E6" s="2456"/>
    </row>
    <row r="8" spans="1:5" x14ac:dyDescent="0.2">
      <c r="A8" s="1259" t="s">
        <v>1305</v>
      </c>
    </row>
    <row r="10" spans="1:5" x14ac:dyDescent="0.2">
      <c r="A10" s="1260" t="s">
        <v>1304</v>
      </c>
      <c r="B10" s="1261" t="s">
        <v>1303</v>
      </c>
      <c r="C10" s="1261"/>
      <c r="D10" s="1262">
        <f>SUM('Acct Summary 7-8'!C7:K7)</f>
        <v>442972</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22484</v>
      </c>
    </row>
    <row r="15" spans="1:5" x14ac:dyDescent="0.2">
      <c r="A15" s="1260"/>
      <c r="B15" s="1261"/>
      <c r="C15" s="1261"/>
    </row>
    <row r="16" spans="1:5" x14ac:dyDescent="0.2">
      <c r="A16" s="1260" t="s">
        <v>1956</v>
      </c>
      <c r="B16" s="1261"/>
      <c r="C16" s="1261"/>
    </row>
    <row r="17" spans="1:4" x14ac:dyDescent="0.2">
      <c r="A17" s="1260" t="s">
        <v>1601</v>
      </c>
      <c r="B17" s="1261" t="s">
        <v>1298</v>
      </c>
      <c r="C17" s="1261"/>
      <c r="D17" s="1263">
        <f>-SUM('Revenues 9-14'!C271:D271,'Revenues 9-14'!F271:G271)</f>
        <v>-40569</v>
      </c>
    </row>
    <row r="19" spans="1:4" ht="13.5" thickBot="1" x14ac:dyDescent="0.25">
      <c r="A19" s="1264" t="s">
        <v>1297</v>
      </c>
      <c r="D19" s="1265">
        <f>SUM(D10:D17)</f>
        <v>424887</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58"/>
      <c r="B24" s="2458"/>
      <c r="D24" s="1267"/>
    </row>
    <row r="25" spans="1:4" x14ac:dyDescent="0.2">
      <c r="A25" s="2455"/>
      <c r="B25" s="2455"/>
      <c r="D25" s="1267"/>
    </row>
    <row r="26" spans="1:4" x14ac:dyDescent="0.2">
      <c r="A26" s="2455"/>
      <c r="B26" s="2455"/>
      <c r="D26" s="1267"/>
    </row>
    <row r="27" spans="1:4" x14ac:dyDescent="0.2">
      <c r="A27" s="2455"/>
      <c r="B27" s="2455"/>
      <c r="D27" s="1267"/>
    </row>
    <row r="28" spans="1:4" x14ac:dyDescent="0.2">
      <c r="A28" s="2455"/>
      <c r="B28" s="2455"/>
      <c r="D28" s="1267"/>
    </row>
    <row r="29" spans="1:4" x14ac:dyDescent="0.2">
      <c r="A29" s="2455"/>
      <c r="B29" s="2455"/>
      <c r="D29" s="1267"/>
    </row>
    <row r="30" spans="1:4" x14ac:dyDescent="0.2">
      <c r="A30" s="2455"/>
      <c r="B30" s="2455"/>
      <c r="D30" s="1267"/>
    </row>
    <row r="32" spans="1:4" x14ac:dyDescent="0.2">
      <c r="A32" s="1259" t="s">
        <v>1295</v>
      </c>
      <c r="D32" s="1262">
        <f>SUM(D19:D30)</f>
        <v>424887</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55"/>
      <c r="B40" s="2455"/>
      <c r="D40" s="1267"/>
    </row>
    <row r="41" spans="1:4" x14ac:dyDescent="0.2">
      <c r="A41" s="2455"/>
      <c r="B41" s="2455"/>
      <c r="D41" s="1270"/>
    </row>
    <row r="42" spans="1:4" x14ac:dyDescent="0.2">
      <c r="A42" s="2455"/>
      <c r="B42" s="2455"/>
      <c r="D42" s="1270"/>
    </row>
    <row r="43" spans="1:4" x14ac:dyDescent="0.2">
      <c r="A43" s="2455"/>
      <c r="B43" s="2455"/>
      <c r="D43" s="1270"/>
    </row>
    <row r="44" spans="1:4" x14ac:dyDescent="0.2">
      <c r="A44" s="2455"/>
      <c r="B44" s="2455"/>
      <c r="D44" s="1270"/>
    </row>
    <row r="45" spans="1:4" x14ac:dyDescent="0.2">
      <c r="A45" s="2455"/>
      <c r="B45" s="2455"/>
      <c r="D45" s="1270"/>
    </row>
    <row r="47" spans="1:4" x14ac:dyDescent="0.2">
      <c r="B47" s="1271" t="s">
        <v>1289</v>
      </c>
      <c r="C47" s="1271"/>
      <c r="D47" s="1272">
        <f>SUM(D35:D45)</f>
        <v>0</v>
      </c>
    </row>
    <row r="49" spans="2:4" x14ac:dyDescent="0.2">
      <c r="B49" s="1271" t="s">
        <v>1288</v>
      </c>
      <c r="C49" s="1271"/>
      <c r="D49" s="1272">
        <f>D32-D47</f>
        <v>424887</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69" t="str">
        <f>'Single Audit Cover'!A7</f>
        <v>Payson CUSD 1</v>
      </c>
      <c r="B1" s="2469"/>
      <c r="C1" s="2469"/>
      <c r="D1" s="2469"/>
      <c r="E1" s="2469"/>
      <c r="F1" s="2469"/>
    </row>
    <row r="2" spans="1:7" ht="13.5" customHeight="1" x14ac:dyDescent="0.2">
      <c r="A2" s="2470">
        <f>'Single Audit Cover'!E7</f>
        <v>1001001026</v>
      </c>
      <c r="B2" s="2470"/>
      <c r="C2" s="2470"/>
      <c r="D2" s="2470"/>
      <c r="E2" s="2470"/>
      <c r="F2" s="2470"/>
      <c r="G2" s="1274"/>
    </row>
    <row r="3" spans="1:7" ht="15.75" customHeight="1" x14ac:dyDescent="0.2">
      <c r="A3" s="2471" t="s">
        <v>1333</v>
      </c>
      <c r="B3" s="2471"/>
      <c r="C3" s="2471"/>
      <c r="D3" s="2471"/>
      <c r="E3" s="2471"/>
      <c r="F3" s="2471"/>
    </row>
    <row r="4" spans="1:7" ht="13.5" customHeight="1" x14ac:dyDescent="0.2">
      <c r="A4" s="2472" t="str">
        <f>'Single Audit Cover'!A4</f>
        <v>Year Ending June 30, 2018</v>
      </c>
      <c r="B4" s="2472"/>
      <c r="C4" s="2472"/>
      <c r="D4" s="2472"/>
      <c r="E4" s="2472"/>
      <c r="F4" s="2472"/>
    </row>
    <row r="5" spans="1:7" ht="8.25" customHeight="1" x14ac:dyDescent="0.2">
      <c r="C5" s="317"/>
      <c r="D5" s="317"/>
    </row>
    <row r="6" spans="1:7" ht="13.5" customHeight="1" x14ac:dyDescent="0.2">
      <c r="A6" s="1275" t="s">
        <v>1831</v>
      </c>
      <c r="C6" s="317"/>
      <c r="D6" s="317"/>
    </row>
    <row r="7" spans="1:7" ht="60.95" customHeight="1" x14ac:dyDescent="0.2">
      <c r="A7" s="2468" t="s">
        <v>1832</v>
      </c>
      <c r="B7" s="2468"/>
      <c r="C7" s="2468"/>
      <c r="D7" s="2468"/>
      <c r="E7" s="2468"/>
      <c r="F7" s="2468"/>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68" t="s">
        <v>1834</v>
      </c>
      <c r="B13" s="2468"/>
      <c r="C13" s="2468"/>
      <c r="D13" s="2468"/>
      <c r="E13" s="2468"/>
      <c r="F13" s="2468"/>
    </row>
    <row r="14" spans="1:7" ht="9.75" customHeight="1" x14ac:dyDescent="0.2">
      <c r="C14" s="1259"/>
      <c r="D14" s="1259"/>
    </row>
    <row r="15" spans="1:7" ht="13.5" customHeight="1" x14ac:dyDescent="0.2">
      <c r="C15" s="1870" t="s">
        <v>1332</v>
      </c>
      <c r="D15" s="2466" t="s">
        <v>1331</v>
      </c>
      <c r="E15" s="2466"/>
      <c r="F15" s="2466"/>
    </row>
    <row r="16" spans="1:7" ht="13.5" customHeight="1" x14ac:dyDescent="0.2">
      <c r="A16" s="1281"/>
      <c r="B16" s="1275" t="s">
        <v>1330</v>
      </c>
      <c r="C16" s="1870" t="s">
        <v>1329</v>
      </c>
      <c r="D16" s="2467" t="s">
        <v>1670</v>
      </c>
      <c r="E16" s="2467"/>
      <c r="F16" s="2467"/>
    </row>
    <row r="17" spans="1:6" ht="20.45" customHeight="1" x14ac:dyDescent="0.2">
      <c r="A17" s="1282"/>
      <c r="B17" s="1283"/>
      <c r="C17" s="1284"/>
      <c r="D17" s="2461"/>
      <c r="E17" s="2461"/>
      <c r="F17" s="2461"/>
    </row>
    <row r="18" spans="1:6" ht="20.65" customHeight="1" x14ac:dyDescent="0.2">
      <c r="A18" s="1282"/>
      <c r="B18" s="1283"/>
      <c r="C18" s="1284"/>
      <c r="D18" s="2461"/>
      <c r="E18" s="2461"/>
      <c r="F18" s="2461"/>
    </row>
    <row r="19" spans="1:6" ht="20.65" customHeight="1" x14ac:dyDescent="0.2">
      <c r="A19" s="1282"/>
      <c r="B19" s="1283"/>
      <c r="C19" s="1284"/>
      <c r="D19" s="2461"/>
      <c r="E19" s="2461"/>
      <c r="F19" s="2461"/>
    </row>
    <row r="20" spans="1:6" ht="20.65" customHeight="1" x14ac:dyDescent="0.2">
      <c r="A20" s="1282"/>
      <c r="B20" s="1283"/>
      <c r="C20" s="1284"/>
      <c r="D20" s="2461"/>
      <c r="E20" s="2461"/>
      <c r="F20" s="2461"/>
    </row>
    <row r="21" spans="1:6" ht="20.65" customHeight="1" x14ac:dyDescent="0.2">
      <c r="A21" s="1282"/>
      <c r="B21" s="1283"/>
      <c r="C21" s="1284"/>
      <c r="D21" s="2461"/>
      <c r="E21" s="2461"/>
      <c r="F21" s="2461"/>
    </row>
    <row r="22" spans="1:6" ht="20.65" customHeight="1" x14ac:dyDescent="0.2">
      <c r="A22" s="1282"/>
      <c r="B22" s="1283"/>
      <c r="C22" s="1284"/>
      <c r="D22" s="2461"/>
      <c r="E22" s="2461"/>
      <c r="F22" s="2461"/>
    </row>
    <row r="23" spans="1:6" ht="20.65" customHeight="1" x14ac:dyDescent="0.2">
      <c r="A23" s="1282"/>
      <c r="B23" s="1283"/>
      <c r="C23" s="1284"/>
      <c r="D23" s="2461"/>
      <c r="E23" s="2461"/>
      <c r="F23" s="2461"/>
    </row>
    <row r="24" spans="1:6" ht="20.65" customHeight="1" x14ac:dyDescent="0.2">
      <c r="A24" s="1282"/>
      <c r="B24" s="1283"/>
      <c r="C24" s="1284"/>
      <c r="D24" s="2461"/>
      <c r="E24" s="2461"/>
      <c r="F24" s="2461"/>
    </row>
    <row r="25" spans="1:6" ht="20.65" customHeight="1" x14ac:dyDescent="0.2">
      <c r="A25" s="1282"/>
      <c r="B25" s="1283"/>
      <c r="C25" s="1284"/>
      <c r="D25" s="2461"/>
      <c r="E25" s="2461"/>
      <c r="F25" s="2461"/>
    </row>
    <row r="26" spans="1:6" ht="20.65" customHeight="1" x14ac:dyDescent="0.2">
      <c r="A26" s="1282"/>
      <c r="B26" s="1283"/>
      <c r="C26" s="1284"/>
      <c r="D26" s="2461"/>
      <c r="E26" s="2461"/>
      <c r="F26" s="2461"/>
    </row>
    <row r="27" spans="1:6" ht="20.65" customHeight="1" x14ac:dyDescent="0.2">
      <c r="A27" s="1282"/>
      <c r="B27" s="1283"/>
      <c r="C27" s="1284"/>
      <c r="D27" s="2461"/>
      <c r="E27" s="2461"/>
      <c r="F27" s="2461"/>
    </row>
    <row r="28" spans="1:6" ht="20.65" customHeight="1" x14ac:dyDescent="0.2">
      <c r="A28" s="1282"/>
      <c r="B28" s="1283"/>
      <c r="C28" s="1284"/>
      <c r="D28" s="2461"/>
      <c r="E28" s="2461"/>
      <c r="F28" s="2461"/>
    </row>
    <row r="29" spans="1:6" ht="20.65" customHeight="1" x14ac:dyDescent="0.2">
      <c r="A29" s="1282"/>
      <c r="B29" s="1283"/>
      <c r="C29" s="1284"/>
      <c r="D29" s="2461"/>
      <c r="E29" s="2461"/>
      <c r="F29" s="2461"/>
    </row>
    <row r="30" spans="1:6" ht="12" customHeight="1" x14ac:dyDescent="0.2">
      <c r="A30" s="328"/>
      <c r="B30" s="328"/>
      <c r="C30" s="1477"/>
      <c r="D30" s="1927"/>
      <c r="E30" s="1285"/>
    </row>
    <row r="31" spans="1:6" ht="12" customHeight="1" x14ac:dyDescent="0.2">
      <c r="A31" s="1286" t="s">
        <v>1630</v>
      </c>
      <c r="B31" s="328"/>
      <c r="C31" s="1477"/>
      <c r="D31" s="1927"/>
      <c r="E31" s="1285"/>
    </row>
    <row r="32" spans="1:6" ht="30" customHeight="1" x14ac:dyDescent="0.2">
      <c r="A32" s="2462" t="s">
        <v>1835</v>
      </c>
      <c r="B32" s="2462"/>
      <c r="C32" s="2462"/>
      <c r="D32" s="2462"/>
      <c r="E32" s="2462"/>
      <c r="F32" s="2462"/>
    </row>
    <row r="33" spans="1:6" ht="13.5" customHeight="1" x14ac:dyDescent="0.2">
      <c r="A33" s="328" t="s">
        <v>1509</v>
      </c>
      <c r="B33" s="328"/>
      <c r="C33" s="1287">
        <v>0</v>
      </c>
      <c r="D33" s="1927"/>
      <c r="E33" s="1285"/>
    </row>
    <row r="34" spans="1:6" ht="13.5" customHeight="1" x14ac:dyDescent="0.2">
      <c r="A34" s="328" t="s">
        <v>1949</v>
      </c>
      <c r="B34" s="328"/>
      <c r="C34" s="1288">
        <v>0</v>
      </c>
      <c r="D34" s="1927" t="s">
        <v>1671</v>
      </c>
      <c r="E34" s="2463">
        <f>+C33+C34</f>
        <v>0</v>
      </c>
      <c r="F34" s="2464"/>
    </row>
    <row r="35" spans="1:6" ht="12" customHeight="1" x14ac:dyDescent="0.2">
      <c r="A35" s="328"/>
      <c r="B35" s="328"/>
      <c r="C35" s="1928"/>
      <c r="D35" s="1927"/>
      <c r="E35" s="1289"/>
      <c r="F35" s="1290"/>
    </row>
    <row r="36" spans="1:6" ht="13.5" customHeight="1" x14ac:dyDescent="0.2">
      <c r="A36" s="1286" t="s">
        <v>1631</v>
      </c>
      <c r="B36" s="328"/>
      <c r="C36" s="1477"/>
      <c r="D36" s="1927"/>
      <c r="E36" s="1285"/>
    </row>
    <row r="37" spans="1:6" ht="14.25" customHeight="1" x14ac:dyDescent="0.2">
      <c r="A37" s="328" t="s">
        <v>1563</v>
      </c>
      <c r="B37" s="328"/>
      <c r="C37" s="1929"/>
      <c r="D37" s="1927"/>
      <c r="E37" s="1285"/>
    </row>
    <row r="38" spans="1:6" ht="14.25" customHeight="1" x14ac:dyDescent="0.2">
      <c r="A38" s="328"/>
      <c r="B38" s="328" t="s">
        <v>1510</v>
      </c>
      <c r="C38" s="1291"/>
      <c r="D38" s="1927"/>
      <c r="E38" s="1285"/>
    </row>
    <row r="39" spans="1:6" ht="14.25" customHeight="1" x14ac:dyDescent="0.2">
      <c r="A39" s="328"/>
      <c r="B39" s="328" t="s">
        <v>1511</v>
      </c>
      <c r="C39" s="1291"/>
      <c r="D39" s="1927"/>
      <c r="E39" s="1285"/>
    </row>
    <row r="40" spans="1:6" ht="14.25" customHeight="1" x14ac:dyDescent="0.2">
      <c r="A40" s="328"/>
      <c r="B40" s="328" t="s">
        <v>1512</v>
      </c>
      <c r="C40" s="1291"/>
      <c r="D40" s="1927"/>
      <c r="E40" s="1285"/>
    </row>
    <row r="41" spans="1:6" ht="14.25" customHeight="1" x14ac:dyDescent="0.2">
      <c r="A41" s="328"/>
      <c r="B41" s="328" t="s">
        <v>1513</v>
      </c>
      <c r="C41" s="1291"/>
      <c r="D41" s="1927"/>
      <c r="E41" s="1285"/>
    </row>
    <row r="42" spans="1:6" ht="14.25" customHeight="1" x14ac:dyDescent="0.2">
      <c r="A42" s="328" t="s">
        <v>1514</v>
      </c>
      <c r="B42" s="328"/>
      <c r="C42" s="1925"/>
      <c r="D42" s="1927"/>
      <c r="E42" s="1285"/>
    </row>
    <row r="43" spans="1:6" ht="14.25" customHeight="1" x14ac:dyDescent="0.2">
      <c r="A43" s="328" t="s">
        <v>1515</v>
      </c>
      <c r="B43" s="328"/>
      <c r="C43" s="1292"/>
      <c r="D43" s="1927"/>
      <c r="E43" s="1285"/>
    </row>
    <row r="44" spans="1:6" ht="14.25" customHeight="1" x14ac:dyDescent="0.2">
      <c r="A44" s="328"/>
      <c r="B44" s="328"/>
      <c r="C44" s="1929" t="s">
        <v>1516</v>
      </c>
      <c r="D44" s="1927"/>
      <c r="E44" s="1285"/>
    </row>
    <row r="45" spans="1:6" ht="13.5" customHeight="1" x14ac:dyDescent="0.2">
      <c r="B45" s="322"/>
      <c r="C45" s="1293"/>
      <c r="D45" s="1293"/>
    </row>
    <row r="46" spans="1:6" x14ac:dyDescent="0.2">
      <c r="A46" s="1294" t="s">
        <v>1836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65" t="s">
        <v>1672</v>
      </c>
      <c r="C49" s="2465"/>
      <c r="D49" s="2465"/>
      <c r="E49" s="1398"/>
    </row>
    <row r="50" spans="1:5" s="1299" customFormat="1" ht="3.75" customHeight="1" x14ac:dyDescent="0.2">
      <c r="A50" s="1298"/>
      <c r="B50" s="1869"/>
      <c r="C50" s="1869"/>
      <c r="D50" s="1869"/>
      <c r="E50" s="1398"/>
    </row>
    <row r="51" spans="1:5" s="1299" customFormat="1" ht="20.25" customHeight="1" x14ac:dyDescent="0.2">
      <c r="A51" s="1300">
        <v>6</v>
      </c>
      <c r="B51" s="2460" t="s">
        <v>1632</v>
      </c>
      <c r="C51" s="2460"/>
      <c r="D51" s="2460"/>
    </row>
    <row r="52" spans="1:5" ht="14.25" customHeight="1" x14ac:dyDescent="0.2">
      <c r="A52" s="1300"/>
      <c r="B52" s="2460"/>
      <c r="C52" s="2460"/>
      <c r="D52" s="246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39" t="str">
        <f>'Single Audit Cover'!A7</f>
        <v>Payson CUSD 1</v>
      </c>
      <c r="C1" s="2473"/>
      <c r="D1" s="2473"/>
      <c r="E1" s="2473"/>
      <c r="F1" s="2473"/>
      <c r="G1" s="2473"/>
      <c r="H1" s="2473"/>
      <c r="I1" s="2473"/>
      <c r="J1" s="2473"/>
      <c r="K1" s="2473"/>
      <c r="L1" s="2473"/>
      <c r="M1" s="2473"/>
    </row>
    <row r="2" spans="2:14" ht="15" x14ac:dyDescent="0.2">
      <c r="B2" s="2470">
        <f>'Single Audit Cover'!E7</f>
        <v>1001001026</v>
      </c>
      <c r="C2" s="2470"/>
      <c r="D2" s="2470"/>
      <c r="E2" s="2470"/>
      <c r="F2" s="2470"/>
      <c r="G2" s="2470"/>
      <c r="H2" s="2470"/>
      <c r="I2" s="2470"/>
      <c r="J2" s="2470"/>
      <c r="K2" s="2470"/>
      <c r="L2" s="2470"/>
      <c r="M2" s="2470"/>
      <c r="N2" s="1301"/>
    </row>
    <row r="3" spans="2:14" ht="15" x14ac:dyDescent="0.2">
      <c r="B3" s="2474" t="s">
        <v>1281</v>
      </c>
      <c r="C3" s="2474"/>
      <c r="D3" s="2474"/>
      <c r="E3" s="2474"/>
      <c r="F3" s="2474"/>
      <c r="G3" s="2474"/>
      <c r="H3" s="2474"/>
      <c r="I3" s="2474"/>
      <c r="J3" s="2474"/>
      <c r="K3" s="2474"/>
      <c r="L3" s="2474"/>
      <c r="M3" s="2474"/>
      <c r="N3" s="1301"/>
    </row>
    <row r="4" spans="2:14" ht="15" x14ac:dyDescent="0.2">
      <c r="B4" s="2475" t="str">
        <f>'Single Audit Cover'!A4</f>
        <v>Year Ending June 30, 2018</v>
      </c>
      <c r="C4" s="2475"/>
      <c r="D4" s="2475"/>
      <c r="E4" s="2475"/>
      <c r="F4" s="2475"/>
      <c r="G4" s="2475"/>
      <c r="H4" s="2475"/>
      <c r="I4" s="2475"/>
      <c r="J4" s="2475"/>
      <c r="K4" s="2475"/>
      <c r="L4" s="2475"/>
      <c r="M4" s="2475"/>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1950</v>
      </c>
      <c r="K8" s="1318" t="s">
        <v>1323</v>
      </c>
      <c r="L8" s="1319" t="s">
        <v>1319</v>
      </c>
      <c r="M8" s="1320" t="s">
        <v>30</v>
      </c>
    </row>
    <row r="9" spans="2:14" ht="14.25" x14ac:dyDescent="0.2">
      <c r="B9" s="1324" t="s">
        <v>1321</v>
      </c>
      <c r="C9" s="1312" t="s">
        <v>1838</v>
      </c>
      <c r="D9" s="1313" t="s">
        <v>1839</v>
      </c>
      <c r="E9" s="1321" t="s">
        <v>1663</v>
      </c>
      <c r="F9" s="1322" t="s">
        <v>1950</v>
      </c>
      <c r="G9" s="1323" t="s">
        <v>1663</v>
      </c>
      <c r="H9" s="1316" t="s">
        <v>1664</v>
      </c>
      <c r="I9" s="1318" t="s">
        <v>1950</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1840</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1951</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1841</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1842</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1843</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1844</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2" colorId="8" zoomScale="110" zoomScaleNormal="110" workbookViewId="0">
      <selection activeCell="I116" sqref="I11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1" t="s">
        <v>1230</v>
      </c>
      <c r="B2" s="2081"/>
      <c r="C2" s="2081"/>
      <c r="D2" s="2081"/>
      <c r="E2" s="2081"/>
      <c r="F2" s="2081"/>
      <c r="G2" s="2081"/>
      <c r="H2" s="2081"/>
      <c r="I2" s="2081"/>
      <c r="J2" s="208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t="s">
        <v>2077</v>
      </c>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5" t="s">
        <v>1731</v>
      </c>
      <c r="B35" s="2096"/>
      <c r="C35" s="2096"/>
      <c r="D35" s="2096"/>
      <c r="E35" s="2097"/>
      <c r="F35" s="2097"/>
      <c r="G35" s="2097"/>
      <c r="H35" s="2097"/>
      <c r="I35" s="209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5" t="s">
        <v>331</v>
      </c>
      <c r="B47" s="2098"/>
      <c r="C47" s="2098"/>
      <c r="D47" s="2098"/>
      <c r="E47" s="2099"/>
      <c r="F47" s="2099"/>
      <c r="G47" s="2099"/>
      <c r="H47" s="2099"/>
      <c r="I47" s="209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2"/>
      <c r="C57" s="2103"/>
      <c r="D57" s="2103"/>
      <c r="E57" s="2103"/>
      <c r="F57" s="2103"/>
      <c r="G57" s="2103"/>
      <c r="H57" s="2103"/>
      <c r="I57" s="2103"/>
      <c r="J57" s="2104"/>
    </row>
    <row r="58" spans="1:10" s="181" customFormat="1" x14ac:dyDescent="0.2">
      <c r="A58" s="253"/>
      <c r="B58" s="2105"/>
      <c r="C58" s="2106"/>
      <c r="D58" s="2106"/>
      <c r="E58" s="2106"/>
      <c r="F58" s="2106"/>
      <c r="G58" s="2106"/>
      <c r="H58" s="2106"/>
      <c r="I58" s="2106"/>
      <c r="J58" s="2107"/>
    </row>
    <row r="59" spans="1:10" s="181" customFormat="1" x14ac:dyDescent="0.2">
      <c r="A59" s="253"/>
      <c r="B59" s="2105"/>
      <c r="C59" s="2106"/>
      <c r="D59" s="2106"/>
      <c r="E59" s="2106"/>
      <c r="F59" s="2106"/>
      <c r="G59" s="2106"/>
      <c r="H59" s="2106"/>
      <c r="I59" s="2106"/>
      <c r="J59" s="2107"/>
    </row>
    <row r="60" spans="1:10" s="181" customFormat="1" x14ac:dyDescent="0.2">
      <c r="A60" s="253"/>
      <c r="B60" s="2105"/>
      <c r="C60" s="2106"/>
      <c r="D60" s="2106"/>
      <c r="E60" s="2106"/>
      <c r="F60" s="2106"/>
      <c r="G60" s="2106"/>
      <c r="H60" s="2106"/>
      <c r="I60" s="2106"/>
      <c r="J60" s="2107"/>
    </row>
    <row r="61" spans="1:10" s="181" customFormat="1" x14ac:dyDescent="0.2">
      <c r="A61" s="253"/>
      <c r="B61" s="2105"/>
      <c r="C61" s="2106"/>
      <c r="D61" s="2106"/>
      <c r="E61" s="2106"/>
      <c r="F61" s="2106"/>
      <c r="G61" s="2106"/>
      <c r="H61" s="2106"/>
      <c r="I61" s="2106"/>
      <c r="J61" s="2107"/>
    </row>
    <row r="62" spans="1:10" s="181" customFormat="1" x14ac:dyDescent="0.2">
      <c r="A62" s="253"/>
      <c r="B62" s="2105"/>
      <c r="C62" s="2106"/>
      <c r="D62" s="2106"/>
      <c r="E62" s="2106"/>
      <c r="F62" s="2106"/>
      <c r="G62" s="2106"/>
      <c r="H62" s="2106"/>
      <c r="I62" s="2106"/>
      <c r="J62" s="2107"/>
    </row>
    <row r="63" spans="1:10" s="181" customFormat="1" x14ac:dyDescent="0.2">
      <c r="A63" s="253"/>
      <c r="B63" s="2105"/>
      <c r="C63" s="2106"/>
      <c r="D63" s="2106"/>
      <c r="E63" s="2106"/>
      <c r="F63" s="2106"/>
      <c r="G63" s="2106"/>
      <c r="H63" s="2106"/>
      <c r="I63" s="2106"/>
      <c r="J63" s="2107"/>
    </row>
    <row r="64" spans="1:10" s="181" customFormat="1" x14ac:dyDescent="0.2">
      <c r="A64" s="253"/>
      <c r="B64" s="2105"/>
      <c r="C64" s="2106"/>
      <c r="D64" s="2106"/>
      <c r="E64" s="2106"/>
      <c r="F64" s="2106"/>
      <c r="G64" s="2106"/>
      <c r="H64" s="2106"/>
      <c r="I64" s="2106"/>
      <c r="J64" s="2107"/>
    </row>
    <row r="65" spans="1:10" s="181" customFormat="1" x14ac:dyDescent="0.2">
      <c r="A65" s="253"/>
      <c r="B65" s="2105"/>
      <c r="C65" s="2106"/>
      <c r="D65" s="2106"/>
      <c r="E65" s="2106"/>
      <c r="F65" s="2106"/>
      <c r="G65" s="2106"/>
      <c r="H65" s="2106"/>
      <c r="I65" s="2106"/>
      <c r="J65" s="2107"/>
    </row>
    <row r="66" spans="1:10" s="181" customFormat="1" x14ac:dyDescent="0.2">
      <c r="A66" s="253"/>
      <c r="B66" s="2105"/>
      <c r="C66" s="2106"/>
      <c r="D66" s="2106"/>
      <c r="E66" s="2106"/>
      <c r="F66" s="2106"/>
      <c r="G66" s="2106"/>
      <c r="H66" s="2106"/>
      <c r="I66" s="2106"/>
      <c r="J66" s="2107"/>
    </row>
    <row r="67" spans="1:10" s="181" customFormat="1" ht="9" customHeight="1" x14ac:dyDescent="0.2">
      <c r="A67" s="254"/>
      <c r="B67" s="2108"/>
      <c r="C67" s="2109"/>
      <c r="D67" s="2109"/>
      <c r="E67" s="2109"/>
      <c r="F67" s="2109"/>
      <c r="G67" s="2109"/>
      <c r="H67" s="2109"/>
      <c r="I67" s="2109"/>
      <c r="J67" s="211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5" t="s">
        <v>1390</v>
      </c>
      <c r="B70" s="2098"/>
      <c r="C70" s="2098"/>
      <c r="D70" s="2098"/>
      <c r="E70" s="2099"/>
      <c r="F70" s="2099"/>
      <c r="G70" s="2099"/>
      <c r="H70" s="2099"/>
      <c r="I70" s="209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0" t="s">
        <v>1387</v>
      </c>
      <c r="B83" s="2100"/>
      <c r="C83" s="2100"/>
      <c r="D83" s="210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2" t="s">
        <v>2103</v>
      </c>
      <c r="C102" s="2083"/>
      <c r="D102" s="2083"/>
      <c r="E102" s="2083"/>
      <c r="F102" s="2083"/>
      <c r="G102" s="2083"/>
      <c r="H102" s="2083"/>
      <c r="I102" s="2084"/>
    </row>
    <row r="103" spans="1:9" s="181" customFormat="1" ht="11.25" customHeight="1" x14ac:dyDescent="0.2">
      <c r="A103" s="316"/>
      <c r="B103" s="2085"/>
      <c r="C103" s="2086"/>
      <c r="D103" s="2086"/>
      <c r="E103" s="2086"/>
      <c r="F103" s="2086"/>
      <c r="G103" s="2086"/>
      <c r="H103" s="2086"/>
      <c r="I103" s="2087"/>
    </row>
    <row r="104" spans="1:9" s="181" customFormat="1" ht="11.25" customHeight="1" x14ac:dyDescent="0.2">
      <c r="A104" s="316"/>
      <c r="B104" s="2085"/>
      <c r="C104" s="2086"/>
      <c r="D104" s="2086"/>
      <c r="E104" s="2086"/>
      <c r="F104" s="2086"/>
      <c r="G104" s="2086"/>
      <c r="H104" s="2086"/>
      <c r="I104" s="2087"/>
    </row>
    <row r="105" spans="1:9" s="181" customFormat="1" x14ac:dyDescent="0.2">
      <c r="A105" s="316"/>
      <c r="B105" s="2085"/>
      <c r="C105" s="2086"/>
      <c r="D105" s="2086"/>
      <c r="E105" s="2086"/>
      <c r="F105" s="2086"/>
      <c r="G105" s="2086"/>
      <c r="H105" s="2086"/>
      <c r="I105" s="2087"/>
    </row>
    <row r="106" spans="1:9" s="181" customFormat="1" ht="11.25" customHeight="1" x14ac:dyDescent="0.2">
      <c r="A106" s="316"/>
      <c r="B106" s="2085"/>
      <c r="C106" s="2086"/>
      <c r="D106" s="2086"/>
      <c r="E106" s="2086"/>
      <c r="F106" s="2086"/>
      <c r="G106" s="2086"/>
      <c r="H106" s="2086"/>
      <c r="I106" s="2087"/>
    </row>
    <row r="107" spans="1:9" s="181" customFormat="1" ht="11.25" customHeight="1" x14ac:dyDescent="0.2">
      <c r="A107" s="316"/>
      <c r="B107" s="2085"/>
      <c r="C107" s="2086"/>
      <c r="D107" s="2086"/>
      <c r="E107" s="2086"/>
      <c r="F107" s="2086"/>
      <c r="G107" s="2086"/>
      <c r="H107" s="2086"/>
      <c r="I107" s="2087"/>
    </row>
    <row r="108" spans="1:9" s="181" customFormat="1" ht="11.25" customHeight="1" x14ac:dyDescent="0.2">
      <c r="A108" s="316"/>
      <c r="B108" s="2085"/>
      <c r="C108" s="2086"/>
      <c r="D108" s="2086"/>
      <c r="E108" s="2086"/>
      <c r="F108" s="2086"/>
      <c r="G108" s="2086"/>
      <c r="H108" s="2086"/>
      <c r="I108" s="2087"/>
    </row>
    <row r="109" spans="1:9" s="181" customFormat="1" ht="11.25" customHeight="1" x14ac:dyDescent="0.2">
      <c r="A109" s="316"/>
      <c r="B109" s="2085"/>
      <c r="C109" s="2086"/>
      <c r="D109" s="2086"/>
      <c r="E109" s="2086"/>
      <c r="F109" s="2086"/>
      <c r="G109" s="2086"/>
      <c r="H109" s="2086"/>
      <c r="I109" s="2087"/>
    </row>
    <row r="110" spans="1:9" s="181" customFormat="1" ht="11.25" customHeight="1" x14ac:dyDescent="0.2">
      <c r="A110" s="316"/>
      <c r="B110" s="2085"/>
      <c r="C110" s="2086"/>
      <c r="D110" s="2086"/>
      <c r="E110" s="2086"/>
      <c r="F110" s="2086"/>
      <c r="G110" s="2086"/>
      <c r="H110" s="2086"/>
      <c r="I110" s="2087"/>
    </row>
    <row r="111" spans="1:9" s="181" customFormat="1" ht="11.25" customHeight="1" x14ac:dyDescent="0.2">
      <c r="A111" s="316"/>
      <c r="B111" s="2085"/>
      <c r="C111" s="2086"/>
      <c r="D111" s="2086"/>
      <c r="E111" s="2086"/>
      <c r="F111" s="2086"/>
      <c r="G111" s="2086"/>
      <c r="H111" s="2086"/>
      <c r="I111" s="2087"/>
    </row>
    <row r="112" spans="1:9" s="181" customFormat="1" ht="11.25" customHeight="1" x14ac:dyDescent="0.2">
      <c r="A112" s="316"/>
      <c r="B112" s="2088"/>
      <c r="C112" s="2089"/>
      <c r="D112" s="2089"/>
      <c r="E112" s="2089"/>
      <c r="F112" s="2089"/>
      <c r="G112" s="2089"/>
      <c r="H112" s="2089"/>
      <c r="I112" s="209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1" t="s">
        <v>2078</v>
      </c>
      <c r="D114" s="209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2" t="s">
        <v>1397</v>
      </c>
      <c r="D117" s="2093"/>
      <c r="E117" s="2094"/>
      <c r="F117" s="2094"/>
      <c r="G117" s="2094"/>
      <c r="H117" s="2094"/>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2022</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7" t="str">
        <f>'Single Audit Cover'!A7</f>
        <v>Payson CUSD 1</v>
      </c>
      <c r="C1" s="2488"/>
      <c r="D1" s="2488"/>
      <c r="E1" s="2488"/>
      <c r="F1" s="2488"/>
      <c r="G1" s="2488"/>
      <c r="H1" s="2488"/>
      <c r="I1" s="2488"/>
      <c r="J1" s="1421"/>
    </row>
    <row r="2" spans="2:10" s="317" customFormat="1" ht="12.75" customHeight="1" x14ac:dyDescent="0.2">
      <c r="B2" s="2489">
        <f>'Single Audit Cover'!E7</f>
        <v>1001001026</v>
      </c>
      <c r="C2" s="2490"/>
      <c r="D2" s="2490"/>
      <c r="E2" s="2490"/>
      <c r="F2" s="2490"/>
      <c r="G2" s="2490"/>
      <c r="H2" s="2490"/>
      <c r="I2" s="2490"/>
      <c r="J2" s="1421"/>
    </row>
    <row r="3" spans="2:10" s="317" customFormat="1" ht="12.75" customHeight="1" x14ac:dyDescent="0.2">
      <c r="B3" s="2491" t="s">
        <v>1347</v>
      </c>
      <c r="C3" s="2492"/>
      <c r="D3" s="2492"/>
      <c r="E3" s="2492"/>
      <c r="F3" s="2492"/>
      <c r="G3" s="2492"/>
      <c r="H3" s="2492"/>
      <c r="I3" s="2492"/>
      <c r="J3" s="1422"/>
    </row>
    <row r="4" spans="2:10" s="317" customFormat="1" ht="12.75" customHeight="1" x14ac:dyDescent="0.2">
      <c r="B4" s="2491" t="str">
        <f>'Single Audit Cover'!A4</f>
        <v>Year Ending June 30, 2018</v>
      </c>
      <c r="C4" s="2492"/>
      <c r="D4" s="2492"/>
      <c r="E4" s="2492"/>
      <c r="F4" s="2492"/>
      <c r="G4" s="2492"/>
      <c r="H4" s="2492"/>
      <c r="I4" s="2492"/>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91" t="s">
        <v>1346</v>
      </c>
      <c r="C7" s="2492"/>
      <c r="D7" s="2492"/>
      <c r="E7" s="2492"/>
      <c r="F7" s="2492"/>
      <c r="G7" s="2492"/>
      <c r="H7" s="2492"/>
      <c r="I7" s="2492"/>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93"/>
      <c r="D11" s="2493"/>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94"/>
      <c r="E29" s="2494"/>
      <c r="F29" s="2494"/>
      <c r="G29" s="2494"/>
      <c r="H29" s="2494"/>
      <c r="I29" s="2494"/>
    </row>
    <row r="30" spans="2:9" s="317" customFormat="1" x14ac:dyDescent="0.2">
      <c r="B30" s="1367"/>
      <c r="C30" s="322"/>
      <c r="D30" s="1432" t="s">
        <v>1851</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95" t="s">
        <v>1854</v>
      </c>
      <c r="D37" s="2496"/>
      <c r="E37" s="2496"/>
      <c r="F37" s="2497"/>
      <c r="G37" s="2495" t="s">
        <v>1674</v>
      </c>
      <c r="H37" s="2496"/>
      <c r="I37" s="2497"/>
    </row>
    <row r="38" spans="2:9" ht="16.5" customHeight="1" x14ac:dyDescent="0.2">
      <c r="B38" s="1443"/>
      <c r="C38" s="2483"/>
      <c r="D38" s="2484"/>
      <c r="E38" s="2484"/>
      <c r="F38" s="2485"/>
      <c r="G38" s="2498"/>
      <c r="H38" s="2499"/>
      <c r="I38" s="2500"/>
    </row>
    <row r="39" spans="2:9" ht="16.5" customHeight="1" x14ac:dyDescent="0.2">
      <c r="B39" s="1443"/>
      <c r="C39" s="2483"/>
      <c r="D39" s="2484"/>
      <c r="E39" s="2484"/>
      <c r="F39" s="2485"/>
      <c r="G39" s="2486"/>
      <c r="H39" s="2486"/>
      <c r="I39" s="2486"/>
    </row>
    <row r="40" spans="2:9" ht="16.5" customHeight="1" x14ac:dyDescent="0.2">
      <c r="B40" s="1443"/>
      <c r="C40" s="2483"/>
      <c r="D40" s="2484"/>
      <c r="E40" s="2484"/>
      <c r="F40" s="2485"/>
      <c r="G40" s="2486"/>
      <c r="H40" s="2486"/>
      <c r="I40" s="2486"/>
    </row>
    <row r="41" spans="2:9" ht="16.5" customHeight="1" x14ac:dyDescent="0.2">
      <c r="B41" s="1443"/>
      <c r="C41" s="2483"/>
      <c r="D41" s="2484"/>
      <c r="E41" s="2484"/>
      <c r="F41" s="2485"/>
      <c r="G41" s="2486"/>
      <c r="H41" s="2486"/>
      <c r="I41" s="2486"/>
    </row>
    <row r="42" spans="2:9" ht="16.5" customHeight="1" x14ac:dyDescent="0.2">
      <c r="B42" s="1443"/>
      <c r="C42" s="2483"/>
      <c r="D42" s="2484"/>
      <c r="E42" s="2484"/>
      <c r="F42" s="2485"/>
      <c r="G42" s="2486"/>
      <c r="H42" s="2486"/>
      <c r="I42" s="2486"/>
    </row>
    <row r="43" spans="2:9" ht="16.5" customHeight="1" x14ac:dyDescent="0.2">
      <c r="B43" s="1443"/>
      <c r="C43" s="2476" t="s">
        <v>1675</v>
      </c>
      <c r="D43" s="2477"/>
      <c r="E43" s="2477"/>
      <c r="F43" s="2478"/>
      <c r="G43" s="2479">
        <f>SUM(G38:I42)</f>
        <v>0</v>
      </c>
      <c r="H43" s="2479"/>
      <c r="I43" s="2479"/>
    </row>
    <row r="44" spans="2:9" ht="12.75" customHeight="1" x14ac:dyDescent="0.2"/>
    <row r="45" spans="2:9" ht="12.75" customHeight="1" x14ac:dyDescent="0.2">
      <c r="B45" s="1434" t="s">
        <v>1952</v>
      </c>
      <c r="D45" s="2480">
        <v>0</v>
      </c>
      <c r="E45" s="2481"/>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482"/>
      <c r="F49" s="2482"/>
      <c r="G49" s="2482"/>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7" t="str">
        <f>'Single Audit Cover'!A7</f>
        <v>Payson CUSD 1</v>
      </c>
      <c r="C1" s="2487"/>
      <c r="D1" s="2487"/>
      <c r="E1" s="2487"/>
      <c r="F1" s="2487"/>
      <c r="G1" s="2487"/>
      <c r="H1" s="2487"/>
      <c r="I1" s="2487"/>
      <c r="J1" s="2487"/>
      <c r="K1" s="2487"/>
      <c r="L1" s="1373"/>
      <c r="M1" s="1373"/>
    </row>
    <row r="2" spans="1:13" ht="12" customHeight="1" x14ac:dyDescent="0.2">
      <c r="B2" s="2489">
        <f>'Single Audit Cover'!E7</f>
        <v>1001001026</v>
      </c>
      <c r="C2" s="2489"/>
      <c r="D2" s="2489"/>
      <c r="E2" s="2489"/>
      <c r="F2" s="2489"/>
      <c r="G2" s="2489"/>
      <c r="H2" s="2489"/>
      <c r="I2" s="2489"/>
      <c r="J2" s="2489"/>
      <c r="K2" s="2489"/>
      <c r="L2" s="1374"/>
      <c r="M2" s="1375"/>
    </row>
    <row r="3" spans="1:13" ht="10.35" customHeight="1" x14ac:dyDescent="0.2">
      <c r="B3" s="2503" t="s">
        <v>1347</v>
      </c>
      <c r="C3" s="2503"/>
      <c r="D3" s="2503"/>
      <c r="E3" s="2503"/>
      <c r="F3" s="2503"/>
      <c r="G3" s="2503"/>
      <c r="H3" s="2503"/>
      <c r="I3" s="2503"/>
      <c r="J3" s="2503"/>
      <c r="K3" s="2503"/>
      <c r="L3" s="1376"/>
      <c r="M3" s="1376"/>
    </row>
    <row r="4" spans="1:13" ht="14.25" customHeight="1" x14ac:dyDescent="0.2">
      <c r="B4" s="2504" t="str">
        <f>'Single Audit Cover'!A4</f>
        <v>Year Ending June 30, 2018</v>
      </c>
      <c r="C4" s="2504"/>
      <c r="D4" s="2504"/>
      <c r="E4" s="2504"/>
      <c r="F4" s="2504"/>
      <c r="G4" s="2504"/>
      <c r="H4" s="2504"/>
      <c r="I4" s="2504"/>
      <c r="J4" s="2504"/>
      <c r="K4" s="2504"/>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4" t="s">
        <v>1363</v>
      </c>
      <c r="C7" s="2504"/>
      <c r="D7" s="2505"/>
      <c r="E7" s="2505"/>
      <c r="F7" s="2505"/>
      <c r="G7" s="2505"/>
      <c r="H7" s="2505"/>
      <c r="I7" s="2505"/>
      <c r="J7" s="2505"/>
      <c r="K7" s="2505"/>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02"/>
      <c r="C14" s="2502"/>
      <c r="D14" s="2502"/>
      <c r="E14" s="2502"/>
      <c r="F14" s="2502"/>
      <c r="G14" s="2502"/>
      <c r="H14" s="2502"/>
      <c r="I14" s="2502"/>
      <c r="J14" s="2502"/>
      <c r="K14" s="2502"/>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02"/>
      <c r="C17" s="2502"/>
      <c r="D17" s="2502"/>
      <c r="E17" s="2502"/>
      <c r="F17" s="2502"/>
      <c r="G17" s="2502"/>
      <c r="H17" s="2502"/>
      <c r="I17" s="2502"/>
      <c r="J17" s="2502"/>
      <c r="K17" s="2502"/>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506"/>
      <c r="C20" s="2506"/>
      <c r="D20" s="2502"/>
      <c r="E20" s="2502"/>
      <c r="F20" s="2502"/>
      <c r="G20" s="2502"/>
      <c r="H20" s="2502"/>
      <c r="I20" s="2502"/>
      <c r="J20" s="2502"/>
      <c r="K20" s="2502"/>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2"/>
      <c r="C23" s="2502"/>
      <c r="D23" s="2502"/>
      <c r="E23" s="2502"/>
      <c r="F23" s="2502"/>
      <c r="G23" s="2502"/>
      <c r="H23" s="2502"/>
      <c r="I23" s="2502"/>
      <c r="J23" s="2502"/>
      <c r="K23" s="2502"/>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2"/>
      <c r="C26" s="2502"/>
      <c r="D26" s="2502"/>
      <c r="E26" s="2502"/>
      <c r="F26" s="2502"/>
      <c r="G26" s="2502"/>
      <c r="H26" s="2502"/>
      <c r="I26" s="2502"/>
      <c r="J26" s="2502"/>
      <c r="K26" s="2502"/>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01"/>
      <c r="C29" s="2501"/>
      <c r="D29" s="2502"/>
      <c r="E29" s="2502"/>
      <c r="F29" s="2502"/>
      <c r="G29" s="2502"/>
      <c r="H29" s="2502"/>
      <c r="I29" s="2502"/>
      <c r="J29" s="2502"/>
      <c r="K29" s="2502"/>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501"/>
      <c r="C32" s="2501"/>
      <c r="D32" s="2502"/>
      <c r="E32" s="2502"/>
      <c r="F32" s="2502"/>
      <c r="G32" s="2502"/>
      <c r="H32" s="2502"/>
      <c r="I32" s="2502"/>
      <c r="J32" s="2502"/>
      <c r="K32" s="2502"/>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0" t="str">
        <f>'Single Audit Cover'!A7</f>
        <v>Payson CUSD 1</v>
      </c>
      <c r="C1" s="2510"/>
      <c r="D1" s="2510"/>
      <c r="E1" s="2510"/>
      <c r="F1" s="2510"/>
      <c r="G1" s="2510"/>
      <c r="H1" s="2510"/>
      <c r="I1" s="2510"/>
      <c r="J1" s="2510"/>
      <c r="K1" s="2510"/>
      <c r="L1" s="1464"/>
    </row>
    <row r="2" spans="1:12" ht="12.75" customHeight="1" x14ac:dyDescent="0.2">
      <c r="B2" s="2511">
        <f>'Single Audit Cover'!E7</f>
        <v>1001001026</v>
      </c>
      <c r="C2" s="2511"/>
      <c r="D2" s="2511"/>
      <c r="E2" s="2511"/>
      <c r="F2" s="2511"/>
      <c r="G2" s="2511"/>
      <c r="H2" s="2511"/>
      <c r="I2" s="2511"/>
      <c r="J2" s="2511"/>
      <c r="K2" s="2511"/>
      <c r="L2" s="1465"/>
    </row>
    <row r="3" spans="1:12" ht="12.75" customHeight="1" x14ac:dyDescent="0.2">
      <c r="B3" s="2503" t="s">
        <v>1347</v>
      </c>
      <c r="C3" s="2503"/>
      <c r="D3" s="2503"/>
      <c r="E3" s="2503"/>
      <c r="F3" s="2503"/>
      <c r="G3" s="2503"/>
      <c r="H3" s="2503"/>
      <c r="I3" s="2503"/>
      <c r="J3" s="2503"/>
      <c r="K3" s="2503"/>
      <c r="L3" s="1376"/>
    </row>
    <row r="4" spans="1:12" ht="12.75" customHeight="1" x14ac:dyDescent="0.2">
      <c r="B4" s="2503" t="str">
        <f>'Single Audit Cover'!A4</f>
        <v>Year Ending June 30, 2018</v>
      </c>
      <c r="C4" s="2503"/>
      <c r="D4" s="2503"/>
      <c r="E4" s="2503"/>
      <c r="F4" s="2503"/>
      <c r="G4" s="2503"/>
      <c r="H4" s="2503"/>
      <c r="I4" s="2503"/>
      <c r="J4" s="2503"/>
      <c r="K4" s="2503"/>
      <c r="L4" s="1376"/>
    </row>
    <row r="5" spans="1:12" ht="5.25" customHeight="1" x14ac:dyDescent="0.2">
      <c r="B5" s="1259" t="s">
        <v>1231</v>
      </c>
      <c r="C5" s="1259"/>
      <c r="L5" s="322"/>
    </row>
    <row r="6" spans="1:12" ht="30.75" customHeight="1" x14ac:dyDescent="0.2">
      <c r="A6" s="322"/>
      <c r="B6" s="2512" t="s">
        <v>1375</v>
      </c>
      <c r="C6" s="2512"/>
      <c r="D6" s="2512"/>
      <c r="E6" s="2512"/>
      <c r="F6" s="2512"/>
      <c r="G6" s="2512"/>
      <c r="H6" s="2512"/>
      <c r="I6" s="2512"/>
      <c r="J6" s="2512"/>
      <c r="K6" s="2512"/>
      <c r="L6" s="322"/>
    </row>
    <row r="7" spans="1:12" ht="4.5" customHeight="1" x14ac:dyDescent="0.2">
      <c r="B7" s="1378"/>
      <c r="C7" s="1378"/>
      <c r="D7" s="1378"/>
      <c r="E7" s="1378"/>
      <c r="F7" s="1378"/>
      <c r="G7" s="1379"/>
      <c r="H7" s="1378"/>
      <c r="I7" s="1379"/>
      <c r="J7" s="1378"/>
      <c r="K7" s="1378"/>
      <c r="L7" s="322"/>
    </row>
    <row r="8" spans="1:12" ht="13.5" customHeight="1" x14ac:dyDescent="0.2">
      <c r="B8" s="1386" t="s">
        <v>1859</v>
      </c>
      <c r="C8" s="1466" t="s">
        <v>1953</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94"/>
      <c r="G12" s="2494"/>
      <c r="H12" s="2494"/>
      <c r="I12" s="2494"/>
      <c r="J12" s="2494"/>
      <c r="K12" s="2494"/>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07"/>
      <c r="E14" s="2507"/>
      <c r="F14" s="2507"/>
      <c r="H14" s="1474" t="s">
        <v>1370</v>
      </c>
      <c r="I14" s="2508"/>
      <c r="J14" s="2508"/>
      <c r="K14" s="2508"/>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08"/>
      <c r="E16" s="2508"/>
      <c r="F16" s="2508"/>
      <c r="G16" s="2508"/>
      <c r="H16" s="2508"/>
      <c r="I16" s="2508"/>
      <c r="J16" s="2508"/>
      <c r="K16" s="2508"/>
      <c r="L16" s="322"/>
    </row>
    <row r="17" spans="2:12" ht="13.5" customHeight="1" x14ac:dyDescent="0.2">
      <c r="B17" s="1386" t="s">
        <v>1368</v>
      </c>
      <c r="C17" s="1386"/>
      <c r="D17" s="2509"/>
      <c r="E17" s="2509"/>
      <c r="F17" s="2509"/>
      <c r="G17" s="2509"/>
      <c r="H17" s="2509"/>
      <c r="I17" s="2509"/>
      <c r="J17" s="2509"/>
      <c r="K17" s="2509"/>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02"/>
      <c r="C20" s="2502"/>
      <c r="D20" s="2502"/>
      <c r="E20" s="2502"/>
      <c r="F20" s="2502"/>
      <c r="G20" s="2502"/>
      <c r="H20" s="2502"/>
      <c r="I20" s="2502"/>
      <c r="J20" s="2502"/>
      <c r="K20" s="2502"/>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2"/>
      <c r="E22" s="322"/>
      <c r="F22" s="322"/>
      <c r="G22" s="1382"/>
      <c r="H22" s="322"/>
      <c r="I22" s="1382"/>
      <c r="J22" s="322"/>
      <c r="K22" s="322"/>
      <c r="L22" s="322"/>
    </row>
    <row r="23" spans="2:12" ht="37.5" customHeight="1" x14ac:dyDescent="0.2">
      <c r="B23" s="2502"/>
      <c r="C23" s="2502"/>
      <c r="D23" s="2502"/>
      <c r="E23" s="2502"/>
      <c r="F23" s="2502"/>
      <c r="G23" s="2502"/>
      <c r="H23" s="2502"/>
      <c r="I23" s="2502"/>
      <c r="J23" s="2502"/>
      <c r="K23" s="2502"/>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1861</v>
      </c>
      <c r="C25" s="1476"/>
      <c r="D25" s="322"/>
      <c r="E25" s="322"/>
      <c r="F25" s="322"/>
      <c r="G25" s="1382"/>
      <c r="H25" s="322"/>
      <c r="I25" s="1382"/>
      <c r="J25" s="322"/>
      <c r="K25" s="322"/>
      <c r="L25" s="322"/>
    </row>
    <row r="26" spans="2:12" ht="37.5" customHeight="1" x14ac:dyDescent="0.2">
      <c r="B26" s="2502"/>
      <c r="C26" s="2502"/>
      <c r="D26" s="2502"/>
      <c r="E26" s="2502"/>
      <c r="F26" s="2502"/>
      <c r="G26" s="2502"/>
      <c r="H26" s="2502"/>
      <c r="I26" s="2502"/>
      <c r="J26" s="2502"/>
      <c r="K26" s="2502"/>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1862</v>
      </c>
      <c r="C28" s="1476"/>
      <c r="D28" s="322"/>
      <c r="E28" s="322"/>
      <c r="F28" s="322"/>
      <c r="G28" s="1382"/>
      <c r="H28" s="322"/>
      <c r="I28" s="1382"/>
      <c r="J28" s="322"/>
      <c r="K28" s="322"/>
      <c r="L28" s="322"/>
    </row>
    <row r="29" spans="2:12" ht="37.5" customHeight="1" x14ac:dyDescent="0.2">
      <c r="B29" s="2502"/>
      <c r="C29" s="2502"/>
      <c r="D29" s="2502"/>
      <c r="E29" s="2502"/>
      <c r="F29" s="2502"/>
      <c r="G29" s="2502"/>
      <c r="H29" s="2502"/>
      <c r="I29" s="2502"/>
      <c r="J29" s="2502"/>
      <c r="K29" s="2502"/>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02"/>
      <c r="C32" s="2502"/>
      <c r="D32" s="2502"/>
      <c r="E32" s="2502"/>
      <c r="F32" s="2502"/>
      <c r="G32" s="2502"/>
      <c r="H32" s="2502"/>
      <c r="I32" s="2502"/>
      <c r="J32" s="2502"/>
      <c r="K32" s="2502"/>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02"/>
      <c r="C35" s="2502"/>
      <c r="D35" s="2502"/>
      <c r="E35" s="2502"/>
      <c r="F35" s="2502"/>
      <c r="G35" s="2502"/>
      <c r="H35" s="2502"/>
      <c r="I35" s="2502"/>
      <c r="J35" s="2502"/>
      <c r="K35" s="2502"/>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02"/>
      <c r="C38" s="2502"/>
      <c r="D38" s="2502"/>
      <c r="E38" s="2502"/>
      <c r="F38" s="2502"/>
      <c r="G38" s="2502"/>
      <c r="H38" s="2502"/>
      <c r="I38" s="2502"/>
      <c r="J38" s="2502"/>
      <c r="K38" s="2502"/>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1863</v>
      </c>
      <c r="C40" s="1402"/>
      <c r="D40" s="1377"/>
      <c r="E40" s="1378"/>
      <c r="F40" s="1378"/>
      <c r="G40" s="1379"/>
      <c r="H40" s="1378"/>
      <c r="I40" s="1379"/>
      <c r="J40" s="1378"/>
      <c r="K40" s="1378"/>
    </row>
    <row r="41" spans="2:12" s="322" customFormat="1" ht="33.75" customHeight="1" x14ac:dyDescent="0.2">
      <c r="B41" s="2502"/>
      <c r="C41" s="2502"/>
      <c r="D41" s="2502"/>
      <c r="E41" s="2502"/>
      <c r="F41" s="2502"/>
      <c r="G41" s="2502"/>
      <c r="H41" s="2502"/>
      <c r="I41" s="2502"/>
      <c r="J41" s="2502"/>
      <c r="K41" s="2502"/>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2"/>
      <c r="E48" s="322"/>
      <c r="F48" s="322"/>
    </row>
    <row r="49" spans="2:3" s="317" customFormat="1" ht="10.5" customHeight="1" x14ac:dyDescent="0.2">
      <c r="B49" s="1419" t="s">
        <v>1865</v>
      </c>
      <c r="C49" s="1419"/>
    </row>
    <row r="50" spans="2:3" s="317" customFormat="1" ht="11.1" customHeight="1" x14ac:dyDescent="0.2">
      <c r="B50" s="1419" t="s">
        <v>1866</v>
      </c>
      <c r="C50" s="1419"/>
    </row>
    <row r="51" spans="2:3" s="317" customFormat="1" ht="11.1" customHeight="1" x14ac:dyDescent="0.2">
      <c r="B51" s="1419" t="s">
        <v>1867</v>
      </c>
      <c r="C51" s="1419"/>
    </row>
    <row r="52" spans="2:3" s="317" customFormat="1" ht="11.1" customHeight="1" x14ac:dyDescent="0.2">
      <c r="B52" s="1419" t="s">
        <v>1868</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87" t="str">
        <f>'Single Audit Cover'!A7</f>
        <v>Payson CUSD 1</v>
      </c>
      <c r="C1" s="2487"/>
      <c r="D1" s="2487"/>
      <c r="E1" s="1490"/>
    </row>
    <row r="2" spans="2:5" s="1281" customFormat="1" ht="12.75" customHeight="1" x14ac:dyDescent="0.2">
      <c r="B2" s="2489">
        <f>'Single Audit Cover'!E7</f>
        <v>1001001026</v>
      </c>
      <c r="C2" s="2489"/>
      <c r="D2" s="2489"/>
      <c r="E2" s="1491"/>
    </row>
    <row r="3" spans="2:5" ht="12.75" customHeight="1" x14ac:dyDescent="0.2">
      <c r="B3" s="2503" t="s">
        <v>1869</v>
      </c>
      <c r="C3" s="2503"/>
      <c r="D3" s="2503"/>
      <c r="E3" s="1273"/>
    </row>
    <row r="4" spans="2:5" s="1281" customFormat="1" ht="12.75" customHeight="1" x14ac:dyDescent="0.2">
      <c r="B4" s="2513" t="str">
        <f>'Single Audit Cover'!A4</f>
        <v>Year Ending June 30, 2018</v>
      </c>
      <c r="C4" s="2513"/>
      <c r="D4" s="2513"/>
      <c r="E4" s="1492"/>
    </row>
    <row r="5" spans="2:5" s="1281" customFormat="1" ht="40.15" customHeight="1" x14ac:dyDescent="0.2">
      <c r="B5" s="1493" t="s">
        <v>1870</v>
      </c>
      <c r="C5" s="328"/>
      <c r="D5" s="328"/>
      <c r="E5" s="328"/>
    </row>
    <row r="6" spans="2:5" s="1281" customFormat="1" ht="13.5" customHeight="1" x14ac:dyDescent="0.2">
      <c r="B6" s="1494" t="s">
        <v>1382</v>
      </c>
      <c r="C6" s="1494" t="s">
        <v>1381</v>
      </c>
      <c r="D6" s="1494" t="s">
        <v>1871</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7" colorId="8" zoomScale="110" zoomScaleNormal="110" workbookViewId="0">
      <selection activeCell="L17" sqref="L1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1" t="s">
        <v>404</v>
      </c>
      <c r="B1" s="2111"/>
      <c r="C1" s="2111"/>
      <c r="D1" s="2111"/>
      <c r="E1" s="2111"/>
      <c r="F1" s="2111"/>
      <c r="G1" s="2111"/>
      <c r="H1" s="2111"/>
      <c r="I1" s="2111"/>
      <c r="J1" s="2111"/>
      <c r="K1" s="2111"/>
      <c r="L1" s="2111"/>
      <c r="M1" s="211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54862960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1.9699999999999999E-2</v>
      </c>
      <c r="E10" s="356" t="s">
        <v>1062</v>
      </c>
      <c r="F10" s="355">
        <v>5.0000000000000001E-3</v>
      </c>
      <c r="G10" s="356" t="s">
        <v>1062</v>
      </c>
      <c r="H10" s="355">
        <v>2E-3</v>
      </c>
      <c r="I10" s="356" t="s">
        <v>1063</v>
      </c>
      <c r="J10" s="1753">
        <f>ROUND(D10+F10+H10,5)</f>
        <v>2.6700000000000002E-2</v>
      </c>
      <c r="K10" s="222"/>
      <c r="L10" s="355">
        <v>5.0000000000000001E-4</v>
      </c>
      <c r="M10" s="222"/>
    </row>
    <row r="11" spans="1:14" ht="7.5" customHeight="1" x14ac:dyDescent="0.2">
      <c r="B11" s="222"/>
      <c r="C11" s="222"/>
      <c r="D11" s="2121" t="str">
        <f>IF(SUM(J10)&lt;=0.0999999,"","Enter the Tax Rates by moving the decimal two places to the left.")</f>
        <v/>
      </c>
      <c r="E11" s="2122"/>
      <c r="F11" s="2122"/>
      <c r="G11" s="2122"/>
      <c r="H11" s="2122"/>
      <c r="I11" s="2122"/>
      <c r="J11" s="212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4714794</v>
      </c>
      <c r="E16" s="356"/>
      <c r="F16" s="1754">
        <f>SUM('Acct Summary 7-8'!C17,'Acct Summary 7-8'!D17,'Acct Summary 7-8'!F17)</f>
        <v>3884274</v>
      </c>
      <c r="G16" s="356"/>
      <c r="H16" s="1754">
        <f>SUM(D16-F16)</f>
        <v>830520</v>
      </c>
      <c r="I16" s="222"/>
      <c r="J16" s="1754">
        <f>SUM('Acct Summary 7-8'!C81,'Acct Summary 7-8'!D81,'Acct Summary 7-8'!F81,'Acct Summary 7-8'!I81)</f>
        <v>3428371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f>IF(B31="X",(J7*0.069),IF(B32="X",(J7*0.138),"Enter x in a.or b."))</f>
        <v>7571088.4800000004</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2513365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2"/>
      <c r="C54" s="2113"/>
      <c r="D54" s="2113"/>
      <c r="E54" s="2113"/>
      <c r="F54" s="2113"/>
      <c r="G54" s="2113"/>
      <c r="H54" s="2113"/>
      <c r="I54" s="2113"/>
      <c r="J54" s="2113"/>
      <c r="K54" s="2113"/>
      <c r="L54" s="2114"/>
      <c r="M54" s="380"/>
    </row>
    <row r="55" spans="1:13" ht="12.75" customHeight="1" x14ac:dyDescent="0.2">
      <c r="B55" s="2115"/>
      <c r="C55" s="2116"/>
      <c r="D55" s="2116"/>
      <c r="E55" s="2116"/>
      <c r="F55" s="2116"/>
      <c r="G55" s="2116"/>
      <c r="H55" s="2116"/>
      <c r="I55" s="2116"/>
      <c r="J55" s="2116"/>
      <c r="K55" s="2116"/>
      <c r="L55" s="2117"/>
      <c r="M55" s="380"/>
    </row>
    <row r="56" spans="1:13" ht="12.75" customHeight="1" x14ac:dyDescent="0.2">
      <c r="B56" s="2115"/>
      <c r="C56" s="2116"/>
      <c r="D56" s="2116"/>
      <c r="E56" s="2116"/>
      <c r="F56" s="2116"/>
      <c r="G56" s="2116"/>
      <c r="H56" s="2116"/>
      <c r="I56" s="2116"/>
      <c r="J56" s="2116"/>
      <c r="K56" s="2116"/>
      <c r="L56" s="2117"/>
      <c r="M56" s="222"/>
    </row>
    <row r="57" spans="1:13" ht="12.75" customHeight="1" x14ac:dyDescent="0.2">
      <c r="B57" s="2115"/>
      <c r="C57" s="2116"/>
      <c r="D57" s="2116"/>
      <c r="E57" s="2116"/>
      <c r="F57" s="2116"/>
      <c r="G57" s="2116"/>
      <c r="H57" s="2116"/>
      <c r="I57" s="2116"/>
      <c r="J57" s="2116"/>
      <c r="K57" s="2116"/>
      <c r="L57" s="2117"/>
      <c r="M57" s="222"/>
    </row>
    <row r="58" spans="1:13" x14ac:dyDescent="0.2">
      <c r="B58" s="2118"/>
      <c r="C58" s="2119"/>
      <c r="D58" s="2119"/>
      <c r="E58" s="2119"/>
      <c r="F58" s="2119"/>
      <c r="G58" s="2119"/>
      <c r="H58" s="2119"/>
      <c r="I58" s="2119"/>
      <c r="J58" s="2119"/>
      <c r="K58" s="2119"/>
      <c r="L58" s="212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3"/>
      <c r="D61" s="212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S35" sqref="S3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6"/>
      <c r="B1" s="2127"/>
      <c r="C1" s="2127"/>
      <c r="D1" s="384"/>
      <c r="E1" s="384"/>
      <c r="F1" s="384"/>
      <c r="G1" s="384"/>
      <c r="H1" s="384"/>
      <c r="I1" s="384"/>
      <c r="J1" s="384"/>
      <c r="K1" s="384"/>
      <c r="L1" s="384"/>
      <c r="M1" s="384"/>
      <c r="N1" s="384"/>
      <c r="O1" s="2126"/>
      <c r="P1" s="2127"/>
      <c r="Q1" s="2127"/>
    </row>
    <row r="2" spans="1:18" ht="15" x14ac:dyDescent="0.2">
      <c r="A2" s="2130" t="s">
        <v>577</v>
      </c>
      <c r="B2" s="2130"/>
      <c r="C2" s="2130"/>
      <c r="D2" s="2130"/>
      <c r="E2" s="2130"/>
      <c r="F2" s="2130"/>
      <c r="G2" s="2130"/>
      <c r="H2" s="2130"/>
      <c r="I2" s="2130"/>
      <c r="J2" s="2130"/>
      <c r="K2" s="2130"/>
      <c r="L2" s="2130"/>
      <c r="M2" s="2130"/>
      <c r="N2" s="2130"/>
      <c r="O2" s="2130"/>
      <c r="P2" s="2130"/>
      <c r="Q2" s="2130"/>
      <c r="R2" s="2130"/>
    </row>
    <row r="3" spans="1:18" ht="12.75" x14ac:dyDescent="0.2">
      <c r="A3" s="2131" t="s">
        <v>1480</v>
      </c>
      <c r="B3" s="2131"/>
      <c r="C3" s="2131"/>
      <c r="D3" s="2131"/>
      <c r="E3" s="2131"/>
      <c r="F3" s="2131"/>
      <c r="G3" s="2131"/>
      <c r="H3" s="2131"/>
      <c r="I3" s="2131"/>
      <c r="J3" s="2131"/>
      <c r="K3" s="2131"/>
      <c r="L3" s="2131"/>
      <c r="M3" s="2131"/>
      <c r="N3" s="2131"/>
      <c r="O3" s="2131"/>
      <c r="P3" s="2131"/>
      <c r="Q3" s="2131"/>
      <c r="R3" s="2131"/>
    </row>
    <row r="4" spans="1:18" x14ac:dyDescent="0.2">
      <c r="A4" s="2132" t="s">
        <v>1635</v>
      </c>
      <c r="B4" s="2132"/>
      <c r="C4" s="2132"/>
      <c r="D4" s="2132"/>
      <c r="E4" s="2132"/>
      <c r="F4" s="2132"/>
      <c r="G4" s="2132"/>
      <c r="H4" s="2132"/>
      <c r="I4" s="2132"/>
      <c r="J4" s="2132"/>
      <c r="K4" s="2132"/>
      <c r="L4" s="2132"/>
      <c r="M4" s="2132"/>
      <c r="N4" s="2132"/>
      <c r="O4" s="2132"/>
      <c r="P4" s="2132"/>
      <c r="Q4" s="2132"/>
      <c r="R4" s="213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Payson CUSD 1</v>
      </c>
      <c r="E7" s="391"/>
      <c r="G7" s="252"/>
      <c r="H7" s="387"/>
      <c r="I7" s="387"/>
      <c r="J7" s="387"/>
      <c r="K7" s="387"/>
      <c r="L7" s="329"/>
      <c r="M7" s="329"/>
      <c r="N7" s="329"/>
      <c r="O7" s="329"/>
      <c r="P7" s="329"/>
    </row>
    <row r="8" spans="1:18" ht="12.75" x14ac:dyDescent="0.2">
      <c r="A8" s="329"/>
      <c r="B8" s="329"/>
      <c r="C8" s="389" t="s">
        <v>1187</v>
      </c>
      <c r="D8" s="392">
        <f>COVER!A13</f>
        <v>1001001026</v>
      </c>
      <c r="E8" s="393"/>
      <c r="G8" s="329"/>
      <c r="H8" s="329"/>
      <c r="I8" s="329"/>
      <c r="J8" s="329"/>
      <c r="K8" s="329"/>
      <c r="L8" s="329"/>
      <c r="M8" s="329"/>
      <c r="N8" s="329"/>
      <c r="O8" s="329"/>
      <c r="P8" s="329"/>
    </row>
    <row r="9" spans="1:18" ht="12.75" x14ac:dyDescent="0.2">
      <c r="A9" s="329"/>
      <c r="B9" s="329"/>
      <c r="C9" s="389" t="s">
        <v>737</v>
      </c>
      <c r="D9" s="394" t="str">
        <f>COVER!A15</f>
        <v>ADAMS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3428371</v>
      </c>
      <c r="I12" s="404"/>
      <c r="J12" s="404"/>
      <c r="K12" s="405">
        <f>TRUNC((H12/H13*100000),5)/100000</f>
        <v>0.7271518119</v>
      </c>
      <c r="L12" s="406"/>
      <c r="M12" s="360" t="s">
        <v>1206</v>
      </c>
      <c r="N12" s="360"/>
      <c r="O12" s="407">
        <v>0.35</v>
      </c>
      <c r="P12" s="218"/>
      <c r="Q12" s="218"/>
    </row>
    <row r="13" spans="1:18" s="408" customFormat="1" ht="12.75" x14ac:dyDescent="0.2">
      <c r="A13" s="218"/>
      <c r="B13" s="401"/>
      <c r="C13" s="2128" t="s">
        <v>1391</v>
      </c>
      <c r="D13" s="2129"/>
      <c r="E13" s="218"/>
      <c r="F13" s="409" t="s">
        <v>826</v>
      </c>
      <c r="G13" s="402"/>
      <c r="H13" s="403">
        <f>SUM('Acct Summary 7-8'!C8+'Acct Summary 7-8'!D8+'Acct Summary 7-8'!F8+'Acct Summary 7-8'!I8)+H14</f>
        <v>4714794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3884274</v>
      </c>
      <c r="I17" s="404"/>
      <c r="J17" s="416"/>
      <c r="K17" s="405">
        <f>TRUNC((H17/H18*100000),5)/100000</f>
        <v>0.82384808319999991</v>
      </c>
      <c r="L17" s="406"/>
      <c r="M17" s="417" t="s">
        <v>1233</v>
      </c>
      <c r="O17" s="418" t="str">
        <f>IF(AND(O16="2", J20 &gt; 2),"1",IF(AND(O16 = "1", J20 &gt; 2),"2",IF(AND(O16="1", J20 &gt;1),"1","0")))</f>
        <v>0</v>
      </c>
      <c r="P17" s="218"/>
    </row>
    <row r="18" spans="1:18" s="408" customFormat="1" ht="11.25" x14ac:dyDescent="0.2">
      <c r="A18" s="218"/>
      <c r="B18" s="401"/>
      <c r="C18" s="2128" t="s">
        <v>1384</v>
      </c>
      <c r="D18" s="2129"/>
      <c r="E18" s="218"/>
      <c r="F18" s="419" t="s">
        <v>827</v>
      </c>
      <c r="G18" s="402"/>
      <c r="H18" s="403">
        <f>SUM('Acct Summary 7-8'!C8+'Acct Summary 7-8'!D8+'Acct Summary 7-8'!F8+'Acct Summary 7-8'!I8)+H19</f>
        <v>4714794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5" t="s">
        <v>1479</v>
      </c>
      <c r="D24" s="2125"/>
      <c r="E24" s="218"/>
      <c r="F24" s="218" t="s">
        <v>465</v>
      </c>
      <c r="G24" s="402"/>
      <c r="H24" s="403">
        <f>SUM('Assets-Liab 5-6'!C4+'Assets-Liab 5-6'!D4+'Assets-Liab 5-6'!F4+'Assets-Liab 5-6'!I4+'Assets-Liab 5-6'!C5+'Assets-Liab 5-6'!D5+'Assets-Liab 5-6'!F5+'Assets-Liab 5-6'!I5)</f>
        <v>3028451</v>
      </c>
      <c r="I24" s="422"/>
      <c r="J24" s="422"/>
      <c r="K24" s="423">
        <f>TRUNC(((H24/H25*100000)/100000),2)</f>
        <v>280.68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10789.65</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1245114.8772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2513365</v>
      </c>
      <c r="I32" s="420"/>
      <c r="J32" s="420"/>
      <c r="K32" s="423">
        <f>TRUNC(100-((((H32/H33*100))*100)/100),2)</f>
        <v>66.8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7571088.4800000004</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Normal="100" workbookViewId="0">
      <pane ySplit="2" topLeftCell="A27" activePane="bottomLeft" state="frozen"/>
      <selection activeCell="A47" sqref="A47"/>
      <selection pane="bottomLeft" activeCell="M31" sqref="M3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5" t="s">
        <v>1030</v>
      </c>
      <c r="B3" s="2136"/>
      <c r="C3" s="1580"/>
      <c r="D3" s="1581"/>
      <c r="E3" s="1581"/>
      <c r="F3" s="1581"/>
      <c r="G3" s="1581"/>
      <c r="H3" s="1581"/>
      <c r="I3" s="1581"/>
      <c r="J3" s="1581"/>
      <c r="K3" s="1581"/>
      <c r="L3" s="1581"/>
      <c r="M3" s="1582"/>
      <c r="N3" s="1583"/>
    </row>
    <row r="4" spans="1:14" ht="13.5" customHeight="1" x14ac:dyDescent="0.2">
      <c r="A4" s="463" t="s">
        <v>1750</v>
      </c>
      <c r="B4" s="464"/>
      <c r="C4" s="465">
        <v>1124151</v>
      </c>
      <c r="D4" s="466">
        <v>229707</v>
      </c>
      <c r="E4" s="466">
        <v>168037</v>
      </c>
      <c r="F4" s="466">
        <v>225067</v>
      </c>
      <c r="G4" s="466">
        <v>240287</v>
      </c>
      <c r="H4" s="466"/>
      <c r="I4" s="466">
        <v>449526</v>
      </c>
      <c r="J4" s="467">
        <v>270547</v>
      </c>
      <c r="K4" s="466">
        <v>386466</v>
      </c>
      <c r="L4" s="466">
        <v>80716</v>
      </c>
      <c r="M4" s="468"/>
      <c r="N4" s="469"/>
    </row>
    <row r="5" spans="1:14" x14ac:dyDescent="0.2">
      <c r="A5" s="463" t="s">
        <v>1049</v>
      </c>
      <c r="B5" s="470">
        <v>120</v>
      </c>
      <c r="C5" s="465">
        <v>1000000</v>
      </c>
      <c r="D5" s="466"/>
      <c r="E5" s="466"/>
      <c r="F5" s="466"/>
      <c r="G5" s="466"/>
      <c r="H5" s="466"/>
      <c r="I5" s="466"/>
      <c r="J5" s="467"/>
      <c r="K5" s="471">
        <v>263176</v>
      </c>
      <c r="L5" s="472">
        <v>25000</v>
      </c>
      <c r="M5" s="468"/>
      <c r="N5" s="469"/>
    </row>
    <row r="6" spans="1:14" ht="13.5" customHeight="1" x14ac:dyDescent="0.2">
      <c r="A6" s="473" t="s">
        <v>437</v>
      </c>
      <c r="B6" s="470">
        <v>130</v>
      </c>
      <c r="C6" s="465"/>
      <c r="D6" s="466"/>
      <c r="E6" s="466"/>
      <c r="F6" s="466"/>
      <c r="G6" s="471"/>
      <c r="H6" s="471"/>
      <c r="I6" s="466">
        <v>400000</v>
      </c>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2124151</v>
      </c>
      <c r="D13" s="1758">
        <f t="shared" ref="D13:L13" si="0">SUM(D4:D12)</f>
        <v>229707</v>
      </c>
      <c r="E13" s="1758">
        <f t="shared" si="0"/>
        <v>168037</v>
      </c>
      <c r="F13" s="1758">
        <f t="shared" si="0"/>
        <v>225067</v>
      </c>
      <c r="G13" s="1758">
        <f t="shared" si="0"/>
        <v>240287</v>
      </c>
      <c r="H13" s="1758">
        <f t="shared" si="0"/>
        <v>0</v>
      </c>
      <c r="I13" s="1758">
        <f t="shared" si="0"/>
        <v>849526</v>
      </c>
      <c r="J13" s="1758">
        <f t="shared" si="0"/>
        <v>270547</v>
      </c>
      <c r="K13" s="1758">
        <f t="shared" si="0"/>
        <v>649642</v>
      </c>
      <c r="L13" s="1758">
        <f t="shared" si="0"/>
        <v>105716</v>
      </c>
      <c r="M13" s="468"/>
      <c r="N13" s="469"/>
    </row>
    <row r="14" spans="1:14" ht="18" customHeight="1" thickTop="1" x14ac:dyDescent="0.2">
      <c r="A14" s="2137" t="s">
        <v>149</v>
      </c>
      <c r="B14" s="2138"/>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89214</v>
      </c>
      <c r="N16" s="484"/>
    </row>
    <row r="17" spans="1:14" s="485" customFormat="1" ht="12.75" customHeight="1" x14ac:dyDescent="0.2">
      <c r="A17" s="482" t="s">
        <v>1470</v>
      </c>
      <c r="B17" s="483">
        <v>230</v>
      </c>
      <c r="C17" s="477"/>
      <c r="D17" s="477"/>
      <c r="E17" s="477"/>
      <c r="F17" s="477"/>
      <c r="G17" s="477"/>
      <c r="H17" s="477"/>
      <c r="I17" s="477"/>
      <c r="J17" s="477"/>
      <c r="K17" s="477"/>
      <c r="L17" s="477"/>
      <c r="M17" s="467">
        <v>6836737</v>
      </c>
      <c r="N17" s="484"/>
    </row>
    <row r="18" spans="1:14" s="485" customFormat="1" ht="12.75" customHeight="1" x14ac:dyDescent="0.2">
      <c r="A18" s="482" t="s">
        <v>1471</v>
      </c>
      <c r="B18" s="483">
        <v>240</v>
      </c>
      <c r="C18" s="477"/>
      <c r="D18" s="477"/>
      <c r="E18" s="477"/>
      <c r="F18" s="477"/>
      <c r="G18" s="477"/>
      <c r="H18" s="477"/>
      <c r="I18" s="477"/>
      <c r="J18" s="477"/>
      <c r="K18" s="477"/>
      <c r="L18" s="477"/>
      <c r="M18" s="467">
        <v>1098573</v>
      </c>
      <c r="N18" s="484"/>
    </row>
    <row r="19" spans="1:14" s="485" customFormat="1" ht="12.75" customHeight="1" x14ac:dyDescent="0.2">
      <c r="A19" s="482" t="s">
        <v>1472</v>
      </c>
      <c r="B19" s="483">
        <v>250</v>
      </c>
      <c r="C19" s="477"/>
      <c r="D19" s="477"/>
      <c r="E19" s="477"/>
      <c r="F19" s="477"/>
      <c r="G19" s="477"/>
      <c r="H19" s="477"/>
      <c r="I19" s="477"/>
      <c r="J19" s="477"/>
      <c r="K19" s="477"/>
      <c r="L19" s="477"/>
      <c r="M19" s="467">
        <v>523319</v>
      </c>
      <c r="N19" s="484"/>
    </row>
    <row r="20" spans="1:14" s="485" customFormat="1" ht="12.75" customHeight="1" x14ac:dyDescent="0.2">
      <c r="A20" s="482" t="s">
        <v>1473</v>
      </c>
      <c r="B20" s="483">
        <v>260</v>
      </c>
      <c r="C20" s="477"/>
      <c r="D20" s="477"/>
      <c r="E20" s="477"/>
      <c r="F20" s="477"/>
      <c r="G20" s="477"/>
      <c r="H20" s="477"/>
      <c r="I20" s="477"/>
      <c r="J20" s="477"/>
      <c r="K20" s="477"/>
      <c r="L20" s="477"/>
      <c r="M20" s="467">
        <v>24535</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168037</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2345328</v>
      </c>
    </row>
    <row r="23" spans="1:14" ht="13.5" customHeight="1" thickBot="1" x14ac:dyDescent="0.25">
      <c r="A23" s="1757" t="s">
        <v>664</v>
      </c>
      <c r="B23" s="1762"/>
      <c r="C23" s="468"/>
      <c r="D23" s="468"/>
      <c r="E23" s="468"/>
      <c r="F23" s="468"/>
      <c r="G23" s="468"/>
      <c r="H23" s="468"/>
      <c r="I23" s="468"/>
      <c r="J23" s="468"/>
      <c r="K23" s="468"/>
      <c r="L23" s="468"/>
      <c r="M23" s="1709">
        <f>SUM(M15:M22)</f>
        <v>8572378</v>
      </c>
      <c r="N23" s="1709">
        <f>SUM(N21:N22)</f>
        <v>2513365</v>
      </c>
    </row>
    <row r="24" spans="1:14" ht="18" customHeight="1" thickTop="1" x14ac:dyDescent="0.2">
      <c r="A24" s="2139" t="s">
        <v>619</v>
      </c>
      <c r="B24" s="2140"/>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v>400000</v>
      </c>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80</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105716</v>
      </c>
      <c r="M33" s="468"/>
      <c r="N33" s="469"/>
    </row>
    <row r="34" spans="1:14" ht="13.5" customHeight="1" thickBot="1" x14ac:dyDescent="0.25">
      <c r="A34" s="1759" t="s">
        <v>675</v>
      </c>
      <c r="B34" s="1760"/>
      <c r="C34" s="1761">
        <f>SUM(C25:C33)</f>
        <v>80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400000</v>
      </c>
      <c r="L34" s="1742">
        <f>SUM(L33)</f>
        <v>105716</v>
      </c>
      <c r="M34" s="468"/>
      <c r="N34" s="480"/>
    </row>
    <row r="35" spans="1:14" ht="18" customHeight="1" thickTop="1" x14ac:dyDescent="0.2">
      <c r="A35" s="2141" t="s">
        <v>550</v>
      </c>
      <c r="B35" s="2142"/>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2513365</v>
      </c>
    </row>
    <row r="37" spans="1:14" ht="13.5" thickBot="1" x14ac:dyDescent="0.25">
      <c r="A37" s="1757" t="s">
        <v>674</v>
      </c>
      <c r="B37" s="1762"/>
      <c r="C37" s="477"/>
      <c r="D37" s="477"/>
      <c r="E37" s="477"/>
      <c r="F37" s="477"/>
      <c r="G37" s="477"/>
      <c r="H37" s="477"/>
      <c r="I37" s="477"/>
      <c r="J37" s="477"/>
      <c r="K37" s="477"/>
      <c r="L37" s="480"/>
      <c r="M37" s="468"/>
      <c r="N37" s="1709">
        <f>SUM(N36:N36)</f>
        <v>2513365</v>
      </c>
    </row>
    <row r="38" spans="1:14" s="329" customFormat="1" ht="13.5" customHeight="1" thickTop="1" x14ac:dyDescent="0.2">
      <c r="A38" s="496" t="s">
        <v>440</v>
      </c>
      <c r="B38" s="483">
        <v>714</v>
      </c>
      <c r="C38" s="466">
        <v>55280</v>
      </c>
      <c r="D38" s="466"/>
      <c r="E38" s="466"/>
      <c r="F38" s="466"/>
      <c r="G38" s="466">
        <v>71896</v>
      </c>
      <c r="H38" s="466"/>
      <c r="I38" s="466"/>
      <c r="J38" s="467"/>
      <c r="K38" s="466"/>
      <c r="L38" s="481"/>
      <c r="M38" s="497"/>
      <c r="N38" s="497"/>
    </row>
    <row r="39" spans="1:14" s="329" customFormat="1" ht="13.5" customHeight="1" x14ac:dyDescent="0.2">
      <c r="A39" s="496" t="s">
        <v>360</v>
      </c>
      <c r="B39" s="483">
        <v>730</v>
      </c>
      <c r="C39" s="466">
        <v>2068791</v>
      </c>
      <c r="D39" s="466">
        <v>229707</v>
      </c>
      <c r="E39" s="466">
        <v>168037</v>
      </c>
      <c r="F39" s="466">
        <v>225067</v>
      </c>
      <c r="G39" s="466">
        <v>168391</v>
      </c>
      <c r="H39" s="466"/>
      <c r="I39" s="466">
        <v>849526</v>
      </c>
      <c r="J39" s="467">
        <v>270547</v>
      </c>
      <c r="K39" s="466">
        <v>249642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8572378</v>
      </c>
      <c r="N40" s="497"/>
    </row>
    <row r="41" spans="1:14" ht="13.5" customHeight="1" thickBot="1" x14ac:dyDescent="0.25">
      <c r="A41" s="1757" t="s">
        <v>676</v>
      </c>
      <c r="B41" s="1727"/>
      <c r="C41" s="1709">
        <f>(SUM(C34,C37,C38,C39))</f>
        <v>2124151</v>
      </c>
      <c r="D41" s="1709">
        <f t="shared" ref="D41:L41" si="2">SUM(D34,D37,D38:D39)</f>
        <v>229707</v>
      </c>
      <c r="E41" s="1709">
        <f t="shared" si="2"/>
        <v>168037</v>
      </c>
      <c r="F41" s="1709">
        <f t="shared" si="2"/>
        <v>225067</v>
      </c>
      <c r="G41" s="1709">
        <f t="shared" si="2"/>
        <v>240287</v>
      </c>
      <c r="H41" s="1709">
        <f t="shared" si="2"/>
        <v>0</v>
      </c>
      <c r="I41" s="1709">
        <f t="shared" si="2"/>
        <v>849526</v>
      </c>
      <c r="J41" s="1709">
        <f t="shared" si="2"/>
        <v>270547</v>
      </c>
      <c r="K41" s="1709">
        <f t="shared" si="2"/>
        <v>649642</v>
      </c>
      <c r="L41" s="1709">
        <f t="shared" si="2"/>
        <v>105716</v>
      </c>
      <c r="M41" s="1709">
        <f>SUM(M40)</f>
        <v>8572378</v>
      </c>
      <c r="N41" s="1709">
        <f>SUM(N37)</f>
        <v>2513365</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25"/>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&amp;F&amp;C&amp;"Franklin Gothic Book,Regular"&amp;8The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3" t="s">
        <v>1237</v>
      </c>
      <c r="B3" s="2164"/>
      <c r="C3" s="1594"/>
      <c r="D3" s="1595"/>
      <c r="E3" s="1595"/>
      <c r="F3" s="1595"/>
      <c r="G3" s="1595"/>
      <c r="H3" s="1595"/>
      <c r="I3" s="1595"/>
      <c r="J3" s="1595"/>
      <c r="K3" s="1596"/>
      <c r="L3" s="506"/>
    </row>
    <row r="4" spans="1:13" ht="15.75" customHeight="1" x14ac:dyDescent="0.2">
      <c r="A4" s="1953" t="s">
        <v>1579</v>
      </c>
      <c r="B4" s="1954">
        <v>1000</v>
      </c>
      <c r="C4" s="1763">
        <f>'Revenues 9-14'!C109</f>
        <v>1357125</v>
      </c>
      <c r="D4" s="1763">
        <f>'Revenues 9-14'!D109</f>
        <v>257281</v>
      </c>
      <c r="E4" s="1763">
        <f>'Revenues 9-14'!E109</f>
        <v>505445</v>
      </c>
      <c r="F4" s="1763">
        <f>'Revenues 9-14'!F109</f>
        <v>106386</v>
      </c>
      <c r="G4" s="1763">
        <f>'Revenues 9-14'!G109</f>
        <v>194869</v>
      </c>
      <c r="H4" s="1763">
        <f>'Revenues 9-14'!H109</f>
        <v>0</v>
      </c>
      <c r="I4" s="1763">
        <f>'Revenues 9-14'!I109</f>
        <v>25698</v>
      </c>
      <c r="J4" s="1763">
        <f>'Revenues 9-14'!J109</f>
        <v>504973</v>
      </c>
      <c r="K4" s="1763">
        <f>'Revenues 9-14'!K109</f>
        <v>34937</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2361090</v>
      </c>
      <c r="D6" s="1764">
        <f>'Revenues 9-14'!D173</f>
        <v>0</v>
      </c>
      <c r="E6" s="1764">
        <f>'Revenues 9-14'!E173</f>
        <v>0</v>
      </c>
      <c r="F6" s="1764">
        <f>'Revenues 9-14'!F173</f>
        <v>164242</v>
      </c>
      <c r="G6" s="1764">
        <f>'Revenues 9-14'!G173</f>
        <v>8470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442972</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4161187</v>
      </c>
      <c r="D8" s="1709">
        <f t="shared" ref="D8:K8" si="0">SUM(D4:D7)</f>
        <v>257281</v>
      </c>
      <c r="E8" s="1709">
        <f t="shared" si="0"/>
        <v>505445</v>
      </c>
      <c r="F8" s="1709">
        <f t="shared" si="0"/>
        <v>270628</v>
      </c>
      <c r="G8" s="1709">
        <f t="shared" si="0"/>
        <v>203339</v>
      </c>
      <c r="H8" s="1709">
        <f t="shared" si="0"/>
        <v>0</v>
      </c>
      <c r="I8" s="1709">
        <f t="shared" si="0"/>
        <v>25698</v>
      </c>
      <c r="J8" s="1709">
        <f t="shared" si="0"/>
        <v>504973</v>
      </c>
      <c r="K8" s="1709">
        <f t="shared" si="0"/>
        <v>34937</v>
      </c>
      <c r="L8" s="347"/>
    </row>
    <row r="9" spans="1:13" ht="15.75" thickTop="1" x14ac:dyDescent="0.2">
      <c r="A9" s="514" t="s">
        <v>1752</v>
      </c>
      <c r="B9" s="515">
        <v>3998</v>
      </c>
      <c r="C9" s="481">
        <v>1603274</v>
      </c>
      <c r="D9" s="516"/>
      <c r="E9" s="481"/>
      <c r="F9" s="481"/>
      <c r="G9" s="517"/>
      <c r="H9" s="481"/>
      <c r="I9" s="509" t="s">
        <v>1231</v>
      </c>
      <c r="J9" s="478"/>
      <c r="K9" s="481"/>
      <c r="L9" s="347"/>
    </row>
    <row r="10" spans="1:13" s="519" customFormat="1" ht="13.5" thickBot="1" x14ac:dyDescent="0.25">
      <c r="A10" s="1757" t="s">
        <v>1235</v>
      </c>
      <c r="B10" s="1730"/>
      <c r="C10" s="1709">
        <f>SUM(C8:C9)</f>
        <v>5764461</v>
      </c>
      <c r="D10" s="1709">
        <f t="shared" ref="D10:K10" si="1">SUM(D8:D9)</f>
        <v>257281</v>
      </c>
      <c r="E10" s="1709">
        <f t="shared" si="1"/>
        <v>505445</v>
      </c>
      <c r="F10" s="1709">
        <f t="shared" si="1"/>
        <v>270628</v>
      </c>
      <c r="G10" s="1709">
        <f t="shared" si="1"/>
        <v>203339</v>
      </c>
      <c r="H10" s="1709">
        <f t="shared" si="1"/>
        <v>0</v>
      </c>
      <c r="I10" s="1709">
        <f t="shared" si="1"/>
        <v>25698</v>
      </c>
      <c r="J10" s="1709">
        <f t="shared" si="1"/>
        <v>504973</v>
      </c>
      <c r="K10" s="1709">
        <f t="shared" si="1"/>
        <v>34937</v>
      </c>
      <c r="L10" s="518"/>
    </row>
    <row r="11" spans="1:13" s="519" customFormat="1" ht="16.7" customHeight="1" thickTop="1" x14ac:dyDescent="0.2">
      <c r="A11" s="2137" t="s">
        <v>1238</v>
      </c>
      <c r="B11" s="2138"/>
      <c r="C11" s="1591"/>
      <c r="D11" s="1592"/>
      <c r="E11" s="1592"/>
      <c r="F11" s="1592"/>
      <c r="G11" s="1592"/>
      <c r="H11" s="1592"/>
      <c r="I11" s="1592"/>
      <c r="J11" s="1592"/>
      <c r="K11" s="1593"/>
      <c r="L11" s="518"/>
    </row>
    <row r="12" spans="1:13" ht="15.75" customHeight="1" x14ac:dyDescent="0.2">
      <c r="A12" s="1597" t="s">
        <v>476</v>
      </c>
      <c r="B12" s="1599">
        <v>1000</v>
      </c>
      <c r="C12" s="1763">
        <f>'Expenditures 15-22'!K33</f>
        <v>2309111</v>
      </c>
      <c r="D12" s="520" t="s">
        <v>1231</v>
      </c>
      <c r="E12" s="468" t="s">
        <v>1231</v>
      </c>
      <c r="F12" s="468" t="s">
        <v>1231</v>
      </c>
      <c r="G12" s="1763">
        <f>'Expenditures 15-22'!K229</f>
        <v>47726</v>
      </c>
      <c r="H12" s="521"/>
      <c r="I12" s="468" t="s">
        <v>1231</v>
      </c>
      <c r="J12" s="468" t="s">
        <v>1231</v>
      </c>
      <c r="K12" s="521" t="s">
        <v>1231</v>
      </c>
      <c r="L12" s="347"/>
    </row>
    <row r="13" spans="1:13" ht="15.75" customHeight="1" x14ac:dyDescent="0.2">
      <c r="A13" s="1597" t="s">
        <v>477</v>
      </c>
      <c r="B13" s="1599">
        <v>2000</v>
      </c>
      <c r="C13" s="1764">
        <f>'Expenditures 15-22'!K74</f>
        <v>1000601</v>
      </c>
      <c r="D13" s="1764">
        <f>'Expenditures 15-22'!K129</f>
        <v>201268</v>
      </c>
      <c r="E13" s="469" t="s">
        <v>1231</v>
      </c>
      <c r="F13" s="1764">
        <f>'Expenditures 15-22'!K184</f>
        <v>327251</v>
      </c>
      <c r="G13" s="1764">
        <f>'Expenditures 15-22'!K279</f>
        <v>88578</v>
      </c>
      <c r="H13" s="1764">
        <f>'Expenditures 15-22'!K303</f>
        <v>0</v>
      </c>
      <c r="I13" s="468" t="s">
        <v>1231</v>
      </c>
      <c r="J13" s="1764">
        <f>'Expenditures 15-22'!K330</f>
        <v>530179</v>
      </c>
      <c r="K13" s="1768">
        <f>'Expenditures 15-22'!K352</f>
        <v>126730</v>
      </c>
      <c r="L13" s="347"/>
    </row>
    <row r="14" spans="1:13" ht="15.75" customHeight="1" x14ac:dyDescent="0.2">
      <c r="A14" s="1597" t="s">
        <v>469</v>
      </c>
      <c r="B14" s="1599">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7" t="s">
        <v>109</v>
      </c>
      <c r="B15" s="1599">
        <v>4000</v>
      </c>
      <c r="C15" s="1764">
        <f>'Expenditures 15-22'!K102</f>
        <v>42590</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501404</v>
      </c>
      <c r="F16" s="1764">
        <f>'Expenditures 15-22'!K208</f>
        <v>3453</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3352302</v>
      </c>
      <c r="D17" s="1709">
        <f t="shared" si="2"/>
        <v>201268</v>
      </c>
      <c r="E17" s="1709">
        <f t="shared" si="2"/>
        <v>501404</v>
      </c>
      <c r="F17" s="1709">
        <f t="shared" si="2"/>
        <v>330704</v>
      </c>
      <c r="G17" s="1709">
        <f t="shared" si="2"/>
        <v>136304</v>
      </c>
      <c r="H17" s="1709">
        <f t="shared" si="2"/>
        <v>0</v>
      </c>
      <c r="I17" s="468"/>
      <c r="J17" s="1709">
        <f>SUM(J12:J16)</f>
        <v>530179</v>
      </c>
      <c r="K17" s="1709">
        <f>SUM(K12:K16)</f>
        <v>126730</v>
      </c>
      <c r="L17" s="347"/>
    </row>
    <row r="18" spans="1:12" ht="15" customHeight="1" thickTop="1" x14ac:dyDescent="0.2">
      <c r="A18" s="1765" t="s">
        <v>1753</v>
      </c>
      <c r="B18" s="1766">
        <v>4180</v>
      </c>
      <c r="C18" s="1763">
        <f t="shared" ref="C18:H18" si="3">C9</f>
        <v>1603274</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4955576</v>
      </c>
      <c r="D19" s="1709">
        <f t="shared" si="4"/>
        <v>201268</v>
      </c>
      <c r="E19" s="1709">
        <f t="shared" si="4"/>
        <v>501404</v>
      </c>
      <c r="F19" s="1709">
        <f t="shared" si="4"/>
        <v>330704</v>
      </c>
      <c r="G19" s="1709">
        <f t="shared" si="4"/>
        <v>136304</v>
      </c>
      <c r="H19" s="1709">
        <f t="shared" si="4"/>
        <v>0</v>
      </c>
      <c r="I19" s="468"/>
      <c r="J19" s="1709">
        <f>SUM(J17:J18)</f>
        <v>530179</v>
      </c>
      <c r="K19" s="1709">
        <f>SUM(K17:K18)</f>
        <v>126730</v>
      </c>
      <c r="L19" s="347"/>
    </row>
    <row r="20" spans="1:12" ht="16.5" thickTop="1" thickBot="1" x14ac:dyDescent="0.25">
      <c r="A20" s="2153" t="s">
        <v>1754</v>
      </c>
      <c r="B20" s="2154"/>
      <c r="C20" s="1767">
        <f>C8-C17</f>
        <v>808885</v>
      </c>
      <c r="D20" s="1767">
        <f t="shared" ref="D20:K20" si="5">D8-D17</f>
        <v>56013</v>
      </c>
      <c r="E20" s="1767">
        <f t="shared" si="5"/>
        <v>4041</v>
      </c>
      <c r="F20" s="1767">
        <f t="shared" si="5"/>
        <v>-60076</v>
      </c>
      <c r="G20" s="1767">
        <f t="shared" si="5"/>
        <v>67035</v>
      </c>
      <c r="H20" s="1767">
        <f t="shared" si="5"/>
        <v>0</v>
      </c>
      <c r="I20" s="1767">
        <f t="shared" si="5"/>
        <v>25698</v>
      </c>
      <c r="J20" s="1767">
        <f t="shared" si="5"/>
        <v>-25206</v>
      </c>
      <c r="K20" s="1767">
        <f t="shared" si="5"/>
        <v>-91793</v>
      </c>
      <c r="L20" s="347"/>
    </row>
    <row r="21" spans="1:12" ht="16.7" customHeight="1" thickTop="1" x14ac:dyDescent="0.2">
      <c r="A21" s="2165" t="s">
        <v>616</v>
      </c>
      <c r="B21" s="2166"/>
      <c r="C21" s="1591"/>
      <c r="D21" s="1592"/>
      <c r="E21" s="1592"/>
      <c r="F21" s="1592"/>
      <c r="G21" s="1592"/>
      <c r="H21" s="1592"/>
      <c r="I21" s="1592"/>
      <c r="J21" s="1592"/>
      <c r="K21" s="1593"/>
      <c r="L21" s="524"/>
    </row>
    <row r="22" spans="1:12" ht="15.75" customHeight="1" collapsed="1" x14ac:dyDescent="0.2">
      <c r="A22" s="2161" t="s">
        <v>617</v>
      </c>
      <c r="B22" s="2162"/>
      <c r="C22" s="477"/>
      <c r="D22" s="477"/>
      <c r="E22" s="477"/>
      <c r="F22" s="477"/>
      <c r="G22" s="477"/>
      <c r="H22" s="477"/>
      <c r="I22" s="477"/>
      <c r="J22" s="477"/>
      <c r="K22" s="477"/>
      <c r="L22" s="347"/>
    </row>
    <row r="23" spans="1:12" s="485" customFormat="1" ht="15.75" customHeight="1" x14ac:dyDescent="0.2">
      <c r="A23" s="2157" t="s">
        <v>311</v>
      </c>
      <c r="B23" s="2158"/>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1897</v>
      </c>
      <c r="B30" s="527">
        <v>7160</v>
      </c>
      <c r="C30" s="477"/>
      <c r="D30" s="467"/>
      <c r="E30" s="477"/>
      <c r="F30" s="477"/>
      <c r="G30" s="477"/>
      <c r="H30" s="477"/>
      <c r="I30" s="477"/>
      <c r="J30" s="477"/>
      <c r="K30" s="477"/>
      <c r="L30" s="524"/>
    </row>
    <row r="31" spans="1:12" s="485" customFormat="1" ht="26.25" x14ac:dyDescent="0.2">
      <c r="A31" s="1510" t="s">
        <v>1901</v>
      </c>
      <c r="B31" s="527">
        <v>7170</v>
      </c>
      <c r="C31" s="477"/>
      <c r="D31" s="477"/>
      <c r="E31" s="474"/>
      <c r="F31" s="477"/>
      <c r="G31" s="477"/>
      <c r="H31" s="477"/>
      <c r="I31" s="477"/>
      <c r="J31" s="477"/>
      <c r="K31" s="477"/>
      <c r="L31" s="524"/>
    </row>
    <row r="32" spans="1:12" s="485" customFormat="1" ht="15.75" customHeight="1" x14ac:dyDescent="0.2">
      <c r="A32" s="2159" t="s">
        <v>1038</v>
      </c>
      <c r="B32" s="2160"/>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v>10728</v>
      </c>
      <c r="G43" s="467"/>
      <c r="H43" s="467"/>
      <c r="I43" s="467"/>
      <c r="J43" s="467"/>
      <c r="K43" s="467"/>
      <c r="L43" s="524"/>
    </row>
    <row r="44" spans="1:12" s="485" customFormat="1" ht="13.5" customHeight="1" thickBot="1" x14ac:dyDescent="0.25">
      <c r="A44" s="2167" t="s">
        <v>392</v>
      </c>
      <c r="B44" s="2168"/>
      <c r="C44" s="1724">
        <f>SUM(C24:C43)</f>
        <v>0</v>
      </c>
      <c r="D44" s="1724">
        <f t="shared" ref="D44:K44" si="6">SUM(D24:D43)</f>
        <v>0</v>
      </c>
      <c r="E44" s="1724">
        <f t="shared" si="6"/>
        <v>0</v>
      </c>
      <c r="F44" s="1724">
        <f t="shared" si="6"/>
        <v>10728</v>
      </c>
      <c r="G44" s="1724">
        <f t="shared" si="6"/>
        <v>0</v>
      </c>
      <c r="H44" s="1724">
        <f t="shared" si="6"/>
        <v>0</v>
      </c>
      <c r="I44" s="1724">
        <f t="shared" si="6"/>
        <v>0</v>
      </c>
      <c r="J44" s="1724">
        <f t="shared" si="6"/>
        <v>0</v>
      </c>
      <c r="K44" s="1724">
        <f t="shared" si="6"/>
        <v>0</v>
      </c>
      <c r="L44" s="524"/>
    </row>
    <row r="45" spans="1:12" ht="15.75" customHeight="1" thickTop="1" x14ac:dyDescent="0.2">
      <c r="A45" s="2161" t="s">
        <v>110</v>
      </c>
      <c r="B45" s="2162"/>
      <c r="C45" s="528"/>
      <c r="D45" s="528"/>
      <c r="E45" s="528"/>
      <c r="F45" s="528"/>
      <c r="G45" s="528"/>
      <c r="H45" s="528"/>
      <c r="I45" s="528"/>
      <c r="J45" s="528"/>
      <c r="K45" s="528"/>
      <c r="L45" s="347"/>
    </row>
    <row r="46" spans="1:12" s="485" customFormat="1" ht="15.75" customHeight="1" x14ac:dyDescent="0.2">
      <c r="A46" s="2169" t="s">
        <v>111</v>
      </c>
      <c r="B46" s="2170"/>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1900</v>
      </c>
      <c r="B52" s="483">
        <v>8160</v>
      </c>
      <c r="C52" s="477"/>
      <c r="D52" s="477"/>
      <c r="E52" s="477"/>
      <c r="F52" s="477"/>
      <c r="G52" s="477"/>
      <c r="H52" s="477"/>
      <c r="I52" s="477"/>
      <c r="J52" s="477"/>
      <c r="K52" s="1764">
        <f>D30</f>
        <v>0</v>
      </c>
      <c r="L52" s="524"/>
    </row>
    <row r="53" spans="1:12" s="485" customFormat="1" ht="26.25" x14ac:dyDescent="0.2">
      <c r="A53" s="1511" t="s">
        <v>1899</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43" t="s">
        <v>460</v>
      </c>
      <c r="B76" s="2144"/>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45" t="s">
        <v>1239</v>
      </c>
      <c r="B77" s="2146"/>
      <c r="C77" s="1724">
        <f t="shared" ref="C77:K77" si="8">C44-C76</f>
        <v>0</v>
      </c>
      <c r="D77" s="1724">
        <f t="shared" si="8"/>
        <v>0</v>
      </c>
      <c r="E77" s="1724">
        <f t="shared" si="8"/>
        <v>0</v>
      </c>
      <c r="F77" s="1724">
        <f t="shared" si="8"/>
        <v>10728</v>
      </c>
      <c r="G77" s="1724">
        <f t="shared" si="8"/>
        <v>0</v>
      </c>
      <c r="H77" s="1724">
        <f t="shared" si="8"/>
        <v>0</v>
      </c>
      <c r="I77" s="1724">
        <f t="shared" si="8"/>
        <v>0</v>
      </c>
      <c r="J77" s="1724">
        <f t="shared" si="8"/>
        <v>0</v>
      </c>
      <c r="K77" s="1724">
        <f t="shared" si="8"/>
        <v>0</v>
      </c>
      <c r="L77" s="347"/>
    </row>
    <row r="78" spans="1:12" ht="21.75" customHeight="1" thickTop="1" thickBot="1" x14ac:dyDescent="0.25">
      <c r="A78" s="2149" t="s">
        <v>618</v>
      </c>
      <c r="B78" s="2150"/>
      <c r="C78" s="1723">
        <f t="shared" ref="C78:K78" si="9">C20+C77</f>
        <v>808885</v>
      </c>
      <c r="D78" s="1723">
        <f t="shared" si="9"/>
        <v>56013</v>
      </c>
      <c r="E78" s="1723">
        <f t="shared" si="9"/>
        <v>4041</v>
      </c>
      <c r="F78" s="1723">
        <f t="shared" si="9"/>
        <v>-49348</v>
      </c>
      <c r="G78" s="1723">
        <f t="shared" si="9"/>
        <v>67035</v>
      </c>
      <c r="H78" s="1723">
        <f t="shared" si="9"/>
        <v>0</v>
      </c>
      <c r="I78" s="1723">
        <f t="shared" si="9"/>
        <v>25698</v>
      </c>
      <c r="J78" s="1723">
        <f t="shared" si="9"/>
        <v>-25206</v>
      </c>
      <c r="K78" s="1723">
        <f t="shared" si="9"/>
        <v>-91793</v>
      </c>
      <c r="L78" s="533"/>
    </row>
    <row r="79" spans="1:12" ht="13.5" thickTop="1" x14ac:dyDescent="0.2">
      <c r="A79" s="1515" t="s">
        <v>2073</v>
      </c>
      <c r="B79" s="534"/>
      <c r="C79" s="478">
        <v>1315186</v>
      </c>
      <c r="D79" s="535">
        <v>173694</v>
      </c>
      <c r="E79" s="535">
        <v>163996</v>
      </c>
      <c r="F79" s="535">
        <v>274415</v>
      </c>
      <c r="G79" s="535">
        <v>173252</v>
      </c>
      <c r="H79" s="535">
        <v>0</v>
      </c>
      <c r="I79" s="535">
        <v>823828</v>
      </c>
      <c r="J79" s="535">
        <v>295753</v>
      </c>
      <c r="K79" s="535">
        <v>341435</v>
      </c>
      <c r="L79" s="347"/>
    </row>
    <row r="80" spans="1:12" x14ac:dyDescent="0.2">
      <c r="A80" s="2155" t="s">
        <v>1898</v>
      </c>
      <c r="B80" s="2156"/>
      <c r="C80" s="467"/>
      <c r="D80" s="467"/>
      <c r="E80" s="467"/>
      <c r="F80" s="467"/>
      <c r="G80" s="467"/>
      <c r="H80" s="467"/>
      <c r="I80" s="467"/>
      <c r="J80" s="467"/>
      <c r="K80" s="467"/>
      <c r="L80" s="347"/>
    </row>
    <row r="81" spans="1:12" ht="13.5" thickBot="1" x14ac:dyDescent="0.25">
      <c r="A81" s="2147" t="s">
        <v>2074</v>
      </c>
      <c r="B81" s="2148"/>
      <c r="C81" s="1709">
        <f>(SUM(C78:C80))</f>
        <v>2124071</v>
      </c>
      <c r="D81" s="1709">
        <f>SUM(D78:D80)</f>
        <v>229707</v>
      </c>
      <c r="E81" s="1709">
        <f t="shared" ref="E81:K81" si="10">SUM(E78:E80)</f>
        <v>168037</v>
      </c>
      <c r="F81" s="1709">
        <f t="shared" si="10"/>
        <v>225067</v>
      </c>
      <c r="G81" s="1709">
        <f t="shared" si="10"/>
        <v>240287</v>
      </c>
      <c r="H81" s="1709">
        <f t="shared" si="10"/>
        <v>0</v>
      </c>
      <c r="I81" s="1709">
        <f t="shared" si="10"/>
        <v>849526</v>
      </c>
      <c r="J81" s="1709">
        <f t="shared" si="10"/>
        <v>270547</v>
      </c>
      <c r="K81" s="1709">
        <f t="shared" si="10"/>
        <v>249642</v>
      </c>
      <c r="L81" s="347"/>
    </row>
    <row r="82" spans="1:12" ht="0.75" customHeight="1" thickTop="1" thickBot="1" x14ac:dyDescent="0.25">
      <c r="A82" s="536" t="s">
        <v>361</v>
      </c>
      <c r="B82" s="537"/>
      <c r="C82" s="538">
        <f>(C81-C79)</f>
        <v>808885</v>
      </c>
      <c r="D82" s="538">
        <f t="shared" ref="D82:K82" si="11">(D81-D79)</f>
        <v>56013</v>
      </c>
      <c r="E82" s="538">
        <f t="shared" si="11"/>
        <v>4041</v>
      </c>
      <c r="F82" s="538">
        <f t="shared" si="11"/>
        <v>-49348</v>
      </c>
      <c r="G82" s="538">
        <f t="shared" si="11"/>
        <v>67035</v>
      </c>
      <c r="H82" s="538">
        <f t="shared" si="11"/>
        <v>0</v>
      </c>
      <c r="I82" s="538">
        <f t="shared" si="11"/>
        <v>25698</v>
      </c>
      <c r="J82" s="538">
        <f t="shared" si="11"/>
        <v>-25206</v>
      </c>
      <c r="K82" s="538">
        <f t="shared" si="11"/>
        <v>-91793</v>
      </c>
    </row>
    <row r="83" spans="1:12" ht="14.25" hidden="1" thickTop="1" thickBot="1" x14ac:dyDescent="0.25">
      <c r="A83" s="539" t="s">
        <v>362</v>
      </c>
      <c r="B83" s="464"/>
      <c r="C83" s="540">
        <f>C82/C81</f>
        <v>0.3808182494841274</v>
      </c>
      <c r="D83" s="540">
        <f t="shared" ref="D83:K83" si="12">D82/D81</f>
        <v>0.24384542047042537</v>
      </c>
      <c r="E83" s="540">
        <f t="shared" si="12"/>
        <v>2.4048275082273547E-2</v>
      </c>
      <c r="F83" s="540">
        <f t="shared" si="12"/>
        <v>-0.21925915394082651</v>
      </c>
      <c r="G83" s="540">
        <f t="shared" si="12"/>
        <v>0.27897888774673618</v>
      </c>
      <c r="H83" s="540" t="e">
        <f t="shared" si="12"/>
        <v>#DIV/0!</v>
      </c>
      <c r="I83" s="540">
        <f t="shared" si="12"/>
        <v>3.0249809893987942E-2</v>
      </c>
      <c r="J83" s="540">
        <f t="shared" si="12"/>
        <v>-9.3166806506817676E-2</v>
      </c>
      <c r="K83" s="540">
        <f t="shared" si="12"/>
        <v>-0.36769854431545973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25"/>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&amp;F&amp;C&amp;"Franklin Gothic Book,Regular"&amp;8The Notes to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96" activePane="bottomLeft" state="frozen"/>
      <selection activeCell="A47" sqref="A47"/>
      <selection pane="bottomLeft" activeCell="C99" sqref="C99"/>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1" t="s">
        <v>1905</v>
      </c>
      <c r="B1" s="452"/>
      <c r="C1" s="453" t="s">
        <v>445</v>
      </c>
      <c r="D1" s="453" t="s">
        <v>446</v>
      </c>
      <c r="E1" s="453" t="s">
        <v>447</v>
      </c>
      <c r="F1" s="453" t="s">
        <v>448</v>
      </c>
      <c r="G1" s="453" t="s">
        <v>449</v>
      </c>
      <c r="H1" s="453" t="s">
        <v>450</v>
      </c>
      <c r="I1" s="453" t="s">
        <v>451</v>
      </c>
      <c r="J1" s="453" t="s">
        <v>452</v>
      </c>
      <c r="K1" s="453" t="s">
        <v>780</v>
      </c>
    </row>
    <row r="2" spans="1:12" ht="36" x14ac:dyDescent="0.2">
      <c r="A2" s="215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1010751</v>
      </c>
      <c r="D5" s="481">
        <v>256535</v>
      </c>
      <c r="E5" s="466">
        <v>504544</v>
      </c>
      <c r="F5" s="548">
        <v>102615</v>
      </c>
      <c r="G5" s="466">
        <v>79804</v>
      </c>
      <c r="H5" s="466"/>
      <c r="I5" s="466">
        <v>25652</v>
      </c>
      <c r="J5" s="467">
        <v>498742</v>
      </c>
      <c r="K5" s="466">
        <v>25652</v>
      </c>
    </row>
    <row r="6" spans="1:12" ht="15" x14ac:dyDescent="0.2">
      <c r="A6" s="463" t="s">
        <v>1761</v>
      </c>
      <c r="B6" s="470">
        <v>1130</v>
      </c>
      <c r="C6" s="466">
        <v>25652</v>
      </c>
      <c r="D6" s="466"/>
      <c r="E6" s="475"/>
      <c r="F6" s="475"/>
      <c r="G6" s="468"/>
      <c r="H6" s="468"/>
      <c r="I6" s="468"/>
      <c r="J6" s="468"/>
      <c r="K6" s="468"/>
    </row>
    <row r="7" spans="1:12" x14ac:dyDescent="0.2">
      <c r="A7" s="463" t="s">
        <v>112</v>
      </c>
      <c r="B7" s="549">
        <v>1140</v>
      </c>
      <c r="C7" s="466">
        <v>20522</v>
      </c>
      <c r="D7" s="466"/>
      <c r="E7" s="468"/>
      <c r="F7" s="467"/>
      <c r="G7" s="467"/>
      <c r="H7" s="467"/>
      <c r="I7" s="468"/>
      <c r="J7" s="468"/>
      <c r="K7" s="468"/>
    </row>
    <row r="8" spans="1:12" x14ac:dyDescent="0.2">
      <c r="A8" s="463" t="s">
        <v>433</v>
      </c>
      <c r="B8" s="470">
        <v>1150</v>
      </c>
      <c r="C8" s="475"/>
      <c r="D8" s="475"/>
      <c r="E8" s="477"/>
      <c r="F8" s="477"/>
      <c r="G8" s="481">
        <v>114718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1056925</v>
      </c>
      <c r="D12" s="1728">
        <f t="shared" si="0"/>
        <v>256535</v>
      </c>
      <c r="E12" s="1728">
        <f t="shared" si="0"/>
        <v>504544</v>
      </c>
      <c r="F12" s="1728">
        <f t="shared" si="0"/>
        <v>102615</v>
      </c>
      <c r="G12" s="1728">
        <f t="shared" si="0"/>
        <v>194522</v>
      </c>
      <c r="H12" s="1728">
        <f t="shared" si="0"/>
        <v>0</v>
      </c>
      <c r="I12" s="1728">
        <f t="shared" si="0"/>
        <v>25652</v>
      </c>
      <c r="J12" s="1728">
        <f t="shared" si="0"/>
        <v>498742</v>
      </c>
      <c r="K12" s="1709">
        <f t="shared" si="0"/>
        <v>25652</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v>46</v>
      </c>
      <c r="D14" s="466">
        <v>11</v>
      </c>
      <c r="E14" s="466">
        <v>22</v>
      </c>
      <c r="F14" s="466">
        <v>5</v>
      </c>
      <c r="G14" s="466">
        <v>9</v>
      </c>
      <c r="H14" s="466"/>
      <c r="I14" s="466">
        <v>1</v>
      </c>
      <c r="J14" s="467">
        <v>22</v>
      </c>
      <c r="K14" s="466">
        <v>1</v>
      </c>
    </row>
    <row r="15" spans="1:12" ht="12.75" customHeight="1" x14ac:dyDescent="0.2">
      <c r="A15" s="463" t="s">
        <v>97</v>
      </c>
      <c r="B15" s="470">
        <v>1220</v>
      </c>
      <c r="C15" s="551">
        <v>1345</v>
      </c>
      <c r="D15" s="466">
        <v>327</v>
      </c>
      <c r="E15" s="466">
        <v>642</v>
      </c>
      <c r="F15" s="466">
        <v>131</v>
      </c>
      <c r="G15" s="466">
        <v>248</v>
      </c>
      <c r="H15" s="466"/>
      <c r="I15" s="466">
        <v>33</v>
      </c>
      <c r="J15" s="467">
        <v>635</v>
      </c>
      <c r="K15" s="466">
        <v>33</v>
      </c>
    </row>
    <row r="16" spans="1:12" ht="15" customHeight="1" x14ac:dyDescent="0.2">
      <c r="A16" s="463" t="s">
        <v>1762</v>
      </c>
      <c r="B16" s="549">
        <v>1230</v>
      </c>
      <c r="C16" s="551">
        <v>35720</v>
      </c>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37111</v>
      </c>
      <c r="D18" s="1731">
        <f t="shared" ref="D18:K18" si="1">SUM(D14:D17)</f>
        <v>338</v>
      </c>
      <c r="E18" s="1731">
        <f t="shared" si="1"/>
        <v>664</v>
      </c>
      <c r="F18" s="1731">
        <f t="shared" si="1"/>
        <v>136</v>
      </c>
      <c r="G18" s="1731">
        <f t="shared" si="1"/>
        <v>257</v>
      </c>
      <c r="H18" s="1731">
        <f t="shared" si="1"/>
        <v>0</v>
      </c>
      <c r="I18" s="1731">
        <f t="shared" si="1"/>
        <v>34</v>
      </c>
      <c r="J18" s="1731">
        <f t="shared" si="1"/>
        <v>657</v>
      </c>
      <c r="K18" s="1732">
        <f t="shared" si="1"/>
        <v>34</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v>6849</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v>1188</v>
      </c>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8037</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1967</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1967</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14414</v>
      </c>
      <c r="D65" s="466">
        <v>120</v>
      </c>
      <c r="E65" s="466">
        <v>237</v>
      </c>
      <c r="F65" s="467">
        <v>48</v>
      </c>
      <c r="G65" s="466">
        <v>90</v>
      </c>
      <c r="H65" s="466"/>
      <c r="I65" s="466">
        <v>12</v>
      </c>
      <c r="J65" s="467">
        <v>234</v>
      </c>
      <c r="K65" s="466">
        <v>9251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14414</v>
      </c>
      <c r="D67" s="1709">
        <f t="shared" ref="D67:K67" si="2">SUM(D65:D66)</f>
        <v>120</v>
      </c>
      <c r="E67" s="1709">
        <f t="shared" si="2"/>
        <v>237</v>
      </c>
      <c r="F67" s="1709">
        <f t="shared" si="2"/>
        <v>48</v>
      </c>
      <c r="G67" s="1709">
        <f t="shared" si="2"/>
        <v>90</v>
      </c>
      <c r="H67" s="1709">
        <f t="shared" si="2"/>
        <v>0</v>
      </c>
      <c r="I67" s="1709">
        <f t="shared" si="2"/>
        <v>12</v>
      </c>
      <c r="J67" s="1709">
        <f t="shared" si="2"/>
        <v>234</v>
      </c>
      <c r="K67" s="1709">
        <f t="shared" si="2"/>
        <v>9251</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56576</v>
      </c>
      <c r="D69" s="468"/>
      <c r="E69" s="468"/>
      <c r="F69" s="468"/>
      <c r="G69" s="468"/>
      <c r="H69" s="468"/>
      <c r="I69" s="468"/>
      <c r="J69" s="468"/>
      <c r="K69" s="468"/>
    </row>
    <row r="70" spans="1:11" ht="12.75" customHeight="1" x14ac:dyDescent="0.2">
      <c r="A70" s="463" t="s">
        <v>1054</v>
      </c>
      <c r="B70" s="470">
        <v>1612</v>
      </c>
      <c r="C70" s="551">
        <v>5485</v>
      </c>
      <c r="D70" s="468"/>
      <c r="E70" s="468"/>
      <c r="F70" s="468"/>
      <c r="G70" s="468"/>
      <c r="H70" s="468"/>
      <c r="I70" s="468"/>
      <c r="J70" s="468"/>
      <c r="K70" s="468"/>
    </row>
    <row r="71" spans="1:11" ht="12.75" customHeight="1" x14ac:dyDescent="0.2">
      <c r="A71" s="463" t="s">
        <v>291</v>
      </c>
      <c r="B71" s="470">
        <v>1613</v>
      </c>
      <c r="C71" s="551">
        <v>27353</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8335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97749</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28412</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5725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34137</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34444</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34444</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v>230</v>
      </c>
      <c r="E95" s="521"/>
      <c r="F95" s="521"/>
      <c r="G95" s="521"/>
      <c r="H95" s="521"/>
      <c r="I95" s="521"/>
      <c r="J95" s="521"/>
      <c r="K95" s="521"/>
    </row>
    <row r="96" spans="1:11" ht="12.75" customHeight="1" x14ac:dyDescent="0.2">
      <c r="A96" s="463" t="s">
        <v>409</v>
      </c>
      <c r="B96" s="470">
        <v>1920</v>
      </c>
      <c r="C96" s="551">
        <v>58917</v>
      </c>
      <c r="D96" s="551"/>
      <c r="E96" s="479"/>
      <c r="F96" s="478">
        <v>1500</v>
      </c>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200</v>
      </c>
      <c r="D99" s="466">
        <v>9</v>
      </c>
      <c r="E99" s="466"/>
      <c r="F99" s="466"/>
      <c r="G99" s="466"/>
      <c r="H99" s="466"/>
      <c r="I99" s="468"/>
      <c r="J99" s="467">
        <v>5340</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7095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8096</v>
      </c>
      <c r="D107" s="466">
        <v>49</v>
      </c>
      <c r="E107" s="466"/>
      <c r="F107" s="466">
        <v>120</v>
      </c>
      <c r="G107" s="466"/>
      <c r="H107" s="466"/>
      <c r="I107" s="466"/>
      <c r="J107" s="467"/>
      <c r="K107" s="466"/>
    </row>
    <row r="108" spans="1:12" ht="12.75" customHeight="1" thickBot="1" x14ac:dyDescent="0.25">
      <c r="A108" s="1729" t="s">
        <v>508</v>
      </c>
      <c r="B108" s="1733"/>
      <c r="C108" s="1728">
        <f>SUM(C95:C107)</f>
        <v>74308</v>
      </c>
      <c r="D108" s="1728">
        <f t="shared" ref="D108:K108" si="3">SUM(D95:D107)</f>
        <v>288</v>
      </c>
      <c r="E108" s="1728">
        <f t="shared" si="3"/>
        <v>0</v>
      </c>
      <c r="F108" s="1728">
        <f t="shared" si="3"/>
        <v>1620</v>
      </c>
      <c r="G108" s="1728">
        <f t="shared" si="3"/>
        <v>0</v>
      </c>
      <c r="H108" s="1728">
        <f t="shared" si="3"/>
        <v>0</v>
      </c>
      <c r="I108" s="1728">
        <f t="shared" si="3"/>
        <v>0</v>
      </c>
      <c r="J108" s="1728">
        <f t="shared" si="3"/>
        <v>5340</v>
      </c>
      <c r="K108" s="1709">
        <f t="shared" si="3"/>
        <v>0</v>
      </c>
    </row>
    <row r="109" spans="1:12" ht="14.25" thickTop="1" thickBot="1" x14ac:dyDescent="0.25">
      <c r="A109" s="1734" t="s">
        <v>266</v>
      </c>
      <c r="B109" s="1735" t="s">
        <v>591</v>
      </c>
      <c r="C109" s="1736">
        <f t="shared" ref="C109:K109" si="4">SUM(C12,C18,C40,C63,C67,C75,C82,C93,C108,)</f>
        <v>1357125</v>
      </c>
      <c r="D109" s="1736">
        <f t="shared" si="4"/>
        <v>257281</v>
      </c>
      <c r="E109" s="1736">
        <f t="shared" si="4"/>
        <v>505445</v>
      </c>
      <c r="F109" s="1736">
        <f t="shared" si="4"/>
        <v>106386</v>
      </c>
      <c r="G109" s="1736">
        <f t="shared" si="4"/>
        <v>194869</v>
      </c>
      <c r="H109" s="1736">
        <f t="shared" si="4"/>
        <v>0</v>
      </c>
      <c r="I109" s="1736">
        <f t="shared" si="4"/>
        <v>25698</v>
      </c>
      <c r="J109" s="1736">
        <f t="shared" si="4"/>
        <v>504973</v>
      </c>
      <c r="K109" s="1723">
        <f t="shared" si="4"/>
        <v>34937</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2083887</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7"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2083887</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76064</v>
      </c>
      <c r="D124" s="561"/>
      <c r="E124" s="468"/>
      <c r="F124" s="548"/>
      <c r="G124" s="468"/>
      <c r="H124" s="468"/>
      <c r="I124" s="468"/>
      <c r="J124" s="468"/>
      <c r="K124" s="468"/>
    </row>
    <row r="125" spans="1:11" ht="12.75" customHeight="1" x14ac:dyDescent="0.2">
      <c r="A125" s="463" t="s">
        <v>1521</v>
      </c>
      <c r="B125" s="562">
        <v>3105</v>
      </c>
      <c r="C125" s="466">
        <v>34896</v>
      </c>
      <c r="D125" s="561"/>
      <c r="E125" s="468"/>
      <c r="F125" s="466"/>
      <c r="G125" s="468"/>
      <c r="H125" s="468"/>
      <c r="I125" s="468"/>
      <c r="J125" s="468"/>
      <c r="K125" s="468"/>
    </row>
    <row r="126" spans="1:11" ht="12.75" customHeight="1" x14ac:dyDescent="0.2">
      <c r="A126" s="463" t="s">
        <v>922</v>
      </c>
      <c r="B126" s="562">
        <v>3110</v>
      </c>
      <c r="C126" s="551">
        <v>37392</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1599</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149951</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12103</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5372</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17475</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1989</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v>7297</v>
      </c>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76539</v>
      </c>
      <c r="G151" s="467"/>
      <c r="H151" s="468"/>
      <c r="I151" s="468"/>
      <c r="J151" s="468"/>
      <c r="K151" s="468"/>
    </row>
    <row r="152" spans="1:11" ht="12.75" customHeight="1" x14ac:dyDescent="0.2">
      <c r="A152" s="463" t="s">
        <v>1117</v>
      </c>
      <c r="B152" s="562">
        <v>3510</v>
      </c>
      <c r="C152" s="551"/>
      <c r="D152" s="466"/>
      <c r="E152" s="561"/>
      <c r="F152" s="466">
        <v>38622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115161</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v>98991</v>
      </c>
      <c r="D158" s="578"/>
      <c r="E158" s="561"/>
      <c r="F158" s="576">
        <v>49081</v>
      </c>
      <c r="G158" s="576">
        <v>8470</v>
      </c>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v>1500</v>
      </c>
      <c r="D171" s="580"/>
      <c r="E171" s="580"/>
      <c r="F171" s="580"/>
      <c r="G171" s="581"/>
      <c r="H171" s="582"/>
      <c r="I171" s="581"/>
      <c r="J171" s="581"/>
      <c r="K171" s="582"/>
    </row>
    <row r="172" spans="1:11" ht="12.75" customHeight="1" thickTop="1" thickBot="1" x14ac:dyDescent="0.25">
      <c r="A172" s="2171" t="s">
        <v>418</v>
      </c>
      <c r="B172" s="2172"/>
      <c r="C172" s="1743">
        <f t="shared" ref="C172:K172" si="6">SUM(C131,C140,C144,C145:C149,C154,C155:C170,C171)</f>
        <v>277203</v>
      </c>
      <c r="D172" s="1743">
        <f t="shared" si="6"/>
        <v>0</v>
      </c>
      <c r="E172" s="1743">
        <f t="shared" si="6"/>
        <v>0</v>
      </c>
      <c r="F172" s="1743">
        <f t="shared" si="6"/>
        <v>164242</v>
      </c>
      <c r="G172" s="1743">
        <f t="shared" si="6"/>
        <v>8470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2361090</v>
      </c>
      <c r="D173" s="1736">
        <f>SUM(D121,D172)</f>
        <v>0</v>
      </c>
      <c r="E173" s="1736">
        <f>SUM(E121,E172)</f>
        <v>0</v>
      </c>
      <c r="F173" s="1736">
        <f t="shared" ref="F173:K173" si="7">SUM(F121,F172)</f>
        <v>164242</v>
      </c>
      <c r="G173" s="1736">
        <f t="shared" si="7"/>
        <v>8470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73" t="s">
        <v>1572</v>
      </c>
      <c r="B175" s="217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7" t="s">
        <v>1764</v>
      </c>
      <c r="B178" s="2178"/>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81" t="s">
        <v>1763</v>
      </c>
      <c r="B179" s="218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9" t="s">
        <v>818</v>
      </c>
      <c r="B184" s="2180"/>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5" t="s">
        <v>1906</v>
      </c>
      <c r="B185" s="2176"/>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38342</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38342</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118848</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30677</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149525</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84876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84876</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6597</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100364</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106961</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17659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5040</v>
      </c>
      <c r="D270" s="576"/>
      <c r="E270" s="468"/>
      <c r="F270" s="576"/>
      <c r="G270" s="576"/>
      <c r="H270" s="468"/>
      <c r="I270" s="468"/>
      <c r="J270" s="468"/>
      <c r="K270" s="468"/>
    </row>
    <row r="271" spans="1:11" ht="12.75" customHeight="1" thickTop="1" thickBot="1" x14ac:dyDescent="0.25">
      <c r="A271" s="463" t="s">
        <v>395</v>
      </c>
      <c r="B271" s="470">
        <v>4992</v>
      </c>
      <c r="C271" s="575">
        <v>40569</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442972</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442972</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4161187</v>
      </c>
      <c r="D275" s="1736">
        <f t="shared" si="12"/>
        <v>257281</v>
      </c>
      <c r="E275" s="1736">
        <f t="shared" si="12"/>
        <v>505445</v>
      </c>
      <c r="F275" s="1736">
        <f t="shared" si="12"/>
        <v>270628</v>
      </c>
      <c r="G275" s="1736">
        <f t="shared" si="12"/>
        <v>203339</v>
      </c>
      <c r="H275" s="1736">
        <f t="shared" si="12"/>
        <v>0</v>
      </c>
      <c r="I275" s="1736">
        <f t="shared" si="12"/>
        <v>25698</v>
      </c>
      <c r="J275" s="1736">
        <f t="shared" si="12"/>
        <v>504973</v>
      </c>
      <c r="K275" s="1723">
        <f t="shared" si="12"/>
        <v>34937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25"/>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&amp;F&amp;C&amp;"Franklin Gothic Book,Regular"&amp;8The Notes to Financial Statements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48" activePane="bottomLeft" state="frozen"/>
      <selection activeCell="A47" sqref="A47"/>
      <selection pane="bottomLeft" activeCell="G14" sqref="G1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9" t="s">
        <v>315</v>
      </c>
      <c r="B3" s="2190"/>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1044757</v>
      </c>
      <c r="D5" s="466">
        <v>220830</v>
      </c>
      <c r="E5" s="466">
        <v>17768</v>
      </c>
      <c r="F5" s="466">
        <v>28613</v>
      </c>
      <c r="G5" s="466"/>
      <c r="H5" s="466">
        <v>3856</v>
      </c>
      <c r="I5" s="467"/>
      <c r="J5" s="467"/>
      <c r="K5" s="1692">
        <f>SUM(C5:J5)</f>
        <v>1315824</v>
      </c>
      <c r="L5" s="466">
        <v>1372203</v>
      </c>
    </row>
    <row r="6" spans="1:14" x14ac:dyDescent="0.2">
      <c r="A6" s="1525" t="s">
        <v>1508</v>
      </c>
      <c r="B6" s="615" t="s">
        <v>1506</v>
      </c>
      <c r="C6" s="477"/>
      <c r="D6" s="477"/>
      <c r="E6" s="466"/>
      <c r="F6" s="477"/>
      <c r="G6" s="477"/>
      <c r="H6" s="477"/>
      <c r="I6" s="477"/>
      <c r="J6" s="477"/>
      <c r="K6" s="1692">
        <f>SUM(C6,E6)</f>
        <v>0</v>
      </c>
      <c r="L6" s="466"/>
    </row>
    <row r="7" spans="1:14" x14ac:dyDescent="0.2">
      <c r="A7" s="1525" t="s">
        <v>165</v>
      </c>
      <c r="B7" s="615" t="s">
        <v>1024</v>
      </c>
      <c r="C7" s="467">
        <v>62644</v>
      </c>
      <c r="D7" s="467">
        <v>11022</v>
      </c>
      <c r="E7" s="467">
        <v>262</v>
      </c>
      <c r="F7" s="467">
        <v>7565</v>
      </c>
      <c r="G7" s="467"/>
      <c r="H7" s="467"/>
      <c r="I7" s="467"/>
      <c r="J7" s="467"/>
      <c r="K7" s="1692">
        <f t="shared" ref="K7:K32" si="0">SUM(C7:J7)</f>
        <v>81493</v>
      </c>
      <c r="L7" s="466">
        <v>71403</v>
      </c>
    </row>
    <row r="8" spans="1:14" x14ac:dyDescent="0.2">
      <c r="A8" s="1525" t="s">
        <v>166</v>
      </c>
      <c r="B8" s="615">
        <v>1200</v>
      </c>
      <c r="C8" s="466">
        <v>324915</v>
      </c>
      <c r="D8" s="466">
        <v>50362</v>
      </c>
      <c r="E8" s="466">
        <v>3213</v>
      </c>
      <c r="F8" s="466">
        <v>1413</v>
      </c>
      <c r="G8" s="466">
        <v>1597</v>
      </c>
      <c r="H8" s="466"/>
      <c r="I8" s="467"/>
      <c r="J8" s="467"/>
      <c r="K8" s="1692">
        <f t="shared" si="0"/>
        <v>381500</v>
      </c>
      <c r="L8" s="466">
        <v>408159</v>
      </c>
    </row>
    <row r="9" spans="1:14" x14ac:dyDescent="0.2">
      <c r="A9" s="1525" t="s">
        <v>745</v>
      </c>
      <c r="B9" s="615" t="s">
        <v>1025</v>
      </c>
      <c r="C9" s="467"/>
      <c r="D9" s="467"/>
      <c r="E9" s="467"/>
      <c r="F9" s="467"/>
      <c r="G9" s="467"/>
      <c r="H9" s="467"/>
      <c r="I9" s="467"/>
      <c r="J9" s="467"/>
      <c r="K9" s="1692">
        <f t="shared" si="0"/>
        <v>0</v>
      </c>
      <c r="L9" s="466"/>
    </row>
    <row r="10" spans="1:14" x14ac:dyDescent="0.2">
      <c r="A10" s="1525" t="s">
        <v>746</v>
      </c>
      <c r="B10" s="615">
        <v>1250</v>
      </c>
      <c r="C10" s="466">
        <v>61324</v>
      </c>
      <c r="D10" s="466">
        <v>21146</v>
      </c>
      <c r="E10" s="466"/>
      <c r="F10" s="466"/>
      <c r="G10" s="466"/>
      <c r="H10" s="466"/>
      <c r="I10" s="467"/>
      <c r="J10" s="467"/>
      <c r="K10" s="1692">
        <f t="shared" si="0"/>
        <v>82470</v>
      </c>
      <c r="L10" s="466">
        <v>100232</v>
      </c>
    </row>
    <row r="11" spans="1:14" x14ac:dyDescent="0.2">
      <c r="A11" s="1525" t="s">
        <v>1192</v>
      </c>
      <c r="B11" s="615" t="s">
        <v>163</v>
      </c>
      <c r="C11" s="467"/>
      <c r="D11" s="467"/>
      <c r="E11" s="467"/>
      <c r="F11" s="467"/>
      <c r="G11" s="467"/>
      <c r="H11" s="467"/>
      <c r="I11" s="467"/>
      <c r="J11" s="467"/>
      <c r="K11" s="1692">
        <f t="shared" si="0"/>
        <v>0</v>
      </c>
      <c r="L11" s="466"/>
    </row>
    <row r="12" spans="1:14" x14ac:dyDescent="0.2">
      <c r="A12" s="1525" t="s">
        <v>1019</v>
      </c>
      <c r="B12" s="615">
        <v>1300</v>
      </c>
      <c r="C12" s="466"/>
      <c r="D12" s="466"/>
      <c r="E12" s="466"/>
      <c r="F12" s="466"/>
      <c r="G12" s="466"/>
      <c r="H12" s="466"/>
      <c r="I12" s="467"/>
      <c r="J12" s="467"/>
      <c r="K12" s="1692">
        <f t="shared" si="0"/>
        <v>0</v>
      </c>
      <c r="L12" s="466"/>
    </row>
    <row r="13" spans="1:14" x14ac:dyDescent="0.2">
      <c r="A13" s="1525" t="s">
        <v>747</v>
      </c>
      <c r="B13" s="615">
        <v>1400</v>
      </c>
      <c r="C13" s="466">
        <v>97871</v>
      </c>
      <c r="D13" s="466">
        <v>24079</v>
      </c>
      <c r="E13" s="466">
        <v>858</v>
      </c>
      <c r="F13" s="466">
        <v>13132</v>
      </c>
      <c r="G13" s="466">
        <v>27795</v>
      </c>
      <c r="H13" s="466"/>
      <c r="I13" s="467"/>
      <c r="J13" s="467"/>
      <c r="K13" s="1692">
        <f t="shared" si="0"/>
        <v>163735</v>
      </c>
      <c r="L13" s="466">
        <v>132735</v>
      </c>
    </row>
    <row r="14" spans="1:14" x14ac:dyDescent="0.2">
      <c r="A14" s="1525" t="s">
        <v>1020</v>
      </c>
      <c r="B14" s="615">
        <v>1500</v>
      </c>
      <c r="C14" s="466">
        <v>95283</v>
      </c>
      <c r="D14" s="466">
        <v>6900</v>
      </c>
      <c r="E14" s="466">
        <v>20940</v>
      </c>
      <c r="F14" s="466">
        <v>1588</v>
      </c>
      <c r="G14" s="466">
        <v>4862</v>
      </c>
      <c r="H14" s="466">
        <v>8512</v>
      </c>
      <c r="I14" s="467"/>
      <c r="J14" s="467"/>
      <c r="K14" s="1692">
        <f t="shared" si="0"/>
        <v>138085</v>
      </c>
      <c r="L14" s="466">
        <v>148028</v>
      </c>
    </row>
    <row r="15" spans="1:14" x14ac:dyDescent="0.2">
      <c r="A15" s="1525" t="s">
        <v>1021</v>
      </c>
      <c r="B15" s="615">
        <v>1600</v>
      </c>
      <c r="C15" s="466"/>
      <c r="D15" s="466"/>
      <c r="E15" s="466"/>
      <c r="F15" s="466"/>
      <c r="G15" s="466"/>
      <c r="H15" s="466"/>
      <c r="I15" s="467"/>
      <c r="J15" s="467"/>
      <c r="K15" s="1692">
        <f t="shared" si="0"/>
        <v>0</v>
      </c>
      <c r="L15" s="466"/>
    </row>
    <row r="16" spans="1:14" x14ac:dyDescent="0.2">
      <c r="A16" s="1525" t="s">
        <v>1044</v>
      </c>
      <c r="B16" s="615" t="s">
        <v>444</v>
      </c>
      <c r="C16" s="466"/>
      <c r="D16" s="466"/>
      <c r="E16" s="466"/>
      <c r="F16" s="466"/>
      <c r="G16" s="466"/>
      <c r="H16" s="466"/>
      <c r="I16" s="467"/>
      <c r="J16" s="467"/>
      <c r="K16" s="1692">
        <f t="shared" si="0"/>
        <v>0</v>
      </c>
      <c r="L16" s="466"/>
    </row>
    <row r="17" spans="1:12" x14ac:dyDescent="0.2">
      <c r="A17" s="1525" t="s">
        <v>748</v>
      </c>
      <c r="B17" s="615" t="s">
        <v>164</v>
      </c>
      <c r="C17" s="467">
        <v>35012</v>
      </c>
      <c r="D17" s="467">
        <v>4257</v>
      </c>
      <c r="E17" s="467"/>
      <c r="F17" s="467">
        <v>299</v>
      </c>
      <c r="G17" s="467"/>
      <c r="H17" s="467">
        <v>112</v>
      </c>
      <c r="I17" s="467"/>
      <c r="J17" s="467"/>
      <c r="K17" s="1692">
        <f t="shared" si="0"/>
        <v>39680</v>
      </c>
      <c r="L17" s="466">
        <v>40461</v>
      </c>
    </row>
    <row r="18" spans="1:12" x14ac:dyDescent="0.2">
      <c r="A18" s="1525" t="s">
        <v>1148</v>
      </c>
      <c r="B18" s="615">
        <v>1800</v>
      </c>
      <c r="C18" s="466"/>
      <c r="D18" s="466"/>
      <c r="E18" s="466"/>
      <c r="F18" s="466"/>
      <c r="G18" s="466"/>
      <c r="H18" s="466"/>
      <c r="I18" s="467"/>
      <c r="J18" s="467"/>
      <c r="K18" s="1692">
        <f t="shared" si="0"/>
        <v>0</v>
      </c>
      <c r="L18" s="466"/>
    </row>
    <row r="19" spans="1:12" x14ac:dyDescent="0.2">
      <c r="A19" s="1525" t="s">
        <v>136</v>
      </c>
      <c r="B19" s="615">
        <v>1900</v>
      </c>
      <c r="C19" s="466"/>
      <c r="D19" s="466"/>
      <c r="E19" s="466"/>
      <c r="F19" s="466"/>
      <c r="G19" s="466"/>
      <c r="H19" s="466"/>
      <c r="I19" s="467"/>
      <c r="J19" s="467"/>
      <c r="K19" s="1692">
        <f t="shared" si="0"/>
        <v>0</v>
      </c>
      <c r="L19" s="466"/>
    </row>
    <row r="20" spans="1:12" x14ac:dyDescent="0.2">
      <c r="A20" s="1526" t="s">
        <v>762</v>
      </c>
      <c r="B20" s="603" t="s">
        <v>749</v>
      </c>
      <c r="C20" s="477"/>
      <c r="D20" s="477"/>
      <c r="E20" s="477"/>
      <c r="F20" s="477"/>
      <c r="G20" s="477"/>
      <c r="H20" s="474"/>
      <c r="I20" s="617"/>
      <c r="J20" s="475"/>
      <c r="K20" s="1692">
        <f t="shared" si="0"/>
        <v>0</v>
      </c>
      <c r="L20" s="471"/>
    </row>
    <row r="21" spans="1:12" x14ac:dyDescent="0.2">
      <c r="A21" s="1526" t="s">
        <v>763</v>
      </c>
      <c r="B21" s="603" t="s">
        <v>750</v>
      </c>
      <c r="C21" s="477"/>
      <c r="D21" s="477"/>
      <c r="E21" s="477"/>
      <c r="F21" s="477"/>
      <c r="G21" s="477"/>
      <c r="H21" s="474"/>
      <c r="I21" s="617"/>
      <c r="J21" s="477"/>
      <c r="K21" s="1692">
        <f t="shared" si="0"/>
        <v>0</v>
      </c>
      <c r="L21" s="471"/>
    </row>
    <row r="22" spans="1:12" x14ac:dyDescent="0.2">
      <c r="A22" s="1526" t="s">
        <v>764</v>
      </c>
      <c r="B22" s="603" t="s">
        <v>751</v>
      </c>
      <c r="C22" s="477"/>
      <c r="D22" s="477"/>
      <c r="E22" s="477"/>
      <c r="F22" s="477"/>
      <c r="G22" s="477"/>
      <c r="H22" s="474">
        <v>106324</v>
      </c>
      <c r="I22" s="617"/>
      <c r="J22" s="477"/>
      <c r="K22" s="1692">
        <f t="shared" si="0"/>
        <v>106324</v>
      </c>
      <c r="L22" s="471">
        <v>112000</v>
      </c>
    </row>
    <row r="23" spans="1:12" x14ac:dyDescent="0.2">
      <c r="A23" s="1526" t="s">
        <v>765</v>
      </c>
      <c r="B23" s="603" t="s">
        <v>752</v>
      </c>
      <c r="C23" s="477"/>
      <c r="D23" s="477"/>
      <c r="E23" s="477"/>
      <c r="F23" s="477"/>
      <c r="G23" s="477"/>
      <c r="H23" s="474"/>
      <c r="I23" s="617"/>
      <c r="J23" s="477"/>
      <c r="K23" s="1692">
        <f t="shared" si="0"/>
        <v>0</v>
      </c>
      <c r="L23" s="471"/>
    </row>
    <row r="24" spans="1:12" ht="12.75" customHeight="1" x14ac:dyDescent="0.2">
      <c r="A24" s="1526" t="s">
        <v>766</v>
      </c>
      <c r="B24" s="603" t="s">
        <v>753</v>
      </c>
      <c r="C24" s="477"/>
      <c r="D24" s="477"/>
      <c r="E24" s="477"/>
      <c r="F24" s="477"/>
      <c r="G24" s="477"/>
      <c r="H24" s="474"/>
      <c r="I24" s="617"/>
      <c r="J24" s="477"/>
      <c r="K24" s="1692">
        <f t="shared" si="0"/>
        <v>0</v>
      </c>
      <c r="L24" s="471"/>
    </row>
    <row r="25" spans="1:12" ht="12.75" customHeight="1" x14ac:dyDescent="0.2">
      <c r="A25" s="1526" t="s">
        <v>835</v>
      </c>
      <c r="B25" s="603" t="s">
        <v>754</v>
      </c>
      <c r="C25" s="477"/>
      <c r="D25" s="477"/>
      <c r="E25" s="477"/>
      <c r="F25" s="477"/>
      <c r="G25" s="477"/>
      <c r="H25" s="474"/>
      <c r="I25" s="617"/>
      <c r="J25" s="477"/>
      <c r="K25" s="1692">
        <f t="shared" si="0"/>
        <v>0</v>
      </c>
      <c r="L25" s="471"/>
    </row>
    <row r="26" spans="1:12" x14ac:dyDescent="0.2">
      <c r="A26" s="1526" t="s">
        <v>643</v>
      </c>
      <c r="B26" s="603" t="s">
        <v>755</v>
      </c>
      <c r="C26" s="477"/>
      <c r="D26" s="477"/>
      <c r="E26" s="477"/>
      <c r="F26" s="477"/>
      <c r="G26" s="477"/>
      <c r="H26" s="474"/>
      <c r="I26" s="617"/>
      <c r="J26" s="477"/>
      <c r="K26" s="1692">
        <f t="shared" si="0"/>
        <v>0</v>
      </c>
      <c r="L26" s="471"/>
    </row>
    <row r="27" spans="1:12" x14ac:dyDescent="0.2">
      <c r="A27" s="1526" t="s">
        <v>644</v>
      </c>
      <c r="B27" s="603" t="s">
        <v>756</v>
      </c>
      <c r="C27" s="477"/>
      <c r="D27" s="477"/>
      <c r="E27" s="477"/>
      <c r="F27" s="477"/>
      <c r="G27" s="477"/>
      <c r="H27" s="474"/>
      <c r="I27" s="617"/>
      <c r="J27" s="477"/>
      <c r="K27" s="1692">
        <f t="shared" si="0"/>
        <v>0</v>
      </c>
      <c r="L27" s="471"/>
    </row>
    <row r="28" spans="1:12" x14ac:dyDescent="0.2">
      <c r="A28" s="1526" t="s">
        <v>152</v>
      </c>
      <c r="B28" s="603" t="s">
        <v>757</v>
      </c>
      <c r="C28" s="477"/>
      <c r="D28" s="477"/>
      <c r="E28" s="477"/>
      <c r="F28" s="477"/>
      <c r="G28" s="477"/>
      <c r="H28" s="474"/>
      <c r="I28" s="617"/>
      <c r="J28" s="477"/>
      <c r="K28" s="1692">
        <f t="shared" si="0"/>
        <v>0</v>
      </c>
      <c r="L28" s="471"/>
    </row>
    <row r="29" spans="1:12" x14ac:dyDescent="0.2">
      <c r="A29" s="1526" t="s">
        <v>153</v>
      </c>
      <c r="B29" s="603" t="s">
        <v>758</v>
      </c>
      <c r="C29" s="477"/>
      <c r="D29" s="477"/>
      <c r="E29" s="477"/>
      <c r="F29" s="477"/>
      <c r="G29" s="477"/>
      <c r="H29" s="474"/>
      <c r="I29" s="617"/>
      <c r="J29" s="477"/>
      <c r="K29" s="1692">
        <f t="shared" si="0"/>
        <v>0</v>
      </c>
      <c r="L29" s="471"/>
    </row>
    <row r="30" spans="1:12" x14ac:dyDescent="0.2">
      <c r="A30" s="1526" t="s">
        <v>154</v>
      </c>
      <c r="B30" s="603" t="s">
        <v>759</v>
      </c>
      <c r="C30" s="477"/>
      <c r="D30" s="477"/>
      <c r="E30" s="477"/>
      <c r="F30" s="477"/>
      <c r="G30" s="477"/>
      <c r="H30" s="474"/>
      <c r="I30" s="617"/>
      <c r="J30" s="477"/>
      <c r="K30" s="1692">
        <f t="shared" si="0"/>
        <v>0</v>
      </c>
      <c r="L30" s="471"/>
    </row>
    <row r="31" spans="1:12" x14ac:dyDescent="0.2">
      <c r="A31" s="1526" t="s">
        <v>155</v>
      </c>
      <c r="B31" s="603" t="s">
        <v>760</v>
      </c>
      <c r="C31" s="477"/>
      <c r="D31" s="477"/>
      <c r="E31" s="477"/>
      <c r="F31" s="477"/>
      <c r="G31" s="477"/>
      <c r="H31" s="474"/>
      <c r="I31" s="617"/>
      <c r="J31" s="477"/>
      <c r="K31" s="1692">
        <f t="shared" si="0"/>
        <v>0</v>
      </c>
      <c r="L31" s="471"/>
    </row>
    <row r="32" spans="1:12" x14ac:dyDescent="0.2">
      <c r="A32" s="1527"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1721806</v>
      </c>
      <c r="D33" s="1691">
        <f t="shared" ref="D33:L33" si="1">SUM(D5:D32)</f>
        <v>338596</v>
      </c>
      <c r="E33" s="1691">
        <f t="shared" si="1"/>
        <v>43041</v>
      </c>
      <c r="F33" s="1691">
        <f t="shared" si="1"/>
        <v>52610</v>
      </c>
      <c r="G33" s="1691">
        <f t="shared" si="1"/>
        <v>34254</v>
      </c>
      <c r="H33" s="1691">
        <f t="shared" si="1"/>
        <v>118804</v>
      </c>
      <c r="I33" s="1691">
        <f t="shared" si="1"/>
        <v>0</v>
      </c>
      <c r="J33" s="1691">
        <f t="shared" si="1"/>
        <v>0</v>
      </c>
      <c r="K33" s="1691">
        <f t="shared" si="1"/>
        <v>2309111</v>
      </c>
      <c r="L33" s="1691">
        <f t="shared" si="1"/>
        <v>2385221</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c r="D36" s="481"/>
      <c r="E36" s="481"/>
      <c r="F36" s="481"/>
      <c r="G36" s="481"/>
      <c r="H36" s="481"/>
      <c r="I36" s="467"/>
      <c r="J36" s="467"/>
      <c r="K36" s="1692">
        <f t="shared" ref="K36:K41" si="2">SUM(C36:J36)</f>
        <v>0</v>
      </c>
      <c r="L36" s="466"/>
    </row>
    <row r="37" spans="1:14" x14ac:dyDescent="0.2">
      <c r="A37" s="1525" t="s">
        <v>1151</v>
      </c>
      <c r="B37" s="615">
        <v>2120</v>
      </c>
      <c r="C37" s="466">
        <v>28023</v>
      </c>
      <c r="D37" s="466">
        <v>3372</v>
      </c>
      <c r="E37" s="466"/>
      <c r="F37" s="466"/>
      <c r="G37" s="466"/>
      <c r="H37" s="466"/>
      <c r="I37" s="467"/>
      <c r="J37" s="467"/>
      <c r="K37" s="1692">
        <f t="shared" si="2"/>
        <v>31395</v>
      </c>
      <c r="L37" s="466">
        <v>30544</v>
      </c>
    </row>
    <row r="38" spans="1:14" x14ac:dyDescent="0.2">
      <c r="A38" s="1525" t="s">
        <v>207</v>
      </c>
      <c r="B38" s="615">
        <v>2130</v>
      </c>
      <c r="C38" s="466">
        <v>2552</v>
      </c>
      <c r="D38" s="466">
        <v>3</v>
      </c>
      <c r="E38" s="466"/>
      <c r="F38" s="466">
        <v>955</v>
      </c>
      <c r="G38" s="466"/>
      <c r="H38" s="466">
        <v>85</v>
      </c>
      <c r="I38" s="467"/>
      <c r="J38" s="467"/>
      <c r="K38" s="1692">
        <f t="shared" si="2"/>
        <v>3595</v>
      </c>
      <c r="L38" s="466">
        <v>3759</v>
      </c>
    </row>
    <row r="39" spans="1:14" x14ac:dyDescent="0.2">
      <c r="A39" s="1525" t="s">
        <v>208</v>
      </c>
      <c r="B39" s="615">
        <v>2140</v>
      </c>
      <c r="C39" s="466"/>
      <c r="D39" s="466"/>
      <c r="E39" s="466"/>
      <c r="F39" s="466"/>
      <c r="G39" s="466"/>
      <c r="H39" s="466"/>
      <c r="I39" s="467"/>
      <c r="J39" s="467"/>
      <c r="K39" s="1692">
        <f t="shared" si="2"/>
        <v>0</v>
      </c>
      <c r="L39" s="466"/>
    </row>
    <row r="40" spans="1:14" x14ac:dyDescent="0.2">
      <c r="A40" s="1525" t="s">
        <v>209</v>
      </c>
      <c r="B40" s="615">
        <v>2150</v>
      </c>
      <c r="C40" s="466">
        <v>36479</v>
      </c>
      <c r="D40" s="466">
        <v>5052</v>
      </c>
      <c r="E40" s="466"/>
      <c r="F40" s="466"/>
      <c r="G40" s="466"/>
      <c r="H40" s="466"/>
      <c r="I40" s="467"/>
      <c r="J40" s="467"/>
      <c r="K40" s="1692">
        <f t="shared" si="2"/>
        <v>41531</v>
      </c>
      <c r="L40" s="466">
        <v>43973</v>
      </c>
    </row>
    <row r="41" spans="1:14" x14ac:dyDescent="0.2">
      <c r="A41" s="1525"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67054</v>
      </c>
      <c r="D42" s="1691">
        <f t="shared" ref="D42:L42" si="3">SUM(D36:D41)</f>
        <v>8427</v>
      </c>
      <c r="E42" s="1691">
        <f t="shared" si="3"/>
        <v>0</v>
      </c>
      <c r="F42" s="1691">
        <f t="shared" si="3"/>
        <v>955</v>
      </c>
      <c r="G42" s="1691">
        <f t="shared" si="3"/>
        <v>0</v>
      </c>
      <c r="H42" s="1691">
        <f t="shared" si="3"/>
        <v>85</v>
      </c>
      <c r="I42" s="1691">
        <f t="shared" si="3"/>
        <v>0</v>
      </c>
      <c r="J42" s="1691">
        <f t="shared" si="3"/>
        <v>0</v>
      </c>
      <c r="K42" s="1691">
        <f t="shared" si="3"/>
        <v>76521</v>
      </c>
      <c r="L42" s="1691">
        <f t="shared" si="3"/>
        <v>78276</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47651</v>
      </c>
      <c r="D44" s="481">
        <v>12606</v>
      </c>
      <c r="E44" s="481">
        <v>11833</v>
      </c>
      <c r="F44" s="481">
        <v>65266</v>
      </c>
      <c r="G44" s="481">
        <v>40985</v>
      </c>
      <c r="H44" s="481">
        <v>666</v>
      </c>
      <c r="I44" s="467"/>
      <c r="J44" s="467"/>
      <c r="K44" s="1693">
        <f>SUM(C44:J44)</f>
        <v>179007</v>
      </c>
      <c r="L44" s="481">
        <v>121772</v>
      </c>
    </row>
    <row r="45" spans="1:14" x14ac:dyDescent="0.2">
      <c r="A45" s="1525" t="s">
        <v>869</v>
      </c>
      <c r="B45" s="615">
        <v>2220</v>
      </c>
      <c r="C45" s="466">
        <v>7113</v>
      </c>
      <c r="D45" s="466">
        <v>18</v>
      </c>
      <c r="E45" s="466">
        <v>60</v>
      </c>
      <c r="F45" s="466">
        <v>751</v>
      </c>
      <c r="G45" s="466"/>
      <c r="H45" s="466">
        <v>194</v>
      </c>
      <c r="I45" s="467"/>
      <c r="J45" s="467"/>
      <c r="K45" s="1693">
        <f>SUM(C45:J45)</f>
        <v>8136</v>
      </c>
      <c r="L45" s="466">
        <v>10584</v>
      </c>
    </row>
    <row r="46" spans="1:14" x14ac:dyDescent="0.2">
      <c r="A46" s="1525" t="s">
        <v>870</v>
      </c>
      <c r="B46" s="615">
        <v>2230</v>
      </c>
      <c r="C46" s="466"/>
      <c r="D46" s="466"/>
      <c r="E46" s="466"/>
      <c r="F46" s="466"/>
      <c r="G46" s="466"/>
      <c r="H46" s="466"/>
      <c r="I46" s="467"/>
      <c r="J46" s="467"/>
      <c r="K46" s="1693">
        <f>SUM(C46:J46)</f>
        <v>0</v>
      </c>
      <c r="L46" s="466"/>
    </row>
    <row r="47" spans="1:14" ht="12.75" customHeight="1" thickBot="1" x14ac:dyDescent="0.25">
      <c r="A47" s="1689" t="s">
        <v>582</v>
      </c>
      <c r="B47" s="1690" t="s">
        <v>32</v>
      </c>
      <c r="C47" s="1691">
        <f>SUM(C44:C46)</f>
        <v>54764</v>
      </c>
      <c r="D47" s="1691">
        <f t="shared" ref="D47:K47" si="4">SUM(D44:D46)</f>
        <v>12624</v>
      </c>
      <c r="E47" s="1691">
        <f t="shared" si="4"/>
        <v>11893</v>
      </c>
      <c r="F47" s="1691">
        <f t="shared" si="4"/>
        <v>66017</v>
      </c>
      <c r="G47" s="1691">
        <f t="shared" si="4"/>
        <v>40985</v>
      </c>
      <c r="H47" s="1691">
        <f t="shared" si="4"/>
        <v>860</v>
      </c>
      <c r="I47" s="1691">
        <f t="shared" si="4"/>
        <v>0</v>
      </c>
      <c r="J47" s="1691">
        <f t="shared" si="4"/>
        <v>0</v>
      </c>
      <c r="K47" s="1691">
        <f t="shared" si="4"/>
        <v>187143</v>
      </c>
      <c r="L47" s="1691">
        <f>SUM(L44:L46)</f>
        <v>132356</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8913</v>
      </c>
      <c r="D49" s="481">
        <v>1831</v>
      </c>
      <c r="E49" s="481">
        <v>17733</v>
      </c>
      <c r="F49" s="481">
        <v>966</v>
      </c>
      <c r="G49" s="481"/>
      <c r="H49" s="481">
        <v>12840</v>
      </c>
      <c r="I49" s="467"/>
      <c r="J49" s="467"/>
      <c r="K49" s="1693">
        <f>SUM(C49:J49)</f>
        <v>42283</v>
      </c>
      <c r="L49" s="481">
        <v>55065</v>
      </c>
    </row>
    <row r="50" spans="1:14" x14ac:dyDescent="0.2">
      <c r="A50" s="1525" t="s">
        <v>872</v>
      </c>
      <c r="B50" s="615">
        <v>2320</v>
      </c>
      <c r="C50" s="466">
        <v>92830</v>
      </c>
      <c r="D50" s="466">
        <v>30935</v>
      </c>
      <c r="E50" s="466">
        <v>843</v>
      </c>
      <c r="F50" s="466">
        <v>41</v>
      </c>
      <c r="G50" s="466"/>
      <c r="H50" s="466">
        <v>1837</v>
      </c>
      <c r="I50" s="467"/>
      <c r="J50" s="467"/>
      <c r="K50" s="1693">
        <f>SUM(C50:J50)</f>
        <v>126486</v>
      </c>
      <c r="L50" s="466">
        <v>100215</v>
      </c>
    </row>
    <row r="51" spans="1:14" x14ac:dyDescent="0.2">
      <c r="A51" s="1525" t="s">
        <v>44</v>
      </c>
      <c r="B51" s="615">
        <v>2330</v>
      </c>
      <c r="C51" s="466">
        <v>2537</v>
      </c>
      <c r="D51" s="466"/>
      <c r="E51" s="466"/>
      <c r="F51" s="466">
        <v>1000</v>
      </c>
      <c r="G51" s="466"/>
      <c r="H51" s="466"/>
      <c r="I51" s="467"/>
      <c r="J51" s="467"/>
      <c r="K51" s="1693">
        <f>SUM(C51:J51)</f>
        <v>3537</v>
      </c>
      <c r="L51" s="466">
        <v>4662</v>
      </c>
    </row>
    <row r="52" spans="1:14" ht="22.5" x14ac:dyDescent="0.2">
      <c r="A52" s="1526"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104280</v>
      </c>
      <c r="D53" s="1691">
        <f t="shared" ref="D53:L53" si="5">SUM(D49:D52)</f>
        <v>32766</v>
      </c>
      <c r="E53" s="1691">
        <f t="shared" si="5"/>
        <v>18576</v>
      </c>
      <c r="F53" s="1691">
        <f t="shared" si="5"/>
        <v>2007</v>
      </c>
      <c r="G53" s="1691">
        <f t="shared" si="5"/>
        <v>0</v>
      </c>
      <c r="H53" s="1691">
        <f t="shared" si="5"/>
        <v>14677</v>
      </c>
      <c r="I53" s="1691">
        <f t="shared" si="5"/>
        <v>0</v>
      </c>
      <c r="J53" s="1691">
        <f t="shared" si="5"/>
        <v>0</v>
      </c>
      <c r="K53" s="1691">
        <f t="shared" si="5"/>
        <v>172306</v>
      </c>
      <c r="L53" s="1691">
        <f t="shared" si="5"/>
        <v>159942</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149078</v>
      </c>
      <c r="D55" s="481">
        <v>30252</v>
      </c>
      <c r="E55" s="481">
        <v>5060</v>
      </c>
      <c r="F55" s="481">
        <v>398</v>
      </c>
      <c r="G55" s="481"/>
      <c r="H55" s="481">
        <v>1217</v>
      </c>
      <c r="I55" s="467"/>
      <c r="J55" s="467"/>
      <c r="K55" s="1693">
        <f>SUM(C55:J55)</f>
        <v>186005</v>
      </c>
      <c r="L55" s="481">
        <v>185022</v>
      </c>
    </row>
    <row r="56" spans="1:14" ht="12.75" customHeight="1" x14ac:dyDescent="0.2">
      <c r="A56" s="1529"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149078</v>
      </c>
      <c r="D57" s="1695">
        <f t="shared" ref="D57:K57" si="6">SUM(D55:D56)</f>
        <v>30252</v>
      </c>
      <c r="E57" s="1695">
        <f t="shared" si="6"/>
        <v>5060</v>
      </c>
      <c r="F57" s="1695">
        <f t="shared" si="6"/>
        <v>398</v>
      </c>
      <c r="G57" s="1695">
        <f t="shared" si="6"/>
        <v>0</v>
      </c>
      <c r="H57" s="1695">
        <f t="shared" si="6"/>
        <v>1217</v>
      </c>
      <c r="I57" s="1695">
        <f t="shared" si="6"/>
        <v>0</v>
      </c>
      <c r="J57" s="1695">
        <f t="shared" si="6"/>
        <v>0</v>
      </c>
      <c r="K57" s="1695">
        <f t="shared" si="6"/>
        <v>186005</v>
      </c>
      <c r="L57" s="1691">
        <f>SUM(L55:L56)</f>
        <v>185022</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5" t="s">
        <v>483</v>
      </c>
      <c r="B60" s="615">
        <v>2520</v>
      </c>
      <c r="C60" s="466">
        <v>34048</v>
      </c>
      <c r="D60" s="466">
        <v>26</v>
      </c>
      <c r="E60" s="466"/>
      <c r="F60" s="466">
        <v>375</v>
      </c>
      <c r="G60" s="466"/>
      <c r="H60" s="466"/>
      <c r="I60" s="467"/>
      <c r="J60" s="467"/>
      <c r="K60" s="1693">
        <f t="shared" si="7"/>
        <v>34449</v>
      </c>
      <c r="L60" s="466">
        <v>34373</v>
      </c>
      <c r="M60" s="610"/>
      <c r="N60" s="610"/>
    </row>
    <row r="61" spans="1:14" s="343" customFormat="1" x14ac:dyDescent="0.2">
      <c r="A61" s="1525" t="s">
        <v>206</v>
      </c>
      <c r="B61" s="615">
        <v>2540</v>
      </c>
      <c r="C61" s="466">
        <v>79588</v>
      </c>
      <c r="D61" s="466">
        <v>9997</v>
      </c>
      <c r="E61" s="466"/>
      <c r="F61" s="466"/>
      <c r="G61" s="466"/>
      <c r="H61" s="466"/>
      <c r="I61" s="467"/>
      <c r="J61" s="467"/>
      <c r="K61" s="1693">
        <f t="shared" si="7"/>
        <v>89585</v>
      </c>
      <c r="L61" s="466">
        <v>95396</v>
      </c>
      <c r="M61" s="610"/>
      <c r="N61" s="610"/>
    </row>
    <row r="62" spans="1:14" s="343" customFormat="1" x14ac:dyDescent="0.2">
      <c r="A62" s="1525" t="s">
        <v>1010</v>
      </c>
      <c r="B62" s="615">
        <v>2550</v>
      </c>
      <c r="C62" s="466"/>
      <c r="D62" s="466"/>
      <c r="E62" s="466"/>
      <c r="F62" s="466"/>
      <c r="G62" s="466"/>
      <c r="H62" s="466"/>
      <c r="I62" s="467"/>
      <c r="J62" s="467"/>
      <c r="K62" s="1693">
        <f t="shared" si="7"/>
        <v>0</v>
      </c>
      <c r="L62" s="466"/>
      <c r="M62" s="610"/>
      <c r="N62" s="610"/>
    </row>
    <row r="63" spans="1:14" s="610" customFormat="1" x14ac:dyDescent="0.2">
      <c r="A63" s="1525" t="s">
        <v>102</v>
      </c>
      <c r="B63" s="615">
        <v>2560</v>
      </c>
      <c r="C63" s="466">
        <v>64308</v>
      </c>
      <c r="D63" s="466">
        <v>13297</v>
      </c>
      <c r="E63" s="466">
        <v>126708</v>
      </c>
      <c r="F63" s="466">
        <v>50279</v>
      </c>
      <c r="G63" s="466"/>
      <c r="H63" s="466"/>
      <c r="I63" s="467"/>
      <c r="J63" s="467"/>
      <c r="K63" s="1693">
        <f t="shared" si="7"/>
        <v>254592</v>
      </c>
      <c r="L63" s="466">
        <v>262281</v>
      </c>
    </row>
    <row r="64" spans="1:14" s="610" customFormat="1" x14ac:dyDescent="0.2">
      <c r="A64" s="1530"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177944</v>
      </c>
      <c r="D65" s="1691">
        <f t="shared" ref="D65:L65" si="8">SUM(D59:D64)</f>
        <v>23320</v>
      </c>
      <c r="E65" s="1691">
        <f t="shared" si="8"/>
        <v>126708</v>
      </c>
      <c r="F65" s="1691">
        <f t="shared" si="8"/>
        <v>50654</v>
      </c>
      <c r="G65" s="1691">
        <f t="shared" si="8"/>
        <v>0</v>
      </c>
      <c r="H65" s="1691">
        <f t="shared" si="8"/>
        <v>0</v>
      </c>
      <c r="I65" s="1691">
        <f t="shared" si="8"/>
        <v>0</v>
      </c>
      <c r="J65" s="1691">
        <f t="shared" si="8"/>
        <v>0</v>
      </c>
      <c r="K65" s="1691">
        <f t="shared" si="8"/>
        <v>378626</v>
      </c>
      <c r="L65" s="1691">
        <f t="shared" si="8"/>
        <v>392050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c r="M67" s="610"/>
      <c r="N67" s="610"/>
    </row>
    <row r="68" spans="1:14" s="343" customFormat="1" x14ac:dyDescent="0.2">
      <c r="A68" s="1525" t="s">
        <v>628</v>
      </c>
      <c r="B68" s="615">
        <v>2620</v>
      </c>
      <c r="C68" s="466"/>
      <c r="D68" s="466"/>
      <c r="E68" s="466"/>
      <c r="F68" s="466"/>
      <c r="G68" s="466"/>
      <c r="H68" s="466"/>
      <c r="I68" s="467"/>
      <c r="J68" s="467"/>
      <c r="K68" s="1693">
        <f>SUM(C68:J68)</f>
        <v>0</v>
      </c>
      <c r="L68" s="466"/>
      <c r="M68" s="610"/>
      <c r="N68" s="610"/>
    </row>
    <row r="69" spans="1:14" s="343" customFormat="1" x14ac:dyDescent="0.2">
      <c r="A69" s="1525" t="s">
        <v>1121</v>
      </c>
      <c r="B69" s="615">
        <v>2630</v>
      </c>
      <c r="C69" s="466"/>
      <c r="D69" s="466"/>
      <c r="E69" s="466"/>
      <c r="F69" s="466"/>
      <c r="G69" s="466"/>
      <c r="H69" s="466"/>
      <c r="I69" s="467"/>
      <c r="J69" s="467"/>
      <c r="K69" s="1693">
        <f>SUM(C69:J69)</f>
        <v>0</v>
      </c>
      <c r="L69" s="466"/>
      <c r="M69" s="610"/>
      <c r="N69" s="610"/>
    </row>
    <row r="70" spans="1:14" s="343" customFormat="1" x14ac:dyDescent="0.2">
      <c r="A70" s="1525" t="s">
        <v>423</v>
      </c>
      <c r="B70" s="615">
        <v>2640</v>
      </c>
      <c r="C70" s="466"/>
      <c r="D70" s="466"/>
      <c r="E70" s="466"/>
      <c r="F70" s="466"/>
      <c r="G70" s="466"/>
      <c r="H70" s="466"/>
      <c r="I70" s="467"/>
      <c r="J70" s="467"/>
      <c r="K70" s="1693">
        <f>SUM(C70:J70)</f>
        <v>0</v>
      </c>
      <c r="L70" s="466"/>
      <c r="M70" s="610"/>
      <c r="N70" s="610"/>
    </row>
    <row r="71" spans="1:14" s="343" customFormat="1" x14ac:dyDescent="0.2">
      <c r="A71" s="1525"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1" t="s">
        <v>1037</v>
      </c>
      <c r="B73" s="633" t="s">
        <v>595</v>
      </c>
      <c r="C73" s="573"/>
      <c r="D73" s="573"/>
      <c r="E73" s="573"/>
      <c r="F73" s="573"/>
      <c r="G73" s="573"/>
      <c r="H73" s="573"/>
      <c r="I73" s="531"/>
      <c r="J73" s="531"/>
      <c r="K73" s="1691">
        <f>SUM(C73:J73)</f>
        <v>0</v>
      </c>
      <c r="L73" s="576">
        <v>100</v>
      </c>
      <c r="M73" s="610"/>
      <c r="N73" s="610"/>
    </row>
    <row r="74" spans="1:14" ht="12.75" customHeight="1" thickTop="1" thickBot="1" x14ac:dyDescent="0.25">
      <c r="A74" s="1689" t="s">
        <v>865</v>
      </c>
      <c r="B74" s="1697">
        <v>2000</v>
      </c>
      <c r="C74" s="1698">
        <f>SUM(C42,C47,C53,C57,C65,C72,C73)</f>
        <v>553120</v>
      </c>
      <c r="D74" s="1698">
        <f t="shared" ref="D74:K74" si="10">SUM(D42,D47,D53,D57,D65,D72,D73)</f>
        <v>107389</v>
      </c>
      <c r="E74" s="1698">
        <f t="shared" si="10"/>
        <v>162237</v>
      </c>
      <c r="F74" s="1698">
        <f t="shared" si="10"/>
        <v>120031</v>
      </c>
      <c r="G74" s="1698">
        <f t="shared" si="10"/>
        <v>40985</v>
      </c>
      <c r="H74" s="1698">
        <f t="shared" si="10"/>
        <v>16839</v>
      </c>
      <c r="I74" s="1698">
        <f t="shared" si="10"/>
        <v>0</v>
      </c>
      <c r="J74" s="1698">
        <f t="shared" si="10"/>
        <v>0</v>
      </c>
      <c r="K74" s="1698">
        <f t="shared" si="10"/>
        <v>1000601</v>
      </c>
      <c r="L74" s="1698">
        <f>SUM(L42,L47,L53,L57,L65,L72,L73)</f>
        <v>947746</v>
      </c>
    </row>
    <row r="75" spans="1:14" s="259" customFormat="1" ht="15.75" customHeight="1" thickTop="1" thickBot="1" x14ac:dyDescent="0.25">
      <c r="A75" s="1631" t="s">
        <v>49</v>
      </c>
      <c r="B75" s="1632" t="s">
        <v>596</v>
      </c>
      <c r="C75" s="573"/>
      <c r="D75" s="573"/>
      <c r="E75" s="573"/>
      <c r="F75" s="573"/>
      <c r="G75" s="573"/>
      <c r="H75" s="573"/>
      <c r="I75" s="531"/>
      <c r="J75" s="531"/>
      <c r="K75" s="1691">
        <f>SUM(C75:J75)</f>
        <v>0</v>
      </c>
      <c r="L75" s="576">
        <v>234</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2">
        <f t="shared" ref="K78:K83" si="11">SUM(C78:J78)</f>
        <v>0</v>
      </c>
      <c r="L78" s="481"/>
    </row>
    <row r="79" spans="1:14" x14ac:dyDescent="0.2">
      <c r="A79" s="1525" t="s">
        <v>322</v>
      </c>
      <c r="B79" s="615">
        <v>4120</v>
      </c>
      <c r="C79" s="617"/>
      <c r="D79" s="617"/>
      <c r="E79" s="466">
        <v>21459</v>
      </c>
      <c r="F79" s="617"/>
      <c r="G79" s="617"/>
      <c r="H79" s="466"/>
      <c r="I79" s="477"/>
      <c r="J79" s="477"/>
      <c r="K79" s="1692">
        <f t="shared" si="11"/>
        <v>21459</v>
      </c>
      <c r="L79" s="466"/>
    </row>
    <row r="80" spans="1:14" x14ac:dyDescent="0.2">
      <c r="A80" s="1525" t="s">
        <v>323</v>
      </c>
      <c r="B80" s="615">
        <v>4130</v>
      </c>
      <c r="C80" s="617"/>
      <c r="D80" s="617"/>
      <c r="E80" s="466"/>
      <c r="F80" s="617"/>
      <c r="G80" s="617"/>
      <c r="H80" s="466"/>
      <c r="I80" s="477"/>
      <c r="J80" s="477"/>
      <c r="K80" s="1692">
        <f t="shared" si="11"/>
        <v>0</v>
      </c>
      <c r="L80" s="466"/>
    </row>
    <row r="81" spans="1:12" x14ac:dyDescent="0.2">
      <c r="A81" s="1525" t="s">
        <v>721</v>
      </c>
      <c r="B81" s="615">
        <v>4140</v>
      </c>
      <c r="C81" s="617"/>
      <c r="D81" s="617"/>
      <c r="E81" s="466"/>
      <c r="F81" s="617"/>
      <c r="G81" s="617"/>
      <c r="H81" s="466"/>
      <c r="I81" s="477"/>
      <c r="J81" s="477"/>
      <c r="K81" s="1692">
        <f t="shared" si="11"/>
        <v>0</v>
      </c>
      <c r="L81" s="466"/>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21459</v>
      </c>
      <c r="F84" s="617"/>
      <c r="G84" s="617"/>
      <c r="H84" s="1691">
        <f>SUM(H78:H83)</f>
        <v>0</v>
      </c>
      <c r="I84" s="477"/>
      <c r="J84" s="477"/>
      <c r="K84" s="1691">
        <f>SUM(K78:K83)</f>
        <v>21459</v>
      </c>
      <c r="L84" s="1691">
        <f>SUM(L78:L83)</f>
        <v>0</v>
      </c>
    </row>
    <row r="85" spans="1:12" ht="12.75" customHeight="1" thickTop="1" thickBot="1" x14ac:dyDescent="0.25">
      <c r="A85" s="1532" t="s">
        <v>273</v>
      </c>
      <c r="B85" s="636">
        <v>4210</v>
      </c>
      <c r="C85" s="617"/>
      <c r="D85" s="617"/>
      <c r="E85" s="637"/>
      <c r="F85" s="617"/>
      <c r="G85" s="617"/>
      <c r="H85" s="535"/>
      <c r="I85" s="477"/>
      <c r="J85" s="477"/>
      <c r="K85" s="1698">
        <f>H85</f>
        <v>0</v>
      </c>
      <c r="L85" s="530"/>
    </row>
    <row r="86" spans="1:12" ht="12.75" customHeight="1" thickTop="1" thickBot="1" x14ac:dyDescent="0.25">
      <c r="A86" s="1533" t="s">
        <v>723</v>
      </c>
      <c r="B86" s="638">
        <v>4220</v>
      </c>
      <c r="C86" s="617"/>
      <c r="D86" s="617"/>
      <c r="E86" s="639"/>
      <c r="F86" s="617"/>
      <c r="G86" s="617"/>
      <c r="H86" s="467">
        <v>20018</v>
      </c>
      <c r="I86" s="477"/>
      <c r="J86" s="477"/>
      <c r="K86" s="1698">
        <f t="shared" ref="K86:K98" si="12">H86</f>
        <v>20018</v>
      </c>
      <c r="L86" s="530">
        <v>28000</v>
      </c>
    </row>
    <row r="87" spans="1:12" ht="14.25" thickTop="1" thickBot="1" x14ac:dyDescent="0.25">
      <c r="A87" s="1534" t="s">
        <v>724</v>
      </c>
      <c r="B87" s="640">
        <v>4230</v>
      </c>
      <c r="C87" s="617"/>
      <c r="D87" s="617"/>
      <c r="E87" s="639"/>
      <c r="F87" s="617"/>
      <c r="G87" s="617"/>
      <c r="H87" s="467"/>
      <c r="I87" s="477"/>
      <c r="J87" s="477"/>
      <c r="K87" s="1698">
        <f t="shared" si="12"/>
        <v>0</v>
      </c>
      <c r="L87" s="530"/>
    </row>
    <row r="88" spans="1:12" ht="12.75" customHeight="1" thickTop="1" thickBot="1" x14ac:dyDescent="0.25">
      <c r="A88" s="1534" t="s">
        <v>789</v>
      </c>
      <c r="B88" s="640">
        <v>4240</v>
      </c>
      <c r="C88" s="617"/>
      <c r="D88" s="617"/>
      <c r="E88" s="639"/>
      <c r="F88" s="617"/>
      <c r="G88" s="617"/>
      <c r="H88" s="467">
        <v>1113</v>
      </c>
      <c r="I88" s="477"/>
      <c r="J88" s="477"/>
      <c r="K88" s="1698">
        <f t="shared" si="12"/>
        <v>1113</v>
      </c>
      <c r="L88" s="530">
        <v>3000</v>
      </c>
    </row>
    <row r="89" spans="1:12" ht="12.75" customHeight="1" thickTop="1" thickBot="1" x14ac:dyDescent="0.25">
      <c r="A89" s="1534" t="s">
        <v>725</v>
      </c>
      <c r="B89" s="640">
        <v>4270</v>
      </c>
      <c r="C89" s="617"/>
      <c r="D89" s="617"/>
      <c r="E89" s="639"/>
      <c r="F89" s="617"/>
      <c r="G89" s="617"/>
      <c r="H89" s="467"/>
      <c r="I89" s="477"/>
      <c r="J89" s="477"/>
      <c r="K89" s="1698">
        <f t="shared" si="12"/>
        <v>0</v>
      </c>
      <c r="L89" s="530"/>
    </row>
    <row r="90" spans="1:12" ht="12.75" customHeight="1" thickTop="1" thickBot="1" x14ac:dyDescent="0.25">
      <c r="A90" s="1534" t="s">
        <v>710</v>
      </c>
      <c r="B90" s="640">
        <v>4280</v>
      </c>
      <c r="C90" s="617"/>
      <c r="D90" s="617"/>
      <c r="E90" s="639"/>
      <c r="F90" s="617"/>
      <c r="G90" s="617"/>
      <c r="H90" s="467"/>
      <c r="I90" s="477"/>
      <c r="J90" s="477"/>
      <c r="K90" s="1698">
        <f t="shared" si="12"/>
        <v>0</v>
      </c>
      <c r="L90" s="530"/>
    </row>
    <row r="91" spans="1:12" ht="12.75" customHeight="1" thickTop="1" thickBot="1" x14ac:dyDescent="0.25">
      <c r="A91" s="1534"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21131</v>
      </c>
      <c r="I92" s="477"/>
      <c r="J92" s="477"/>
      <c r="K92" s="1698">
        <f t="shared" si="12"/>
        <v>21131</v>
      </c>
      <c r="L92" s="1691">
        <f>SUM(L85:L91)</f>
        <v>31000</v>
      </c>
    </row>
    <row r="93" spans="1:12" ht="14.25" thickTop="1" thickBot="1" x14ac:dyDescent="0.25">
      <c r="A93" s="1533" t="s">
        <v>712</v>
      </c>
      <c r="B93" s="641">
        <v>4310</v>
      </c>
      <c r="C93" s="617"/>
      <c r="D93" s="617"/>
      <c r="E93" s="639"/>
      <c r="F93" s="617"/>
      <c r="G93" s="617"/>
      <c r="H93" s="642"/>
      <c r="I93" s="477"/>
      <c r="J93" s="477"/>
      <c r="K93" s="1698">
        <f t="shared" si="12"/>
        <v>0</v>
      </c>
      <c r="L93" s="532"/>
    </row>
    <row r="94" spans="1:12" ht="12.75" customHeight="1" thickTop="1" thickBot="1" x14ac:dyDescent="0.25">
      <c r="A94" s="1534" t="s">
        <v>713</v>
      </c>
      <c r="B94" s="640">
        <v>4320</v>
      </c>
      <c r="C94" s="617"/>
      <c r="D94" s="617"/>
      <c r="E94" s="639"/>
      <c r="F94" s="617"/>
      <c r="G94" s="617"/>
      <c r="H94" s="467"/>
      <c r="I94" s="477"/>
      <c r="J94" s="477"/>
      <c r="K94" s="1698">
        <f t="shared" si="12"/>
        <v>0</v>
      </c>
      <c r="L94" s="530"/>
    </row>
    <row r="95" spans="1:12" ht="15" customHeight="1" thickTop="1" thickBot="1" x14ac:dyDescent="0.25">
      <c r="A95" s="1534" t="s">
        <v>1568</v>
      </c>
      <c r="B95" s="640">
        <v>4330</v>
      </c>
      <c r="C95" s="617"/>
      <c r="D95" s="617"/>
      <c r="E95" s="639"/>
      <c r="F95" s="617"/>
      <c r="G95" s="617"/>
      <c r="H95" s="467"/>
      <c r="I95" s="477"/>
      <c r="J95" s="477"/>
      <c r="K95" s="1698">
        <f t="shared" si="12"/>
        <v>0</v>
      </c>
      <c r="L95" s="530"/>
    </row>
    <row r="96" spans="1:12" ht="14.25" thickTop="1" thickBot="1" x14ac:dyDescent="0.25">
      <c r="A96" s="1534" t="s">
        <v>714</v>
      </c>
      <c r="B96" s="640">
        <v>4340</v>
      </c>
      <c r="C96" s="617"/>
      <c r="D96" s="617"/>
      <c r="E96" s="639"/>
      <c r="F96" s="617"/>
      <c r="G96" s="617"/>
      <c r="H96" s="467"/>
      <c r="I96" s="477"/>
      <c r="J96" s="477"/>
      <c r="K96" s="1698">
        <f t="shared" si="12"/>
        <v>0</v>
      </c>
      <c r="L96" s="530"/>
    </row>
    <row r="97" spans="1:14" ht="12.75" customHeight="1" thickTop="1" thickBot="1" x14ac:dyDescent="0.25">
      <c r="A97" s="1534" t="s">
        <v>787</v>
      </c>
      <c r="B97" s="640">
        <v>4370</v>
      </c>
      <c r="C97" s="617"/>
      <c r="D97" s="617"/>
      <c r="E97" s="639"/>
      <c r="F97" s="617"/>
      <c r="G97" s="617"/>
      <c r="H97" s="467"/>
      <c r="I97" s="477"/>
      <c r="J97" s="477"/>
      <c r="K97" s="1698">
        <f t="shared" si="12"/>
        <v>0</v>
      </c>
      <c r="L97" s="530"/>
    </row>
    <row r="98" spans="1:14" ht="14.25" thickTop="1" thickBot="1" x14ac:dyDescent="0.25">
      <c r="A98" s="1534" t="s">
        <v>788</v>
      </c>
      <c r="B98" s="640">
        <v>4380</v>
      </c>
      <c r="C98" s="617"/>
      <c r="D98" s="617"/>
      <c r="E98" s="643"/>
      <c r="F98" s="617"/>
      <c r="G98" s="617"/>
      <c r="H98" s="467"/>
      <c r="I98" s="477"/>
      <c r="J98" s="477"/>
      <c r="K98" s="1698">
        <f t="shared" si="12"/>
        <v>0</v>
      </c>
      <c r="L98" s="530"/>
    </row>
    <row r="99" spans="1:14" ht="14.25" thickTop="1" thickBot="1" x14ac:dyDescent="0.25">
      <c r="A99" s="1534"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21459</v>
      </c>
      <c r="F102" s="617"/>
      <c r="G102" s="617"/>
      <c r="H102" s="1698">
        <f>SUM(H84,H92,H100,H101)</f>
        <v>21131</v>
      </c>
      <c r="I102" s="477"/>
      <c r="J102" s="477"/>
      <c r="K102" s="1698">
        <f>SUM(K84,K92,K100,K101)</f>
        <v>42590</v>
      </c>
      <c r="L102" s="1698">
        <f>SUM(L84,L92,L100,L101)</f>
        <v>31000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610</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2274926</v>
      </c>
      <c r="D114" s="1691">
        <f t="shared" ref="D114:K114" si="13">SUM(D33,D74,D75,D102,D112,D113)</f>
        <v>445985</v>
      </c>
      <c r="E114" s="1691">
        <f t="shared" si="13"/>
        <v>226737</v>
      </c>
      <c r="F114" s="1691">
        <f t="shared" si="13"/>
        <v>172641</v>
      </c>
      <c r="G114" s="1691">
        <f t="shared" si="13"/>
        <v>75239</v>
      </c>
      <c r="H114" s="1691">
        <f>SUM(H33,H74,H75,H102,H112,H113)</f>
        <v>156774</v>
      </c>
      <c r="I114" s="1691">
        <f t="shared" si="13"/>
        <v>0</v>
      </c>
      <c r="J114" s="1691">
        <f t="shared" si="13"/>
        <v>0</v>
      </c>
      <c r="K114" s="1691">
        <f t="shared" si="13"/>
        <v>3352302</v>
      </c>
      <c r="L114" s="1691">
        <f>SUM(L33,L74,L75,L102,L112,L113)</f>
        <v>3364201</v>
      </c>
    </row>
    <row r="115" spans="1:14" ht="13.5" thickTop="1" x14ac:dyDescent="0.2">
      <c r="A115" s="2208" t="s">
        <v>1053</v>
      </c>
      <c r="B115" s="2209"/>
      <c r="C115" s="619"/>
      <c r="D115" s="619"/>
      <c r="E115" s="619"/>
      <c r="F115" s="619"/>
      <c r="G115" s="619"/>
      <c r="H115" s="619"/>
      <c r="I115" s="619"/>
      <c r="J115" s="619"/>
      <c r="K115" s="1705">
        <f>'Revenues 9-14'!C275-'Expenditures 15-22'!K114</f>
        <v>808885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6" t="s">
        <v>314</v>
      </c>
      <c r="B117" s="2187"/>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c r="F123" s="466"/>
      <c r="G123" s="466"/>
      <c r="H123" s="466"/>
      <c r="I123" s="467"/>
      <c r="J123" s="467"/>
      <c r="K123" s="1691">
        <f>SUM(C123:J123)</f>
        <v>0</v>
      </c>
      <c r="L123" s="466"/>
    </row>
    <row r="124" spans="1:14" ht="14.25" thickTop="1" thickBot="1" x14ac:dyDescent="0.25">
      <c r="A124" s="1525" t="s">
        <v>206</v>
      </c>
      <c r="B124" s="615">
        <v>2540</v>
      </c>
      <c r="C124" s="466">
        <v>38635</v>
      </c>
      <c r="D124" s="466">
        <v>23</v>
      </c>
      <c r="E124" s="466">
        <v>32013</v>
      </c>
      <c r="F124" s="466">
        <v>120282</v>
      </c>
      <c r="G124" s="466">
        <v>10315</v>
      </c>
      <c r="H124" s="466"/>
      <c r="I124" s="467"/>
      <c r="J124" s="467"/>
      <c r="K124" s="1691">
        <f>SUM(C124:J124)</f>
        <v>201268</v>
      </c>
      <c r="L124" s="466">
        <v>232717</v>
      </c>
    </row>
    <row r="125" spans="1:14" ht="14.25" thickTop="1" thickBot="1" x14ac:dyDescent="0.25">
      <c r="A125" s="1525" t="s">
        <v>1010</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38635</v>
      </c>
      <c r="D127" s="1691">
        <f t="shared" ref="D127:L127" si="14">SUM(D122:D126)</f>
        <v>23</v>
      </c>
      <c r="E127" s="1691">
        <f t="shared" si="14"/>
        <v>32013</v>
      </c>
      <c r="F127" s="1691">
        <f t="shared" si="14"/>
        <v>120282</v>
      </c>
      <c r="G127" s="1691">
        <f t="shared" si="14"/>
        <v>10315</v>
      </c>
      <c r="H127" s="1691">
        <f t="shared" si="14"/>
        <v>0</v>
      </c>
      <c r="I127" s="1691">
        <f t="shared" si="14"/>
        <v>0</v>
      </c>
      <c r="J127" s="1691">
        <f t="shared" si="14"/>
        <v>0</v>
      </c>
      <c r="K127" s="1691">
        <f t="shared" si="14"/>
        <v>201268</v>
      </c>
      <c r="L127" s="1691">
        <f t="shared" si="14"/>
        <v>232717</v>
      </c>
    </row>
    <row r="128" spans="1:14" ht="12.75" customHeight="1" thickTop="1" x14ac:dyDescent="0.2">
      <c r="A128" s="1532"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38635</v>
      </c>
      <c r="D129" s="1698">
        <f t="shared" ref="D129:L129" si="15">SUM(D120,D127,D128)</f>
        <v>23</v>
      </c>
      <c r="E129" s="1698">
        <f t="shared" si="15"/>
        <v>32013</v>
      </c>
      <c r="F129" s="1698">
        <f t="shared" si="15"/>
        <v>120282</v>
      </c>
      <c r="G129" s="1698">
        <f t="shared" si="15"/>
        <v>10315</v>
      </c>
      <c r="H129" s="1698">
        <f t="shared" si="15"/>
        <v>0</v>
      </c>
      <c r="I129" s="1698">
        <f t="shared" si="15"/>
        <v>0</v>
      </c>
      <c r="J129" s="1698">
        <f t="shared" si="15"/>
        <v>0</v>
      </c>
      <c r="K129" s="1698">
        <f t="shared" si="15"/>
        <v>201268</v>
      </c>
      <c r="L129" s="1698">
        <f t="shared" si="15"/>
        <v>232717</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1957</v>
      </c>
      <c r="C133" s="468"/>
      <c r="D133" s="468"/>
      <c r="E133" s="642"/>
      <c r="F133" s="468"/>
      <c r="G133" s="468"/>
      <c r="H133" s="642"/>
      <c r="I133" s="468"/>
      <c r="J133" s="468"/>
      <c r="K133" s="1843">
        <f>SUM(E133,H133)</f>
        <v>0</v>
      </c>
      <c r="L133" s="642"/>
      <c r="M133" s="206"/>
      <c r="N133" s="206"/>
    </row>
    <row r="134" spans="1:14" x14ac:dyDescent="0.2">
      <c r="A134" s="1525" t="s">
        <v>322</v>
      </c>
      <c r="B134" s="615">
        <v>4120</v>
      </c>
      <c r="C134" s="617"/>
      <c r="D134" s="617"/>
      <c r="E134" s="478"/>
      <c r="F134" s="617"/>
      <c r="G134" s="617"/>
      <c r="H134" s="481"/>
      <c r="I134" s="477"/>
      <c r="J134" s="617"/>
      <c r="K134" s="1693">
        <f>SUM(E134,H134)</f>
        <v>0</v>
      </c>
      <c r="L134" s="481"/>
    </row>
    <row r="135" spans="1:14" x14ac:dyDescent="0.2">
      <c r="A135" s="1525" t="s">
        <v>721</v>
      </c>
      <c r="B135" s="615">
        <v>4140</v>
      </c>
      <c r="C135" s="617"/>
      <c r="D135" s="617"/>
      <c r="E135" s="467"/>
      <c r="F135" s="617"/>
      <c r="G135" s="617"/>
      <c r="H135" s="466"/>
      <c r="I135" s="477"/>
      <c r="J135" s="617"/>
      <c r="K135" s="1693">
        <f>SUM(E135,H135)</f>
        <v>0</v>
      </c>
      <c r="L135" s="466"/>
    </row>
    <row r="136" spans="1:14" x14ac:dyDescent="0.2">
      <c r="A136" s="1529"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1232</v>
      </c>
      <c r="B144" s="629" t="s">
        <v>638</v>
      </c>
      <c r="C144" s="617"/>
      <c r="D144" s="617"/>
      <c r="E144" s="617"/>
      <c r="F144" s="617"/>
      <c r="G144" s="617"/>
      <c r="H144" s="466"/>
      <c r="I144" s="468"/>
      <c r="J144" s="617"/>
      <c r="K144" s="1693">
        <f>SUM(H144)</f>
        <v>0</v>
      </c>
      <c r="L144" s="466"/>
    </row>
    <row r="145" spans="1:14" x14ac:dyDescent="0.2">
      <c r="A145" s="1525" t="s">
        <v>91</v>
      </c>
      <c r="B145" s="615" t="s">
        <v>610</v>
      </c>
      <c r="C145" s="617"/>
      <c r="D145" s="617"/>
      <c r="E145" s="617"/>
      <c r="F145" s="617"/>
      <c r="G145" s="617"/>
      <c r="H145" s="466"/>
      <c r="I145" s="468"/>
      <c r="J145" s="617"/>
      <c r="K145" s="1693">
        <f>SUM(H145)</f>
        <v>0</v>
      </c>
      <c r="L145" s="466"/>
    </row>
    <row r="146" spans="1:14" ht="12.75" customHeight="1" x14ac:dyDescent="0.2">
      <c r="A146" s="1525" t="s">
        <v>640</v>
      </c>
      <c r="B146" s="615" t="s">
        <v>639</v>
      </c>
      <c r="C146" s="617"/>
      <c r="D146" s="617"/>
      <c r="E146" s="617"/>
      <c r="F146" s="617"/>
      <c r="G146" s="617"/>
      <c r="H146" s="466"/>
      <c r="I146" s="468"/>
      <c r="J146" s="617"/>
      <c r="K146" s="1693">
        <f>SUM(H146)</f>
        <v>0</v>
      </c>
      <c r="L146" s="466"/>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198" t="s">
        <v>641</v>
      </c>
      <c r="B151" s="2180"/>
      <c r="C151" s="1691">
        <f>SUM(C129,C130,C139,C149,C150)</f>
        <v>38635</v>
      </c>
      <c r="D151" s="1691">
        <f t="shared" ref="D151:K151" si="16">SUM(D129,D130,D139,D149,D150)</f>
        <v>23</v>
      </c>
      <c r="E151" s="1691">
        <f t="shared" si="16"/>
        <v>32013</v>
      </c>
      <c r="F151" s="1691">
        <f t="shared" si="16"/>
        <v>120282</v>
      </c>
      <c r="G151" s="1691">
        <f t="shared" si="16"/>
        <v>10315</v>
      </c>
      <c r="H151" s="1691">
        <f t="shared" si="16"/>
        <v>0</v>
      </c>
      <c r="I151" s="1691">
        <f t="shared" si="16"/>
        <v>0</v>
      </c>
      <c r="J151" s="1691">
        <f t="shared" si="16"/>
        <v>0</v>
      </c>
      <c r="K151" s="1691">
        <f t="shared" si="16"/>
        <v>201268</v>
      </c>
      <c r="L151" s="1691">
        <f>SUM(L129,L130,L139,L149,L150)</f>
        <v>232717</v>
      </c>
    </row>
    <row r="152" spans="1:14" ht="12.75" customHeight="1" thickTop="1" x14ac:dyDescent="0.2">
      <c r="A152" s="2201" t="s">
        <v>1240</v>
      </c>
      <c r="B152" s="2202"/>
      <c r="C152" s="619"/>
      <c r="D152" s="619"/>
      <c r="E152" s="619"/>
      <c r="F152" s="619"/>
      <c r="G152" s="619"/>
      <c r="H152" s="619"/>
      <c r="I152" s="619"/>
      <c r="J152" s="617"/>
      <c r="K152" s="1705">
        <f>'Revenues 9-14'!D275-'Expenditures 15-22'!K151</f>
        <v>56013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6" t="s">
        <v>642</v>
      </c>
      <c r="B154" s="2188"/>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1958</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1232</v>
      </c>
      <c r="B165" s="615" t="s">
        <v>638</v>
      </c>
      <c r="C165" s="617"/>
      <c r="D165" s="617"/>
      <c r="E165" s="617"/>
      <c r="F165" s="617"/>
      <c r="G165" s="617"/>
      <c r="H165" s="466"/>
      <c r="I165" s="617"/>
      <c r="J165" s="617"/>
      <c r="K165" s="1692">
        <f>SUM(C165:J165)</f>
        <v>0</v>
      </c>
      <c r="L165" s="466"/>
    </row>
    <row r="166" spans="1:14" x14ac:dyDescent="0.2">
      <c r="A166" s="1525" t="s">
        <v>91</v>
      </c>
      <c r="B166" s="629" t="s">
        <v>610</v>
      </c>
      <c r="C166" s="617"/>
      <c r="D166" s="617"/>
      <c r="E166" s="617"/>
      <c r="F166" s="617"/>
      <c r="G166" s="617"/>
      <c r="H166" s="466"/>
      <c r="I166" s="617"/>
      <c r="J166" s="617"/>
      <c r="K166" s="1692">
        <f>SUM(C166:J166)</f>
        <v>0</v>
      </c>
      <c r="L166" s="466"/>
    </row>
    <row r="167" spans="1:14" ht="12.75" customHeight="1" x14ac:dyDescent="0.2">
      <c r="A167" s="1525"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74304</v>
      </c>
      <c r="I169" s="617"/>
      <c r="J169" s="617"/>
      <c r="K169" s="1692">
        <f>SUM(C169:H169)</f>
        <v>74304</v>
      </c>
      <c r="L169" s="657">
        <v>74300</v>
      </c>
    </row>
    <row r="170" spans="1:14" ht="33.75" customHeight="1" x14ac:dyDescent="0.2">
      <c r="A170" s="670" t="s">
        <v>1769</v>
      </c>
      <c r="B170" s="672" t="s">
        <v>31</v>
      </c>
      <c r="C170" s="617"/>
      <c r="D170" s="617"/>
      <c r="E170" s="617"/>
      <c r="F170" s="617"/>
      <c r="G170" s="617"/>
      <c r="H170" s="569">
        <v>426500</v>
      </c>
      <c r="I170" s="617"/>
      <c r="J170" s="617"/>
      <c r="K170" s="1692">
        <f>SUM(C170:J170)</f>
        <v>426500</v>
      </c>
      <c r="L170" s="569">
        <v>426500</v>
      </c>
    </row>
    <row r="171" spans="1:14" ht="15.75" customHeight="1" x14ac:dyDescent="0.2">
      <c r="A171" s="622" t="s">
        <v>790</v>
      </c>
      <c r="B171" s="673" t="s">
        <v>86</v>
      </c>
      <c r="C171" s="617"/>
      <c r="D171" s="617"/>
      <c r="E171" s="466"/>
      <c r="F171" s="617"/>
      <c r="G171" s="617"/>
      <c r="H171" s="569">
        <v>600</v>
      </c>
      <c r="I171" s="477"/>
      <c r="J171" s="617"/>
      <c r="K171" s="1692">
        <f>SUM(C171:J171)</f>
        <v>600</v>
      </c>
      <c r="L171" s="569">
        <v>5000</v>
      </c>
    </row>
    <row r="172" spans="1:14" ht="12.75" customHeight="1" thickBot="1" x14ac:dyDescent="0.25">
      <c r="A172" s="1689" t="s">
        <v>659</v>
      </c>
      <c r="B172" s="1690" t="s">
        <v>513</v>
      </c>
      <c r="C172" s="617"/>
      <c r="D172" s="617"/>
      <c r="E172" s="1698">
        <f>SUM(E168,E169,E170,E171)</f>
        <v>0</v>
      </c>
      <c r="F172" s="617"/>
      <c r="G172" s="617"/>
      <c r="H172" s="1698">
        <f>SUM(H168,H169,H170,H171)</f>
        <v>501404</v>
      </c>
      <c r="I172" s="639"/>
      <c r="J172" s="617"/>
      <c r="K172" s="1698">
        <f>SUM(K168,K169,K170,K171)</f>
        <v>501404</v>
      </c>
      <c r="L172" s="1698">
        <f>SUM(L168,L169,L170,L171)</f>
        <v>505800</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501404</v>
      </c>
      <c r="I174" s="639"/>
      <c r="J174" s="617"/>
      <c r="K174" s="1698">
        <f>SUM(K160,K172,K173)</f>
        <v>501404</v>
      </c>
      <c r="L174" s="1698">
        <f>SUM(L160,L172,L173)</f>
        <v>505800</v>
      </c>
    </row>
    <row r="175" spans="1:14" ht="13.5" thickTop="1" x14ac:dyDescent="0.2">
      <c r="A175" s="2208" t="s">
        <v>1053</v>
      </c>
      <c r="B175" s="2209"/>
      <c r="C175" s="617"/>
      <c r="D175" s="617"/>
      <c r="E175" s="617"/>
      <c r="F175" s="617"/>
      <c r="G175" s="617"/>
      <c r="H175" s="619"/>
      <c r="I175" s="617"/>
      <c r="J175" s="617"/>
      <c r="K175" s="1705">
        <f>'Revenues 9-14'!E275-'Expenditures 15-22'!K174</f>
        <v>4041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176039</v>
      </c>
      <c r="D182" s="466">
        <v>3151</v>
      </c>
      <c r="E182" s="466">
        <v>91629</v>
      </c>
      <c r="F182" s="466">
        <v>44992</v>
      </c>
      <c r="G182" s="466">
        <v>10728</v>
      </c>
      <c r="H182" s="466">
        <v>712</v>
      </c>
      <c r="I182" s="467"/>
      <c r="J182" s="467"/>
      <c r="K182" s="1692">
        <f>SUM(C182:J182)</f>
        <v>327251</v>
      </c>
      <c r="L182" s="466">
        <v>305136</v>
      </c>
    </row>
    <row r="183" spans="1:14" ht="12.75" customHeight="1" thickBot="1" x14ac:dyDescent="0.25">
      <c r="A183" s="1530"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176039</v>
      </c>
      <c r="D184" s="1698">
        <f t="shared" ref="D184:J184" si="17">SUM(D180,D182,D183)</f>
        <v>3151</v>
      </c>
      <c r="E184" s="1698">
        <f t="shared" si="17"/>
        <v>91629</v>
      </c>
      <c r="F184" s="1698">
        <f t="shared" si="17"/>
        <v>44992</v>
      </c>
      <c r="G184" s="1698">
        <f t="shared" si="17"/>
        <v>10728</v>
      </c>
      <c r="H184" s="1698">
        <f t="shared" si="17"/>
        <v>712</v>
      </c>
      <c r="I184" s="1698">
        <f t="shared" si="17"/>
        <v>0</v>
      </c>
      <c r="J184" s="1698">
        <f t="shared" si="17"/>
        <v>0</v>
      </c>
      <c r="K184" s="1698">
        <f>SUM(K180,K182,K183)</f>
        <v>327251</v>
      </c>
      <c r="L184" s="1698">
        <f>SUM(L180, L182:L183)</f>
        <v>305136</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row>
    <row r="189" spans="1:14" x14ac:dyDescent="0.2">
      <c r="A189" s="1525" t="s">
        <v>322</v>
      </c>
      <c r="B189" s="615">
        <v>4120</v>
      </c>
      <c r="C189" s="617"/>
      <c r="D189" s="617"/>
      <c r="E189" s="466"/>
      <c r="F189" s="617"/>
      <c r="G189" s="617"/>
      <c r="H189" s="466"/>
      <c r="I189" s="477"/>
      <c r="J189" s="617"/>
      <c r="K189" s="1692">
        <f t="shared" si="18"/>
        <v>0</v>
      </c>
      <c r="L189" s="466"/>
    </row>
    <row r="190" spans="1:14" x14ac:dyDescent="0.2">
      <c r="A190" s="1525" t="s">
        <v>323</v>
      </c>
      <c r="B190" s="629">
        <v>4130</v>
      </c>
      <c r="C190" s="617"/>
      <c r="D190" s="617"/>
      <c r="E190" s="466"/>
      <c r="F190" s="617"/>
      <c r="G190" s="617"/>
      <c r="H190" s="466"/>
      <c r="I190" s="477"/>
      <c r="J190" s="617"/>
      <c r="K190" s="1692">
        <f t="shared" si="18"/>
        <v>0</v>
      </c>
      <c r="L190" s="466"/>
    </row>
    <row r="191" spans="1:14" x14ac:dyDescent="0.2">
      <c r="A191" s="1525" t="s">
        <v>721</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1232</v>
      </c>
      <c r="B201" s="629" t="s">
        <v>638</v>
      </c>
      <c r="C201" s="617"/>
      <c r="D201" s="617"/>
      <c r="E201" s="617"/>
      <c r="F201" s="617"/>
      <c r="G201" s="617"/>
      <c r="H201" s="466"/>
      <c r="I201" s="617"/>
      <c r="J201" s="617"/>
      <c r="K201" s="1692">
        <f>SUM(H201)</f>
        <v>0</v>
      </c>
      <c r="L201" s="466"/>
    </row>
    <row r="202" spans="1:14" x14ac:dyDescent="0.2">
      <c r="A202" s="1525" t="s">
        <v>91</v>
      </c>
      <c r="B202" s="615" t="s">
        <v>610</v>
      </c>
      <c r="C202" s="617"/>
      <c r="D202" s="617"/>
      <c r="E202" s="617"/>
      <c r="F202" s="617"/>
      <c r="G202" s="617"/>
      <c r="H202" s="466"/>
      <c r="I202" s="617"/>
      <c r="J202" s="617"/>
      <c r="K202" s="1692">
        <f>SUM(H202)</f>
        <v>0</v>
      </c>
      <c r="L202" s="466"/>
    </row>
    <row r="203" spans="1:14" x14ac:dyDescent="0.2">
      <c r="A203" s="1537"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v>290</v>
      </c>
      <c r="I205" s="617"/>
      <c r="J205" s="617"/>
      <c r="K205" s="1706">
        <f>SUM(H205)</f>
        <v>290</v>
      </c>
      <c r="L205" s="535"/>
    </row>
    <row r="206" spans="1:14" ht="30" customHeight="1" x14ac:dyDescent="0.2">
      <c r="A206" s="682" t="s">
        <v>1770</v>
      </c>
      <c r="B206" s="673" t="s">
        <v>31</v>
      </c>
      <c r="C206" s="617"/>
      <c r="D206" s="617"/>
      <c r="E206" s="617"/>
      <c r="F206" s="617"/>
      <c r="G206" s="617"/>
      <c r="H206" s="466">
        <v>3163</v>
      </c>
      <c r="I206" s="617"/>
      <c r="J206" s="617"/>
      <c r="K206" s="1692">
        <f>SUM(H206)</f>
        <v>3163</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3453</v>
      </c>
      <c r="I208" s="617"/>
      <c r="J208" s="617"/>
      <c r="K208" s="1698">
        <f>SUM(K204,K205,K206,K207)</f>
        <v>3453</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176039</v>
      </c>
      <c r="D210" s="1691">
        <f>SUM(D184,D185)</f>
        <v>3151</v>
      </c>
      <c r="E210" s="1691">
        <f>SUM(E184,E185,E196)</f>
        <v>91629</v>
      </c>
      <c r="F210" s="1691">
        <f>SUM(F184,F185)</f>
        <v>44992</v>
      </c>
      <c r="G210" s="1691">
        <f>SUM(G184,G185)</f>
        <v>10728</v>
      </c>
      <c r="H210" s="1691">
        <f>SUM(H184,H185,H196,H208,H209)</f>
        <v>4165</v>
      </c>
      <c r="I210" s="1691">
        <f>SUM(I184,I185)</f>
        <v>0</v>
      </c>
      <c r="J210" s="1691">
        <f>SUM(J184,J185)</f>
        <v>0</v>
      </c>
      <c r="K210" s="1692">
        <f>SUM(K184,K185,K196,K208,K209)</f>
        <v>330704</v>
      </c>
      <c r="L210" s="1691">
        <f>SUM(L184,L185,L196,L208,L209)</f>
        <v>305136</v>
      </c>
    </row>
    <row r="211" spans="1:14" ht="13.5" thickTop="1" x14ac:dyDescent="0.2">
      <c r="A211" s="2208" t="s">
        <v>1053</v>
      </c>
      <c r="B211" s="2209"/>
      <c r="C211" s="619"/>
      <c r="D211" s="619"/>
      <c r="E211" s="619"/>
      <c r="F211" s="619"/>
      <c r="G211" s="619"/>
      <c r="H211" s="619"/>
      <c r="I211" s="617"/>
      <c r="J211" s="617"/>
      <c r="K211" s="1705">
        <f>'Revenues 9-14'!F275-'Expenditures 15-22'!K210</f>
        <v>-60076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3" t="s">
        <v>1022</v>
      </c>
      <c r="B213" s="2204"/>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14327</v>
      </c>
      <c r="E215" s="617"/>
      <c r="F215" s="617"/>
      <c r="G215" s="617"/>
      <c r="H215" s="617"/>
      <c r="I215" s="617"/>
      <c r="J215" s="617"/>
      <c r="K215" s="1692">
        <f>D215</f>
        <v>14327</v>
      </c>
      <c r="L215" s="466">
        <v>15588</v>
      </c>
    </row>
    <row r="216" spans="1:14" x14ac:dyDescent="0.2">
      <c r="A216" s="1525" t="s">
        <v>165</v>
      </c>
      <c r="B216" s="615" t="s">
        <v>1024</v>
      </c>
      <c r="C216" s="617"/>
      <c r="D216" s="467">
        <v>3922</v>
      </c>
      <c r="E216" s="617"/>
      <c r="F216" s="617"/>
      <c r="G216" s="617"/>
      <c r="H216" s="617"/>
      <c r="I216" s="617"/>
      <c r="J216" s="617"/>
      <c r="K216" s="1692">
        <f t="shared" ref="K216:K228" si="19">D216</f>
        <v>3922</v>
      </c>
      <c r="L216" s="466">
        <v>3598</v>
      </c>
    </row>
    <row r="217" spans="1:14" x14ac:dyDescent="0.2">
      <c r="A217" s="1525" t="s">
        <v>166</v>
      </c>
      <c r="B217" s="615">
        <v>1200</v>
      </c>
      <c r="C217" s="617"/>
      <c r="D217" s="466">
        <v>23705</v>
      </c>
      <c r="E217" s="617"/>
      <c r="F217" s="617"/>
      <c r="G217" s="617"/>
      <c r="H217" s="617"/>
      <c r="I217" s="617"/>
      <c r="J217" s="617"/>
      <c r="K217" s="1692">
        <f t="shared" si="19"/>
        <v>23705</v>
      </c>
      <c r="L217" s="466">
        <v>24136</v>
      </c>
    </row>
    <row r="218" spans="1:14" x14ac:dyDescent="0.2">
      <c r="A218" s="1525" t="s">
        <v>296</v>
      </c>
      <c r="B218" s="615" t="s">
        <v>1025</v>
      </c>
      <c r="C218" s="617"/>
      <c r="D218" s="467"/>
      <c r="E218" s="617"/>
      <c r="F218" s="617"/>
      <c r="G218" s="617"/>
      <c r="H218" s="617"/>
      <c r="I218" s="617"/>
      <c r="J218" s="617"/>
      <c r="K218" s="1692">
        <f t="shared" si="19"/>
        <v>0</v>
      </c>
      <c r="L218" s="466"/>
    </row>
    <row r="219" spans="1:14" x14ac:dyDescent="0.2">
      <c r="A219" s="1525" t="s">
        <v>297</v>
      </c>
      <c r="B219" s="615">
        <v>1250</v>
      </c>
      <c r="C219" s="617"/>
      <c r="D219" s="466">
        <v>848</v>
      </c>
      <c r="E219" s="617"/>
      <c r="F219" s="617"/>
      <c r="G219" s="617"/>
      <c r="H219" s="617"/>
      <c r="I219" s="617"/>
      <c r="J219" s="617"/>
      <c r="K219" s="1692">
        <f t="shared" si="19"/>
        <v>848</v>
      </c>
      <c r="L219" s="466">
        <v>805</v>
      </c>
    </row>
    <row r="220" spans="1:14" x14ac:dyDescent="0.2">
      <c r="A220" s="1525" t="s">
        <v>298</v>
      </c>
      <c r="B220" s="615" t="s">
        <v>163</v>
      </c>
      <c r="C220" s="617"/>
      <c r="D220" s="467"/>
      <c r="E220" s="617"/>
      <c r="F220" s="617"/>
      <c r="G220" s="617"/>
      <c r="H220" s="617"/>
      <c r="I220" s="617"/>
      <c r="J220" s="617"/>
      <c r="K220" s="1692">
        <f t="shared" si="19"/>
        <v>0</v>
      </c>
      <c r="L220" s="466"/>
    </row>
    <row r="221" spans="1:14" x14ac:dyDescent="0.2">
      <c r="A221" s="1525" t="s">
        <v>1019</v>
      </c>
      <c r="B221" s="615">
        <v>1300</v>
      </c>
      <c r="C221" s="617"/>
      <c r="D221" s="466"/>
      <c r="E221" s="617"/>
      <c r="F221" s="617"/>
      <c r="G221" s="617"/>
      <c r="H221" s="617"/>
      <c r="I221" s="617"/>
      <c r="J221" s="617"/>
      <c r="K221" s="1692">
        <f t="shared" si="19"/>
        <v>0</v>
      </c>
      <c r="L221" s="466"/>
    </row>
    <row r="222" spans="1:14" x14ac:dyDescent="0.2">
      <c r="A222" s="1525" t="s">
        <v>747</v>
      </c>
      <c r="B222" s="615">
        <v>1400</v>
      </c>
      <c r="C222" s="617"/>
      <c r="D222" s="466">
        <v>1327</v>
      </c>
      <c r="E222" s="617"/>
      <c r="F222" s="617"/>
      <c r="G222" s="617"/>
      <c r="H222" s="617"/>
      <c r="I222" s="617"/>
      <c r="J222" s="617"/>
      <c r="K222" s="1692">
        <f t="shared" si="19"/>
        <v>1327</v>
      </c>
      <c r="L222" s="466">
        <v>1429</v>
      </c>
    </row>
    <row r="223" spans="1:14" x14ac:dyDescent="0.2">
      <c r="A223" s="1525" t="s">
        <v>1020</v>
      </c>
      <c r="B223" s="615">
        <v>1500</v>
      </c>
      <c r="C223" s="617"/>
      <c r="D223" s="466">
        <v>3091</v>
      </c>
      <c r="E223" s="617"/>
      <c r="F223" s="617"/>
      <c r="G223" s="617"/>
      <c r="H223" s="617"/>
      <c r="I223" s="617"/>
      <c r="J223" s="617"/>
      <c r="K223" s="1692">
        <f t="shared" si="19"/>
        <v>3091</v>
      </c>
      <c r="L223" s="466">
        <v>3210</v>
      </c>
    </row>
    <row r="224" spans="1:14" x14ac:dyDescent="0.2">
      <c r="A224" s="1525" t="s">
        <v>1021</v>
      </c>
      <c r="B224" s="615">
        <v>1600</v>
      </c>
      <c r="C224" s="617"/>
      <c r="D224" s="466"/>
      <c r="E224" s="617"/>
      <c r="F224" s="617"/>
      <c r="G224" s="617"/>
      <c r="H224" s="617"/>
      <c r="I224" s="617"/>
      <c r="J224" s="617"/>
      <c r="K224" s="1692">
        <f t="shared" si="19"/>
        <v>0</v>
      </c>
      <c r="L224" s="466"/>
    </row>
    <row r="225" spans="1:12" x14ac:dyDescent="0.2">
      <c r="A225" s="1525" t="s">
        <v>1044</v>
      </c>
      <c r="B225" s="615">
        <v>1650</v>
      </c>
      <c r="C225" s="617"/>
      <c r="D225" s="466"/>
      <c r="E225" s="617"/>
      <c r="F225" s="617"/>
      <c r="G225" s="617"/>
      <c r="H225" s="617"/>
      <c r="I225" s="617"/>
      <c r="J225" s="617"/>
      <c r="K225" s="1692">
        <f t="shared" si="19"/>
        <v>0</v>
      </c>
      <c r="L225" s="466"/>
    </row>
    <row r="226" spans="1:12" x14ac:dyDescent="0.2">
      <c r="A226" s="1525" t="s">
        <v>748</v>
      </c>
      <c r="B226" s="615" t="s">
        <v>164</v>
      </c>
      <c r="C226" s="617"/>
      <c r="D226" s="467">
        <v>506</v>
      </c>
      <c r="E226" s="617"/>
      <c r="F226" s="617"/>
      <c r="G226" s="617"/>
      <c r="H226" s="617"/>
      <c r="I226" s="617"/>
      <c r="J226" s="617"/>
      <c r="K226" s="1692">
        <f t="shared" si="19"/>
        <v>506</v>
      </c>
      <c r="L226" s="466">
        <v>510</v>
      </c>
    </row>
    <row r="227" spans="1:12" x14ac:dyDescent="0.2">
      <c r="A227" s="1525" t="s">
        <v>1148</v>
      </c>
      <c r="B227" s="615">
        <v>1800</v>
      </c>
      <c r="C227" s="617"/>
      <c r="D227" s="466"/>
      <c r="E227" s="617"/>
      <c r="F227" s="617"/>
      <c r="G227" s="617"/>
      <c r="H227" s="617"/>
      <c r="I227" s="617"/>
      <c r="J227" s="617"/>
      <c r="K227" s="1692">
        <f t="shared" si="19"/>
        <v>0</v>
      </c>
      <c r="L227" s="466"/>
    </row>
    <row r="228" spans="1:12" x14ac:dyDescent="0.2">
      <c r="A228" s="1525"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47726</v>
      </c>
      <c r="E229" s="617"/>
      <c r="F229" s="617"/>
      <c r="G229" s="617"/>
      <c r="H229" s="617"/>
      <c r="I229" s="617"/>
      <c r="J229" s="617"/>
      <c r="K229" s="1691">
        <f>SUM(K215:K228)</f>
        <v>47726</v>
      </c>
      <c r="L229" s="1691">
        <f>SUM(L215:L228)</f>
        <v>49276</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92">
        <f t="shared" ref="K232:K237" si="20">D232</f>
        <v>0</v>
      </c>
      <c r="L232" s="466"/>
    </row>
    <row r="233" spans="1:12" x14ac:dyDescent="0.2">
      <c r="A233" s="1525" t="s">
        <v>1151</v>
      </c>
      <c r="B233" s="615">
        <v>2120</v>
      </c>
      <c r="C233" s="617"/>
      <c r="D233" s="466">
        <v>406</v>
      </c>
      <c r="E233" s="617"/>
      <c r="F233" s="617"/>
      <c r="G233" s="617"/>
      <c r="H233" s="617"/>
      <c r="I233" s="617"/>
      <c r="J233" s="617"/>
      <c r="K233" s="1692">
        <f t="shared" si="20"/>
        <v>406</v>
      </c>
      <c r="L233" s="466">
        <v>400</v>
      </c>
    </row>
    <row r="234" spans="1:12" x14ac:dyDescent="0.2">
      <c r="A234" s="1525" t="s">
        <v>207</v>
      </c>
      <c r="B234" s="615">
        <v>2130</v>
      </c>
      <c r="C234" s="617"/>
      <c r="D234" s="466">
        <v>431</v>
      </c>
      <c r="E234" s="617"/>
      <c r="F234" s="617"/>
      <c r="G234" s="617"/>
      <c r="H234" s="617"/>
      <c r="I234" s="617"/>
      <c r="J234" s="617"/>
      <c r="K234" s="1692">
        <f t="shared" si="20"/>
        <v>431</v>
      </c>
      <c r="L234" s="466">
        <v>440</v>
      </c>
    </row>
    <row r="235" spans="1:12" x14ac:dyDescent="0.2">
      <c r="A235" s="1525" t="s">
        <v>208</v>
      </c>
      <c r="B235" s="615">
        <v>2140</v>
      </c>
      <c r="C235" s="617"/>
      <c r="D235" s="466"/>
      <c r="E235" s="617"/>
      <c r="F235" s="617"/>
      <c r="G235" s="617"/>
      <c r="H235" s="617"/>
      <c r="I235" s="617"/>
      <c r="J235" s="617"/>
      <c r="K235" s="1692">
        <f t="shared" si="20"/>
        <v>0</v>
      </c>
      <c r="L235" s="466"/>
    </row>
    <row r="236" spans="1:12" x14ac:dyDescent="0.2">
      <c r="A236" s="1525" t="s">
        <v>209</v>
      </c>
      <c r="B236" s="615">
        <v>2150</v>
      </c>
      <c r="C236" s="617"/>
      <c r="D236" s="466">
        <v>529</v>
      </c>
      <c r="E236" s="617"/>
      <c r="F236" s="617"/>
      <c r="G236" s="617"/>
      <c r="H236" s="617"/>
      <c r="I236" s="617"/>
      <c r="J236" s="617"/>
      <c r="K236" s="1692">
        <f t="shared" si="20"/>
        <v>529</v>
      </c>
      <c r="L236" s="466">
        <v>537</v>
      </c>
    </row>
    <row r="237" spans="1:12" x14ac:dyDescent="0.2">
      <c r="A237" s="1525"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1366</v>
      </c>
      <c r="E238" s="617"/>
      <c r="F238" s="617"/>
      <c r="G238" s="617"/>
      <c r="H238" s="617"/>
      <c r="I238" s="617"/>
      <c r="J238" s="617"/>
      <c r="K238" s="1691">
        <f>SUM(K232:K237)</f>
        <v>1366</v>
      </c>
      <c r="L238" s="1691">
        <f>SUM(L232:L237)</f>
        <v>1377</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v>457</v>
      </c>
      <c r="E240" s="617"/>
      <c r="F240" s="617"/>
      <c r="G240" s="617"/>
      <c r="H240" s="617"/>
      <c r="I240" s="617"/>
      <c r="J240" s="617"/>
      <c r="K240" s="1693">
        <f>D240</f>
        <v>457</v>
      </c>
      <c r="L240" s="481">
        <v>404</v>
      </c>
    </row>
    <row r="241" spans="1:12" x14ac:dyDescent="0.2">
      <c r="A241" s="1525" t="s">
        <v>869</v>
      </c>
      <c r="B241" s="615">
        <v>2220</v>
      </c>
      <c r="C241" s="617"/>
      <c r="D241" s="466">
        <v>1227</v>
      </c>
      <c r="E241" s="617"/>
      <c r="F241" s="617"/>
      <c r="G241" s="617"/>
      <c r="H241" s="617"/>
      <c r="I241" s="617"/>
      <c r="J241" s="617"/>
      <c r="K241" s="1693">
        <f>D241</f>
        <v>1227</v>
      </c>
      <c r="L241" s="466">
        <v>1060</v>
      </c>
    </row>
    <row r="242" spans="1:12" x14ac:dyDescent="0.2">
      <c r="A242" s="1525"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1684</v>
      </c>
      <c r="E243" s="617"/>
      <c r="F243" s="617"/>
      <c r="G243" s="617"/>
      <c r="H243" s="617"/>
      <c r="I243" s="617"/>
      <c r="J243" s="617"/>
      <c r="K243" s="1691">
        <f>SUM(K240:K242)</f>
        <v>1684</v>
      </c>
      <c r="L243" s="1691">
        <f>SUM(L240:L242)</f>
        <v>1464</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v>1739</v>
      </c>
      <c r="E245" s="617"/>
      <c r="F245" s="617"/>
      <c r="G245" s="617"/>
      <c r="H245" s="617"/>
      <c r="I245" s="617"/>
      <c r="J245" s="617"/>
      <c r="K245" s="1693">
        <f>D245</f>
        <v>1739</v>
      </c>
      <c r="L245" s="481">
        <v>2600</v>
      </c>
    </row>
    <row r="246" spans="1:12" x14ac:dyDescent="0.2">
      <c r="A246" s="1525" t="s">
        <v>872</v>
      </c>
      <c r="B246" s="615">
        <v>2320</v>
      </c>
      <c r="C246" s="617"/>
      <c r="D246" s="466">
        <v>3128</v>
      </c>
      <c r="E246" s="617"/>
      <c r="F246" s="617"/>
      <c r="G246" s="617"/>
      <c r="H246" s="617"/>
      <c r="I246" s="617"/>
      <c r="J246" s="617"/>
      <c r="K246" s="1693">
        <f t="shared" ref="K246:K256" si="21">D246</f>
        <v>3128</v>
      </c>
      <c r="L246" s="466">
        <v>3279</v>
      </c>
    </row>
    <row r="247" spans="1:12" x14ac:dyDescent="0.2">
      <c r="A247" s="1525" t="s">
        <v>873</v>
      </c>
      <c r="B247" s="615">
        <v>2330</v>
      </c>
      <c r="C247" s="617"/>
      <c r="D247" s="466">
        <v>410</v>
      </c>
      <c r="E247" s="617"/>
      <c r="F247" s="617"/>
      <c r="G247" s="617"/>
      <c r="H247" s="617"/>
      <c r="I247" s="617"/>
      <c r="J247" s="617"/>
      <c r="K247" s="1693">
        <f t="shared" si="21"/>
        <v>410</v>
      </c>
      <c r="L247" s="466">
        <v>455</v>
      </c>
    </row>
    <row r="248" spans="1:12" x14ac:dyDescent="0.2">
      <c r="A248" s="1526" t="s">
        <v>317</v>
      </c>
      <c r="B248" s="603" t="s">
        <v>299</v>
      </c>
      <c r="C248" s="617"/>
      <c r="D248" s="474"/>
      <c r="E248" s="617"/>
      <c r="F248" s="617"/>
      <c r="G248" s="617"/>
      <c r="H248" s="617"/>
      <c r="I248" s="617"/>
      <c r="J248" s="617"/>
      <c r="K248" s="1693">
        <f t="shared" si="21"/>
        <v>0</v>
      </c>
      <c r="L248" s="466"/>
    </row>
    <row r="249" spans="1:12" x14ac:dyDescent="0.2">
      <c r="A249" s="1527" t="s">
        <v>1908</v>
      </c>
      <c r="B249" s="684" t="s">
        <v>300</v>
      </c>
      <c r="C249" s="617"/>
      <c r="D249" s="474"/>
      <c r="E249" s="617"/>
      <c r="F249" s="617"/>
      <c r="G249" s="617"/>
      <c r="H249" s="617"/>
      <c r="I249" s="617"/>
      <c r="J249" s="617"/>
      <c r="K249" s="1693">
        <f t="shared" si="21"/>
        <v>0</v>
      </c>
      <c r="L249" s="466"/>
    </row>
    <row r="250" spans="1:12" x14ac:dyDescent="0.2">
      <c r="A250" s="1526" t="s">
        <v>1909</v>
      </c>
      <c r="B250" s="603" t="s">
        <v>301</v>
      </c>
      <c r="C250" s="617"/>
      <c r="D250" s="474"/>
      <c r="E250" s="617"/>
      <c r="F250" s="617"/>
      <c r="G250" s="617"/>
      <c r="H250" s="617"/>
      <c r="I250" s="617"/>
      <c r="J250" s="617"/>
      <c r="K250" s="1693">
        <f t="shared" si="21"/>
        <v>0</v>
      </c>
      <c r="L250" s="466"/>
    </row>
    <row r="251" spans="1:12" x14ac:dyDescent="0.2">
      <c r="A251" s="1526" t="s">
        <v>256</v>
      </c>
      <c r="B251" s="603" t="s">
        <v>302</v>
      </c>
      <c r="C251" s="617"/>
      <c r="D251" s="474"/>
      <c r="E251" s="617"/>
      <c r="F251" s="617"/>
      <c r="G251" s="617"/>
      <c r="H251" s="617"/>
      <c r="I251" s="617"/>
      <c r="J251" s="617"/>
      <c r="K251" s="1693">
        <f t="shared" si="21"/>
        <v>0</v>
      </c>
      <c r="L251" s="466"/>
    </row>
    <row r="252" spans="1:12" x14ac:dyDescent="0.2">
      <c r="A252" s="1526" t="s">
        <v>726</v>
      </c>
      <c r="B252" s="603" t="s">
        <v>303</v>
      </c>
      <c r="C252" s="617"/>
      <c r="D252" s="474">
        <v>16842</v>
      </c>
      <c r="E252" s="617"/>
      <c r="F252" s="617"/>
      <c r="G252" s="617"/>
      <c r="H252" s="617"/>
      <c r="I252" s="617"/>
      <c r="J252" s="617"/>
      <c r="K252" s="1693">
        <f t="shared" si="21"/>
        <v>16842</v>
      </c>
      <c r="L252" s="466">
        <v>18030</v>
      </c>
    </row>
    <row r="253" spans="1:12" x14ac:dyDescent="0.2">
      <c r="A253" s="1526" t="s">
        <v>257</v>
      </c>
      <c r="B253" s="603" t="s">
        <v>304</v>
      </c>
      <c r="C253" s="617"/>
      <c r="D253" s="474"/>
      <c r="E253" s="617"/>
      <c r="F253" s="617"/>
      <c r="G253" s="617"/>
      <c r="H253" s="617"/>
      <c r="I253" s="617"/>
      <c r="J253" s="617"/>
      <c r="K253" s="1693">
        <f t="shared" si="21"/>
        <v>0</v>
      </c>
      <c r="L253" s="466"/>
    </row>
    <row r="254" spans="1:12" ht="22.5" x14ac:dyDescent="0.2">
      <c r="A254" s="1526" t="s">
        <v>1087</v>
      </c>
      <c r="B254" s="684" t="s">
        <v>305</v>
      </c>
      <c r="C254" s="617"/>
      <c r="D254" s="474"/>
      <c r="E254" s="617"/>
      <c r="F254" s="617"/>
      <c r="G254" s="617"/>
      <c r="H254" s="617"/>
      <c r="I254" s="617"/>
      <c r="J254" s="617"/>
      <c r="K254" s="1693">
        <f t="shared" si="21"/>
        <v>0</v>
      </c>
      <c r="L254" s="466"/>
    </row>
    <row r="255" spans="1:12" x14ac:dyDescent="0.2">
      <c r="A255" s="1526" t="s">
        <v>1088</v>
      </c>
      <c r="B255" s="603" t="s">
        <v>306</v>
      </c>
      <c r="C255" s="617"/>
      <c r="D255" s="474"/>
      <c r="E255" s="617"/>
      <c r="F255" s="617"/>
      <c r="G255" s="617"/>
      <c r="H255" s="617"/>
      <c r="I255" s="617"/>
      <c r="J255" s="617"/>
      <c r="K255" s="1693">
        <f t="shared" si="21"/>
        <v>0</v>
      </c>
      <c r="L255" s="466"/>
    </row>
    <row r="256" spans="1:12" x14ac:dyDescent="0.2">
      <c r="A256" s="1526"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22119</v>
      </c>
      <c r="E257" s="617"/>
      <c r="F257" s="617"/>
      <c r="G257" s="617"/>
      <c r="H257" s="617"/>
      <c r="I257" s="617"/>
      <c r="J257" s="617"/>
      <c r="K257" s="1691">
        <f>SUM(K245:K256)</f>
        <v>22119</v>
      </c>
      <c r="L257" s="1691">
        <f>SUM(L245:L256)</f>
        <v>24364</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10616</v>
      </c>
      <c r="E259" s="617"/>
      <c r="F259" s="617"/>
      <c r="G259" s="617"/>
      <c r="H259" s="617"/>
      <c r="I259" s="617"/>
      <c r="J259" s="617"/>
      <c r="K259" s="1693">
        <f>D259</f>
        <v>10616</v>
      </c>
      <c r="L259" s="481">
        <v>11434</v>
      </c>
    </row>
    <row r="260" spans="1:14" s="598" customFormat="1" x14ac:dyDescent="0.2">
      <c r="A260" s="1543"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10616</v>
      </c>
      <c r="E261" s="617"/>
      <c r="F261" s="617"/>
      <c r="G261" s="617"/>
      <c r="H261" s="617"/>
      <c r="I261" s="617"/>
      <c r="J261" s="617"/>
      <c r="K261" s="1691">
        <f>SUM(K259:K260)</f>
        <v>10616</v>
      </c>
      <c r="L261" s="1691">
        <f>SUM(L259:L260)</f>
        <v>11434</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3">
        <f>D263</f>
        <v>0</v>
      </c>
      <c r="L263" s="481"/>
    </row>
    <row r="264" spans="1:14" x14ac:dyDescent="0.2">
      <c r="A264" s="1525" t="s">
        <v>483</v>
      </c>
      <c r="B264" s="686">
        <v>2520</v>
      </c>
      <c r="C264" s="617"/>
      <c r="D264" s="466">
        <v>5885</v>
      </c>
      <c r="E264" s="617"/>
      <c r="F264" s="617"/>
      <c r="G264" s="617"/>
      <c r="H264" s="617"/>
      <c r="I264" s="617"/>
      <c r="J264" s="617"/>
      <c r="K264" s="1693">
        <f t="shared" ref="K264:K269" si="22">D264</f>
        <v>5885</v>
      </c>
      <c r="L264" s="466">
        <v>5885</v>
      </c>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v>19664</v>
      </c>
      <c r="E266" s="617"/>
      <c r="F266" s="617"/>
      <c r="G266" s="617"/>
      <c r="H266" s="617"/>
      <c r="I266" s="617"/>
      <c r="J266" s="617"/>
      <c r="K266" s="1693">
        <f t="shared" si="22"/>
        <v>19664</v>
      </c>
      <c r="L266" s="466">
        <v>18311</v>
      </c>
    </row>
    <row r="267" spans="1:14" x14ac:dyDescent="0.2">
      <c r="A267" s="1525" t="s">
        <v>1010</v>
      </c>
      <c r="B267" s="615">
        <v>2550</v>
      </c>
      <c r="C267" s="617"/>
      <c r="D267" s="466">
        <v>18331</v>
      </c>
      <c r="E267" s="617"/>
      <c r="F267" s="617"/>
      <c r="G267" s="617"/>
      <c r="H267" s="617"/>
      <c r="I267" s="617"/>
      <c r="J267" s="617"/>
      <c r="K267" s="1693">
        <f t="shared" si="22"/>
        <v>18331</v>
      </c>
      <c r="L267" s="466">
        <v>18647</v>
      </c>
    </row>
    <row r="268" spans="1:14" x14ac:dyDescent="0.2">
      <c r="A268" s="1525" t="s">
        <v>102</v>
      </c>
      <c r="B268" s="615">
        <v>2560</v>
      </c>
      <c r="C268" s="617"/>
      <c r="D268" s="466">
        <v>8913</v>
      </c>
      <c r="E268" s="617"/>
      <c r="F268" s="617"/>
      <c r="G268" s="617"/>
      <c r="H268" s="617"/>
      <c r="I268" s="617"/>
      <c r="J268" s="617"/>
      <c r="K268" s="1693">
        <f t="shared" si="22"/>
        <v>8913</v>
      </c>
      <c r="L268" s="466">
        <v>10900</v>
      </c>
    </row>
    <row r="269" spans="1:14" x14ac:dyDescent="0.2">
      <c r="A269" s="1525"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52793</v>
      </c>
      <c r="E270" s="617"/>
      <c r="F270" s="617"/>
      <c r="G270" s="617"/>
      <c r="H270" s="617"/>
      <c r="I270" s="617"/>
      <c r="J270" s="617"/>
      <c r="K270" s="1691">
        <f>SUM(K263:K269)</f>
        <v>52793</v>
      </c>
      <c r="L270" s="1691">
        <f>SUM(L263:L269)</f>
        <v>53743</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row>
    <row r="273" spans="1:12" x14ac:dyDescent="0.2">
      <c r="A273" s="1525" t="s">
        <v>628</v>
      </c>
      <c r="B273" s="629">
        <v>2620</v>
      </c>
      <c r="C273" s="617"/>
      <c r="D273" s="466"/>
      <c r="E273" s="617"/>
      <c r="F273" s="617"/>
      <c r="G273" s="617"/>
      <c r="H273" s="617"/>
      <c r="I273" s="617"/>
      <c r="J273" s="617"/>
      <c r="K273" s="1693">
        <f>D273</f>
        <v>0</v>
      </c>
      <c r="L273" s="466"/>
    </row>
    <row r="274" spans="1:12" ht="12" customHeight="1" x14ac:dyDescent="0.2">
      <c r="A274" s="1525" t="s">
        <v>1121</v>
      </c>
      <c r="B274" s="615">
        <v>2630</v>
      </c>
      <c r="C274" s="617"/>
      <c r="D274" s="466"/>
      <c r="E274" s="617"/>
      <c r="F274" s="617"/>
      <c r="G274" s="617"/>
      <c r="H274" s="617"/>
      <c r="I274" s="617"/>
      <c r="J274" s="617"/>
      <c r="K274" s="1693">
        <f>D274</f>
        <v>0</v>
      </c>
      <c r="L274" s="466"/>
    </row>
    <row r="275" spans="1:12" x14ac:dyDescent="0.2">
      <c r="A275" s="1525" t="s">
        <v>423</v>
      </c>
      <c r="B275" s="615">
        <v>2640</v>
      </c>
      <c r="C275" s="617"/>
      <c r="D275" s="466"/>
      <c r="E275" s="617"/>
      <c r="F275" s="617"/>
      <c r="G275" s="617"/>
      <c r="H275" s="617"/>
      <c r="I275" s="617"/>
      <c r="J275" s="617"/>
      <c r="K275" s="1693">
        <f>D275</f>
        <v>0</v>
      </c>
      <c r="L275" s="466"/>
    </row>
    <row r="276" spans="1:12" x14ac:dyDescent="0.2">
      <c r="A276" s="1525"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1"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88578</v>
      </c>
      <c r="E279" s="617"/>
      <c r="F279" s="617"/>
      <c r="G279" s="617"/>
      <c r="H279" s="617"/>
      <c r="I279" s="617"/>
      <c r="J279" s="617"/>
      <c r="K279" s="1698">
        <f>SUM(K238,K243,K257,K261,K270,K277,K278)</f>
        <v>88578</v>
      </c>
      <c r="L279" s="1698">
        <f>SUM(L238,L243,L257,L261,L270,L277,L278)</f>
        <v>92382</v>
      </c>
    </row>
    <row r="280" spans="1:12" ht="15.75" customHeight="1" thickTop="1" thickBot="1" x14ac:dyDescent="0.25">
      <c r="A280" s="1645" t="s">
        <v>930</v>
      </c>
      <c r="B280" s="1634">
        <v>3000</v>
      </c>
      <c r="C280" s="617"/>
      <c r="D280" s="576"/>
      <c r="E280" s="617"/>
      <c r="F280" s="617"/>
      <c r="G280" s="617"/>
      <c r="H280" s="617"/>
      <c r="I280" s="617"/>
      <c r="J280" s="617"/>
      <c r="K280" s="1700">
        <f>D280</f>
        <v>0</v>
      </c>
      <c r="L280" s="576"/>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5" t="s">
        <v>322</v>
      </c>
      <c r="B283" s="615">
        <v>4120</v>
      </c>
      <c r="C283" s="617"/>
      <c r="D283" s="466"/>
      <c r="E283" s="617"/>
      <c r="F283" s="617"/>
      <c r="G283" s="617"/>
      <c r="H283" s="617"/>
      <c r="I283" s="617"/>
      <c r="J283" s="617"/>
      <c r="K283" s="1692">
        <f>D283</f>
        <v>0</v>
      </c>
      <c r="L283" s="466"/>
    </row>
    <row r="284" spans="1:12" x14ac:dyDescent="0.2">
      <c r="A284" s="1525"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1232</v>
      </c>
      <c r="B290" s="629" t="s">
        <v>638</v>
      </c>
      <c r="C290" s="617"/>
      <c r="D290" s="617"/>
      <c r="E290" s="617"/>
      <c r="F290" s="617"/>
      <c r="G290" s="617"/>
      <c r="H290" s="466"/>
      <c r="I290" s="617"/>
      <c r="J290" s="617"/>
      <c r="K290" s="1692">
        <f>H290</f>
        <v>0</v>
      </c>
      <c r="L290" s="466"/>
    </row>
    <row r="291" spans="1:14" x14ac:dyDescent="0.2">
      <c r="A291" s="1525" t="s">
        <v>91</v>
      </c>
      <c r="B291" s="615" t="s">
        <v>610</v>
      </c>
      <c r="C291" s="617"/>
      <c r="D291" s="617"/>
      <c r="E291" s="617"/>
      <c r="F291" s="617"/>
      <c r="G291" s="617"/>
      <c r="H291" s="466"/>
      <c r="I291" s="617"/>
      <c r="J291" s="617"/>
      <c r="K291" s="1692">
        <f>H291</f>
        <v>0</v>
      </c>
      <c r="L291" s="466"/>
    </row>
    <row r="292" spans="1:14" x14ac:dyDescent="0.2">
      <c r="A292" s="1525"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199" t="s">
        <v>526</v>
      </c>
      <c r="B295" s="2200"/>
      <c r="C295" s="617"/>
      <c r="D295" s="1691">
        <f>SUM(D229,D279,D280,D285)</f>
        <v>136304</v>
      </c>
      <c r="E295" s="617"/>
      <c r="F295" s="617"/>
      <c r="G295" s="617"/>
      <c r="H295" s="1691">
        <f>H293</f>
        <v>0</v>
      </c>
      <c r="I295" s="617"/>
      <c r="J295" s="617"/>
      <c r="K295" s="1691">
        <f>SUM(K229,K279,K280,K285,K293,K294)</f>
        <v>136304</v>
      </c>
      <c r="L295" s="1691">
        <f>SUM(L229,L279,L280,L285,L293,L294)</f>
        <v>141658</v>
      </c>
    </row>
    <row r="296" spans="1:14" ht="13.5" thickTop="1" x14ac:dyDescent="0.2">
      <c r="A296" s="2208" t="s">
        <v>1053</v>
      </c>
      <c r="B296" s="2209"/>
      <c r="C296" s="617"/>
      <c r="D296" s="619"/>
      <c r="E296" s="617"/>
      <c r="F296" s="617"/>
      <c r="G296" s="617"/>
      <c r="H296" s="688"/>
      <c r="I296" s="617"/>
      <c r="J296" s="617"/>
      <c r="K296" s="1705">
        <f>'Revenues 9-14'!G275-'Expenditures 15-22'!K295</f>
        <v>67035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1" t="s">
        <v>145</v>
      </c>
      <c r="B298" s="2185"/>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c r="H301" s="466"/>
      <c r="I301" s="467"/>
      <c r="J301" s="467"/>
      <c r="K301" s="1692">
        <f>SUM(C301:J301)</f>
        <v>0</v>
      </c>
      <c r="L301" s="467"/>
    </row>
    <row r="302" spans="1:14" ht="13.5" customHeight="1" x14ac:dyDescent="0.2">
      <c r="A302" s="1538"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1962</v>
      </c>
      <c r="B306" s="691" t="s">
        <v>1957</v>
      </c>
      <c r="C306" s="617"/>
      <c r="D306" s="617"/>
      <c r="E306" s="467"/>
      <c r="F306" s="617"/>
      <c r="G306" s="617"/>
      <c r="H306" s="467"/>
      <c r="I306" s="617"/>
      <c r="J306" s="617"/>
      <c r="K306" s="1692">
        <f>SUM(E306,H306)</f>
        <v>0</v>
      </c>
      <c r="L306" s="467"/>
    </row>
    <row r="307" spans="1:14" x14ac:dyDescent="0.2">
      <c r="A307" s="1525" t="s">
        <v>322</v>
      </c>
      <c r="B307" s="615">
        <v>4120</v>
      </c>
      <c r="C307" s="617"/>
      <c r="D307" s="617"/>
      <c r="E307" s="467"/>
      <c r="F307" s="617"/>
      <c r="G307" s="617"/>
      <c r="H307" s="467"/>
      <c r="I307" s="477"/>
      <c r="J307" s="617"/>
      <c r="K307" s="1692">
        <f>SUM(E307,H307)</f>
        <v>0</v>
      </c>
      <c r="L307" s="466"/>
    </row>
    <row r="308" spans="1:14" x14ac:dyDescent="0.2">
      <c r="A308" s="1525" t="s">
        <v>721</v>
      </c>
      <c r="B308" s="615">
        <v>4140</v>
      </c>
      <c r="C308" s="617"/>
      <c r="D308" s="617"/>
      <c r="E308" s="467"/>
      <c r="F308" s="617"/>
      <c r="G308" s="617"/>
      <c r="H308" s="467"/>
      <c r="I308" s="477"/>
      <c r="J308" s="617"/>
      <c r="K308" s="1692">
        <f>SUM(E308,H308)</f>
        <v>0</v>
      </c>
      <c r="L308" s="466"/>
    </row>
    <row r="309" spans="1:14" ht="12.75" customHeight="1" x14ac:dyDescent="0.2">
      <c r="A309" s="1529"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196" t="s">
        <v>295</v>
      </c>
      <c r="B312" s="2197"/>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92" t="s">
        <v>1053</v>
      </c>
      <c r="B313" s="2193"/>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5" t="s">
        <v>151</v>
      </c>
      <c r="B315" s="2206"/>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7" t="s">
        <v>954</v>
      </c>
      <c r="B317" s="2206"/>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4" t="s">
        <v>1908</v>
      </c>
      <c r="B320" s="699" t="s">
        <v>300</v>
      </c>
      <c r="C320" s="467"/>
      <c r="D320" s="467"/>
      <c r="E320" s="467">
        <v>59227</v>
      </c>
      <c r="F320" s="467"/>
      <c r="G320" s="467"/>
      <c r="H320" s="467"/>
      <c r="I320" s="467"/>
      <c r="J320" s="467"/>
      <c r="K320" s="1692">
        <f t="shared" ref="K320:K327" si="24">SUM(C320:J320)</f>
        <v>59227</v>
      </c>
      <c r="L320" s="467">
        <v>59227</v>
      </c>
      <c r="M320" s="666"/>
      <c r="N320" s="666"/>
    </row>
    <row r="321" spans="1:14" s="675" customFormat="1" x14ac:dyDescent="0.2">
      <c r="A321" s="1540" t="s">
        <v>318</v>
      </c>
      <c r="B321" s="698" t="s">
        <v>301</v>
      </c>
      <c r="C321" s="467"/>
      <c r="D321" s="467"/>
      <c r="E321" s="467">
        <v>251</v>
      </c>
      <c r="F321" s="467"/>
      <c r="G321" s="467"/>
      <c r="H321" s="467"/>
      <c r="I321" s="467"/>
      <c r="J321" s="467"/>
      <c r="K321" s="1692">
        <f t="shared" si="24"/>
        <v>251</v>
      </c>
      <c r="L321" s="467">
        <v>1000</v>
      </c>
      <c r="M321" s="666"/>
      <c r="N321" s="666"/>
    </row>
    <row r="322" spans="1:14" s="675" customFormat="1" x14ac:dyDescent="0.2">
      <c r="A322" s="1540" t="s">
        <v>256</v>
      </c>
      <c r="B322" s="698" t="s">
        <v>302</v>
      </c>
      <c r="C322" s="467"/>
      <c r="D322" s="467"/>
      <c r="E322" s="467">
        <v>38671</v>
      </c>
      <c r="F322" s="467"/>
      <c r="G322" s="467"/>
      <c r="H322" s="467"/>
      <c r="I322" s="467"/>
      <c r="J322" s="467"/>
      <c r="K322" s="1692">
        <f t="shared" si="24"/>
        <v>38671</v>
      </c>
      <c r="L322" s="467">
        <v>38671</v>
      </c>
      <c r="M322" s="666"/>
      <c r="N322" s="666"/>
    </row>
    <row r="323" spans="1:14" s="675" customFormat="1" x14ac:dyDescent="0.2">
      <c r="A323" s="1540" t="s">
        <v>726</v>
      </c>
      <c r="B323" s="698" t="s">
        <v>303</v>
      </c>
      <c r="C323" s="467">
        <v>233051</v>
      </c>
      <c r="D323" s="467">
        <v>42073</v>
      </c>
      <c r="E323" s="467">
        <v>13039</v>
      </c>
      <c r="F323" s="467"/>
      <c r="G323" s="467">
        <v>138221</v>
      </c>
      <c r="H323" s="467"/>
      <c r="I323" s="467"/>
      <c r="J323" s="467"/>
      <c r="K323" s="1692">
        <f t="shared" si="24"/>
        <v>426384</v>
      </c>
      <c r="L323" s="467">
        <v>443205</v>
      </c>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0" t="s">
        <v>1087</v>
      </c>
      <c r="B325" s="699" t="s">
        <v>305</v>
      </c>
      <c r="C325" s="467"/>
      <c r="D325" s="467"/>
      <c r="E325" s="467"/>
      <c r="F325" s="467"/>
      <c r="G325" s="467"/>
      <c r="H325" s="467"/>
      <c r="I325" s="467"/>
      <c r="J325" s="467"/>
      <c r="K325" s="1692">
        <f t="shared" si="24"/>
        <v>0</v>
      </c>
      <c r="L325" s="467"/>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0" t="s">
        <v>1028</v>
      </c>
      <c r="B327" s="698" t="s">
        <v>307</v>
      </c>
      <c r="C327" s="467"/>
      <c r="D327" s="467"/>
      <c r="E327" s="467">
        <v>5646</v>
      </c>
      <c r="F327" s="467"/>
      <c r="G327" s="467"/>
      <c r="H327" s="467"/>
      <c r="I327" s="467"/>
      <c r="J327" s="467"/>
      <c r="K327" s="1692">
        <f t="shared" si="24"/>
        <v>5646</v>
      </c>
      <c r="L327" s="467">
        <v>10000</v>
      </c>
      <c r="M327" s="666"/>
      <c r="N327" s="666"/>
    </row>
    <row r="328" spans="1:14" s="675" customFormat="1" x14ac:dyDescent="0.2">
      <c r="A328" s="1541"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233051</v>
      </c>
      <c r="D330" s="1691">
        <f t="shared" ref="D330:J330" si="25">SUM(D319:D329)</f>
        <v>42073</v>
      </c>
      <c r="E330" s="1691">
        <f t="shared" si="25"/>
        <v>116834</v>
      </c>
      <c r="F330" s="1691">
        <f t="shared" si="25"/>
        <v>0</v>
      </c>
      <c r="G330" s="1691">
        <f t="shared" si="25"/>
        <v>138221</v>
      </c>
      <c r="H330" s="1691">
        <f t="shared" si="25"/>
        <v>0</v>
      </c>
      <c r="I330" s="1691">
        <f t="shared" si="25"/>
        <v>0</v>
      </c>
      <c r="J330" s="1691">
        <f t="shared" si="25"/>
        <v>0</v>
      </c>
      <c r="K330" s="1691">
        <f>SUM(K319:K329)</f>
        <v>530179</v>
      </c>
      <c r="L330" s="1691">
        <f>SUM(L319:L329)</f>
        <v>552103</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row>
    <row r="338" spans="1:14" ht="12.75" customHeight="1" x14ac:dyDescent="0.2">
      <c r="A338" s="1539" t="s">
        <v>1232</v>
      </c>
      <c r="B338" s="691" t="s">
        <v>638</v>
      </c>
      <c r="C338" s="639"/>
      <c r="D338" s="639"/>
      <c r="E338" s="639"/>
      <c r="F338" s="639"/>
      <c r="G338" s="639"/>
      <c r="H338" s="478"/>
      <c r="I338" s="639"/>
      <c r="J338" s="639"/>
      <c r="K338" s="1692">
        <f>H338</f>
        <v>0</v>
      </c>
      <c r="L338" s="478"/>
    </row>
    <row r="339" spans="1:14" x14ac:dyDescent="0.2">
      <c r="A339" s="1525"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233051</v>
      </c>
      <c r="D342" s="1691">
        <f>SUM(D330)</f>
        <v>42073</v>
      </c>
      <c r="E342" s="1691">
        <f>SUM(E330)</f>
        <v>116834</v>
      </c>
      <c r="F342" s="1691">
        <f>SUM(F330)</f>
        <v>0</v>
      </c>
      <c r="G342" s="1691">
        <f>SUM(G330)</f>
        <v>138221</v>
      </c>
      <c r="H342" s="1691">
        <f>SUM(H330,H334,H340)</f>
        <v>0</v>
      </c>
      <c r="I342" s="1691">
        <f>SUM(I330)</f>
        <v>0</v>
      </c>
      <c r="J342" s="1691">
        <f>SUM(J330)</f>
        <v>0</v>
      </c>
      <c r="K342" s="1691">
        <f>SUM(K330,K334,K340)</f>
        <v>530179</v>
      </c>
      <c r="L342" s="1698">
        <f>SUM(L330,L340,L341)</f>
        <v>552103</v>
      </c>
    </row>
    <row r="343" spans="1:14" ht="12.75" customHeight="1" thickTop="1" x14ac:dyDescent="0.2">
      <c r="A343" s="2194" t="s">
        <v>1053</v>
      </c>
      <c r="B343" s="2195"/>
      <c r="C343" s="617"/>
      <c r="D343" s="617"/>
      <c r="E343" s="617"/>
      <c r="F343" s="617"/>
      <c r="G343" s="617"/>
      <c r="H343" s="617"/>
      <c r="I343" s="617"/>
      <c r="J343" s="617"/>
      <c r="K343" s="1705">
        <f>'Revenues 9-14'!J275-'Expenditures 15-22'!K342</f>
        <v>-25206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4" t="s">
        <v>1023</v>
      </c>
      <c r="B345" s="2185"/>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2">
        <f>SUM(C348:J348)</f>
        <v>0</v>
      </c>
      <c r="L348" s="466"/>
    </row>
    <row r="349" spans="1:14" x14ac:dyDescent="0.2">
      <c r="A349" s="1525" t="s">
        <v>206</v>
      </c>
      <c r="B349" s="615">
        <v>2540</v>
      </c>
      <c r="C349" s="466"/>
      <c r="D349" s="466"/>
      <c r="E349" s="466">
        <v>9975</v>
      </c>
      <c r="F349" s="466">
        <v>358</v>
      </c>
      <c r="G349" s="466">
        <v>116397</v>
      </c>
      <c r="H349" s="466"/>
      <c r="I349" s="467"/>
      <c r="J349" s="467"/>
      <c r="K349" s="1692">
        <f>SUM(C349:J349)</f>
        <v>126730</v>
      </c>
      <c r="L349" s="466">
        <v>86980</v>
      </c>
    </row>
    <row r="350" spans="1:14" ht="12.75" customHeight="1" thickBot="1" x14ac:dyDescent="0.25">
      <c r="A350" s="1689" t="s">
        <v>743</v>
      </c>
      <c r="B350" s="1690" t="s">
        <v>35</v>
      </c>
      <c r="C350" s="1691">
        <f>SUM(C348:C349)</f>
        <v>0</v>
      </c>
      <c r="D350" s="1691">
        <f t="shared" ref="D350:L350" si="26">SUM(D348:D349)</f>
        <v>0</v>
      </c>
      <c r="E350" s="1691">
        <f t="shared" si="26"/>
        <v>9975</v>
      </c>
      <c r="F350" s="1691">
        <f t="shared" si="26"/>
        <v>358</v>
      </c>
      <c r="G350" s="1691">
        <f t="shared" si="26"/>
        <v>116397</v>
      </c>
      <c r="H350" s="1691">
        <f t="shared" si="26"/>
        <v>0</v>
      </c>
      <c r="I350" s="1691">
        <f t="shared" si="26"/>
        <v>0</v>
      </c>
      <c r="J350" s="1691">
        <f t="shared" si="26"/>
        <v>0</v>
      </c>
      <c r="K350" s="1691">
        <f t="shared" si="26"/>
        <v>126730</v>
      </c>
      <c r="L350" s="1691">
        <f t="shared" si="26"/>
        <v>86980</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9975</v>
      </c>
      <c r="F352" s="1691">
        <f t="shared" si="27"/>
        <v>358</v>
      </c>
      <c r="G352" s="1691">
        <f t="shared" si="27"/>
        <v>116397</v>
      </c>
      <c r="H352" s="1691">
        <f t="shared" si="27"/>
        <v>0</v>
      </c>
      <c r="I352" s="1691">
        <f t="shared" si="27"/>
        <v>0</v>
      </c>
      <c r="J352" s="1691">
        <f t="shared" si="27"/>
        <v>0</v>
      </c>
      <c r="K352" s="1691">
        <f t="shared" si="27"/>
        <v>126730</v>
      </c>
      <c r="L352" s="1691">
        <f t="shared" si="27"/>
        <v>86980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4"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9975</v>
      </c>
      <c r="F367" s="1691">
        <f t="shared" si="28"/>
        <v>358</v>
      </c>
      <c r="G367" s="1691">
        <f t="shared" si="28"/>
        <v>116397</v>
      </c>
      <c r="H367" s="1691">
        <f t="shared" si="28"/>
        <v>0</v>
      </c>
      <c r="I367" s="1691">
        <f t="shared" si="28"/>
        <v>0</v>
      </c>
      <c r="J367" s="1691">
        <f t="shared" si="28"/>
        <v>0</v>
      </c>
      <c r="K367" s="1691">
        <f t="shared" si="28"/>
        <v>126730</v>
      </c>
      <c r="L367" s="1691">
        <f t="shared" si="28"/>
        <v>86980</v>
      </c>
    </row>
    <row r="368" spans="1:14" ht="13.5" thickTop="1" x14ac:dyDescent="0.2">
      <c r="A368" s="2208" t="s">
        <v>1053</v>
      </c>
      <c r="B368" s="2209"/>
      <c r="C368" s="655"/>
      <c r="D368" s="655"/>
      <c r="E368" s="627"/>
      <c r="F368" s="627"/>
      <c r="G368" s="627"/>
      <c r="H368" s="627"/>
      <c r="I368" s="627"/>
      <c r="J368" s="624"/>
      <c r="K368" s="1692">
        <f>'Revenues 9-14'!K275-'Expenditures 15-22'!K367</f>
        <v>-91793</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25"/>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&amp;F&amp;C&amp;"Franklin Gothic Book,Regular"&amp;8The Notes to Financial Statements are an integral part of this statement.</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purl.org/dc/dcmitype/"/>
    <ds:schemaRef ds:uri="http://www.w3.org/XML/1998/namespace"/>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4d435f69-8686-490b-bd6d-b153bf22ab50"/>
    <ds:schemaRef ds:uri="http://schemas.microsoft.com/sharepoint/v3"/>
    <ds:schemaRef ds:uri="http://purl.org/dc/elements/1.1/"/>
    <ds:schemaRef ds:uri="d21dc803-237d-4c68-8692-8d731fd29118"/>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Itemization 33</vt:lpstr>
      <vt:lpstr>AC32</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2018-10-03T13:14:49Z</cp:lastPrinted>
  <dcterms:created xsi:type="dcterms:W3CDTF">2003-10-29T19:06:34Z</dcterms:created>
  <dcterms:modified xsi:type="dcterms:W3CDTF">2018-10-10T15:38:13Z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Financial Statement &amp; Footnote Support</vt:lpwstr>
  </property>
  <property fmtid="{D5CDD505-2E9C-101B-9397-08002B2CF9AE}" pid="5" name="tabIndex">
    <vt:lpwstr>1200</vt:lpwstr>
  </property>
  <property fmtid="{D5CDD505-2E9C-101B-9397-08002B2CF9AE}" pid="6" name="workpaperIndex">
    <vt:lpwstr>1200.01</vt:lpwstr>
  </property>
</Properties>
</file>