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5" yWindow="13650" windowWidth="2883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 SEFA (3)" sheetId="184" r:id="rId30"/>
    <sheet name=" SEFA (2)" sheetId="183" r:id="rId31"/>
    <sheet name="SF&amp;QC Sec-1" sheetId="174" r:id="rId32"/>
    <sheet name="SF&amp;QC Sec-2" sheetId="175" r:id="rId33"/>
    <sheet name="SF&amp;QC Sec-3" sheetId="176" r:id="rId34"/>
    <sheet name="SSPAF" sheetId="177" r:id="rId35"/>
  </sheets>
  <definedNames>
    <definedName name="_xlnm.Print_Area" localSheetId="28">' SEFA'!$B$1:$M$46</definedName>
    <definedName name="_xlnm.Print_Area" localSheetId="30">' SEFA (2)'!$B$1:$M$46</definedName>
    <definedName name="_xlnm.Print_Area" localSheetId="29">' SEFA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30">#REF!</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30">#REF!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30">#REF!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30">#REF!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30">#REF!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I16" i="183" l="1"/>
  <c r="F16" i="183"/>
  <c r="L19" i="179"/>
  <c r="L18" i="184"/>
  <c r="L11" i="184"/>
  <c r="B4" i="184"/>
  <c r="L14" i="183"/>
  <c r="L13" i="183"/>
  <c r="B4" i="183"/>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9" i="34"/>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13" i="179"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A2" i="170"/>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s="1"/>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s="1"/>
  <c r="G15" i="145" s="1"/>
  <c r="K56" i="29"/>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B2726" i="106" s="1"/>
  <c r="D2726" i="106" s="1"/>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71" i="36"/>
  <c r="D72" i="36"/>
  <c r="D79" i="36"/>
  <c r="B64" i="127"/>
  <c r="B65" i="127"/>
  <c r="D26" i="108"/>
  <c r="E26" i="108"/>
  <c r="F26" i="108"/>
  <c r="G26" i="108"/>
  <c r="E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c r="D5120" i="106" s="1"/>
  <c r="D108" i="5"/>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09" i="5"/>
  <c r="B5121" i="106" s="1"/>
  <c r="D5121" i="106" s="1"/>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F128" i="34" s="1"/>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14" i="4"/>
  <c r="B2609" i="106" s="1"/>
  <c r="D2609" i="106" s="1"/>
  <c r="C14" i="4"/>
  <c r="B2558" i="106" s="1"/>
  <c r="D2558" i="106" s="1"/>
  <c r="D14" i="4"/>
  <c r="B2570" i="106" s="1"/>
  <c r="D2570" i="106" s="1"/>
  <c r="F14" i="4"/>
  <c r="B2597" i="106" s="1"/>
  <c r="D2597" i="106" s="1"/>
  <c r="B2633" i="106"/>
  <c r="D263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4" i="7"/>
  <c r="B1760" i="106" s="1"/>
  <c r="D1760" i="106" s="1"/>
  <c r="D5" i="7"/>
  <c r="B1761" i="106" s="1"/>
  <c r="D1761" i="106" s="1"/>
  <c r="D9" i="7"/>
  <c r="B1767" i="106" s="1"/>
  <c r="D1767" i="106" s="1"/>
  <c r="F136" i="34"/>
  <c r="F130" i="34"/>
  <c r="F127" i="34"/>
  <c r="B5847" i="106"/>
  <c r="D5847" i="106" s="1"/>
  <c r="B5752" i="106"/>
  <c r="D5752" i="106" s="1"/>
  <c r="B5599" i="106"/>
  <c r="D5599" i="106" s="1"/>
  <c r="K274" i="5"/>
  <c r="H173" i="5"/>
  <c r="B5906" i="106" s="1"/>
  <c r="D5906" i="106" s="1"/>
  <c r="C172" i="5"/>
  <c r="B5214" i="106" s="1"/>
  <c r="D5214" i="106" s="1"/>
  <c r="F106" i="34"/>
  <c r="H6" i="4"/>
  <c r="B2656" i="106" s="1"/>
  <c r="D2656" i="106" s="1"/>
  <c r="B1746" i="106"/>
  <c r="D1746" i="106" s="1"/>
  <c r="D12" i="7"/>
  <c r="B1769" i="106" s="1"/>
  <c r="D1769" i="106" s="1"/>
  <c r="D15" i="7"/>
  <c r="B1772" i="106" s="1"/>
  <c r="D1772" i="106" s="1"/>
  <c r="E14" i="145" l="1"/>
  <c r="G14" i="145" s="1"/>
  <c r="B1124" i="106"/>
  <c r="D1124" i="106" s="1"/>
  <c r="D11" i="7"/>
  <c r="B1768" i="106" s="1"/>
  <c r="D1768" i="106" s="1"/>
  <c r="D17" i="7"/>
  <c r="B4104" i="106" s="1"/>
  <c r="D4104" i="106" s="1"/>
  <c r="C173" i="5"/>
  <c r="B5223" i="106" s="1"/>
  <c r="D5223" i="106" s="1"/>
  <c r="D7" i="7"/>
  <c r="B1763" i="106" s="1"/>
  <c r="D1763" i="106" s="1"/>
  <c r="H109" i="5"/>
  <c r="G4" i="4"/>
  <c r="B2603" i="106" s="1"/>
  <c r="D2603" i="106" s="1"/>
  <c r="F111" i="34"/>
  <c r="F131" i="34"/>
  <c r="B5770" i="106"/>
  <c r="D5770" i="106" s="1"/>
  <c r="D13" i="7"/>
  <c r="B3726" i="106" s="1"/>
  <c r="D3726" i="106" s="1"/>
  <c r="G5" i="4"/>
  <c r="B3409" i="106" s="1"/>
  <c r="D3409" i="106" s="1"/>
  <c r="I173" i="5"/>
  <c r="B4216" i="106" s="1"/>
  <c r="D4216" i="106" s="1"/>
  <c r="E109" i="5"/>
  <c r="E4" i="4" s="1"/>
  <c r="B2630" i="106" s="1"/>
  <c r="D2630" i="106" s="1"/>
  <c r="D109" i="5"/>
  <c r="B5356" i="106" s="1"/>
  <c r="D5356" i="106" s="1"/>
  <c r="L342" i="29"/>
  <c r="L312" i="29"/>
  <c r="F36" i="34"/>
  <c r="F34" i="34"/>
  <c r="B7235" i="106"/>
  <c r="D7235" i="106" s="1"/>
  <c r="B3669" i="106"/>
  <c r="D3669" i="106" s="1"/>
  <c r="K350" i="29"/>
  <c r="B3649" i="106"/>
  <c r="D3649" i="106" s="1"/>
  <c r="G367" i="29"/>
  <c r="B3621" i="106"/>
  <c r="D3621" i="106" s="1"/>
  <c r="C367" i="29"/>
  <c r="F21" i="8"/>
  <c r="K76" i="4"/>
  <c r="B3586" i="106" s="1"/>
  <c r="D3586" i="106" s="1"/>
  <c r="K285" i="29"/>
  <c r="B1410" i="106"/>
  <c r="D1410" i="106" s="1"/>
  <c r="N22" i="3"/>
  <c r="B283" i="106" s="1"/>
  <c r="D283" i="106" s="1"/>
  <c r="L13" i="11"/>
  <c r="B2060" i="106" s="1"/>
  <c r="D2060" i="106" s="1"/>
  <c r="F65" i="34"/>
  <c r="G29" i="108"/>
  <c r="E29" i="108"/>
  <c r="K184" i="29"/>
  <c r="F13" i="4" s="1"/>
  <c r="B2596" i="106" s="1"/>
  <c r="D2596" i="106" s="1"/>
  <c r="B1329" i="106"/>
  <c r="D1329" i="106" s="1"/>
  <c r="F61" i="34"/>
  <c r="F28" i="108"/>
  <c r="E28" i="108"/>
  <c r="B5355" i="106"/>
  <c r="D5355" i="106" s="1"/>
  <c r="D4" i="4"/>
  <c r="B2564" i="106" s="1"/>
  <c r="D2564" i="106" s="1"/>
  <c r="F27" i="108"/>
  <c r="B2724" i="106"/>
  <c r="D2724" i="106" s="1"/>
  <c r="B5096" i="106"/>
  <c r="D5096" i="106" s="1"/>
  <c r="D69" i="36"/>
  <c r="D54" i="36"/>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C6" i="4"/>
  <c r="B2553" i="106" s="1"/>
  <c r="D2553"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J7" i="4"/>
  <c r="B2657" i="106"/>
  <c r="D2657" i="106" s="1"/>
  <c r="D274" i="5"/>
  <c r="B3447" i="106"/>
  <c r="D3447" i="106" s="1"/>
  <c r="D19" i="7"/>
  <c r="B1775" i="106" s="1"/>
  <c r="D1775" i="106" s="1"/>
  <c r="B7270" i="106"/>
  <c r="B1879" i="106" l="1"/>
  <c r="D1879" i="106" s="1"/>
  <c r="H22" i="37"/>
  <c r="F275" i="5"/>
  <c r="F73" i="34"/>
  <c r="G15" i="4"/>
  <c r="B6032" i="106" s="1"/>
  <c r="D6032" i="106" s="1"/>
  <c r="H367" i="29"/>
  <c r="B3660" i="106" s="1"/>
  <c r="D3660" i="106" s="1"/>
  <c r="B3670" i="106"/>
  <c r="D3670" i="106" s="1"/>
  <c r="K352" i="29"/>
  <c r="B6025" i="106"/>
  <c r="D6025" i="106" s="1"/>
  <c r="H4" i="4"/>
  <c r="L16" i="11"/>
  <c r="B2061" i="106" s="1"/>
  <c r="D2061" i="106" s="1"/>
  <c r="B1381" i="106"/>
  <c r="D1381" i="106" s="1"/>
  <c r="C114" i="29"/>
  <c r="B757" i="106" s="1"/>
  <c r="D757"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B2655" i="106" l="1"/>
  <c r="D2655" i="106" s="1"/>
  <c r="H8" i="4"/>
  <c r="K13" i="4"/>
  <c r="B3572" i="106" s="1"/>
  <c r="D3572" i="106" s="1"/>
  <c r="B3672" i="106"/>
  <c r="D3672" i="106" s="1"/>
  <c r="K367" i="29"/>
  <c r="B3678" i="106" s="1"/>
  <c r="D3678" i="106" s="1"/>
  <c r="E41" i="108"/>
  <c r="E44" i="108" s="1"/>
  <c r="E45" i="108" s="1"/>
  <c r="G41" i="108"/>
  <c r="G44" i="108" s="1"/>
  <c r="G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<sst xmlns="http://schemas.openxmlformats.org/spreadsheetml/2006/main" count="5263" uniqueCount="2137">
  <si>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</si>
  <si>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</si>
  <si>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</si>
  <si>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</si>
  <si>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</si>
  <si>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</si>
  <si>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</si>
  <si>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</si>
  <si>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</si>
  <si>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</si>
  <si>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</si>
  <si>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</si>
  <si>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</si>
  <si>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</si>
  <si>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</si>
  <si>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</si>
  <si>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</si>
  <si>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</si>
  <si>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</si>
  <si>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</si>
  <si>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</si>
  <si>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</si>
  <si>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</si>
  <si>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</si>
  <si>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</si>
  <si>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</si>
  <si>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</si>
  <si>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</si>
  <si>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</si>
  <si>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</si>
  <si>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</si>
  <si>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</si>
  <si>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</si>
  <si>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</si>
  <si>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</si>
  <si>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</si>
  <si>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</si>
  <si>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</si>
  <si>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</si>
  <si>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</si>
  <si>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</si>
  <si>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</si>
  <si>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</si>
  <si>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</si>
  <si>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</si>
  <si>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</si>
  <si>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</si>
  <si>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</si>
  <si>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</si>
  <si>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</si>
  <si>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</si>
  <si>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</si>
  <si>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</si>
  <si>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</si>
  <si>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</si>
  <si>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</si>
  <si>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</si>
  <si>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</si>
  <si>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</si>
  <si>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</si>
  <si>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</si>
  <si>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</si>
  <si>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</si>
  <si>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</si>
  <si>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</si>
  <si>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</si>
  <si>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</si>
  <si>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</si>
  <si>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</si>
  <si>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</si>
  <si>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</si>
  <si>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</si>
  <si>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</si>
  <si>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</si>
  <si>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</si>
  <si>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</si>
  <si>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</si>
  <si>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</si>
  <si>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</si>
  <si>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</si>
  <si>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</si>
  <si>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</si>
  <si>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</si>
  <si>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</si>
  <si>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</si>
  <si>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</si>
  <si>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</si>
  <si>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</si>
  <si>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</si>
  <si>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</si>
  <si>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</si>
  <si>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</si>
  <si>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</si>
  <si>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</si>
  <si>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</si>
  <si>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</si>
  <si>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</si>
  <si>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</si>
  <si>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</si>
  <si>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</si>
  <si>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</si>
  <si>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</si>
  <si>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</si>
  <si>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</si>
  <si>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</si>
  <si>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</si>
  <si>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</si>
  <si>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</si>
  <si>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</si>
  <si>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</si>
  <si>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</si>
  <si>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</si>
  <si>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</si>
  <si>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</si>
  <si>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</si>
  <si>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</si>
  <si>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</si>
  <si>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</si>
  <si>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</si>
  <si>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</si>
  <si>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</si>
  <si>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</si>
  <si>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</si>
  <si>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</si>
  <si>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</si>
  <si>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</si>
  <si>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</si>
  <si>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</si>
  <si>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</si>
  <si>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</si>
  <si>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</si>
  <si>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</si>
  <si>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</si>
  <si>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</si>
  <si>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</si>
  <si>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</si>
  <si>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</si>
  <si>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</si>
  <si>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</si>
  <si>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</si>
  <si>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</si>
  <si>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</si>
  <si>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</si>
  <si>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</si>
  <si>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</si>
  <si>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</si>
  <si>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</si>
  <si>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</si>
  <si>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</si>
  <si>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</si>
  <si>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</si>
  <si>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</si>
  <si>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</si>
  <si>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</si>
  <si>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</si>
  <si>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</si>
  <si>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</si>
  <si>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</si>
  <si>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</si>
  <si>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</si>
  <si>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</si>
  <si>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</si>
  <si>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</si>
  <si>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</si>
  <si>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</si>
  <si>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</si>
  <si>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</si>
  <si>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</si>
  <si>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</si>
  <si>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</si>
  <si>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</si>
  <si>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</si>
  <si>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</si>
  <si>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</si>
  <si>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</si>
  <si>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</si>
  <si>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</si>
  <si>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</si>
  <si>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</si>
  <si>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</si>
  <si>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</si>
  <si>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</si>
  <si>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</si>
  <si>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</si>
  <si>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</si>
  <si>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</si>
  <si>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</si>
  <si>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</si>
  <si>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</si>
  <si>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</si>
  <si>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</si>
  <si>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</si>
  <si>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</si>
  <si>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</si>
  <si>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</si>
  <si>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</si>
  <si>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</si>
  <si>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</si>
  <si>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</si>
  <si>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</si>
  <si>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</si>
  <si>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</si>
  <si>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</si>
  <si>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</si>
  <si>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</si>
  <si>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</si>
  <si>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</si>
  <si>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</si>
  <si>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</si>
  <si>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</si>
  <si>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</si>
  <si>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</si>
  <si>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</si>
  <si>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</si>
  <si>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</si>
  <si>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</si>
  <si>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</si>
  <si>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</si>
  <si>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</si>
  <si>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</si>
  <si>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</si>
  <si>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</si>
  <si>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</si>
  <si>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</si>
  <si>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</si>
  <si>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</si>
  <si>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</si>
  <si>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</si>
  <si>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</si>
  <si>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</si>
  <si>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</si>
  <si>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</si>
  <si>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</si>
  <si>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</si>
  <si>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</si>
  <si>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</si>
  <si>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</si>
  <si>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</si>
  <si>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</si>
  <si>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</si>
  <si>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</si>
  <si>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</si>
  <si>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</si>
  <si>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</si>
  <si>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</si>
  <si>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</si>
  <si>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</si>
  <si>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</si>
  <si>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</si>
  <si>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</si>
  <si>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</si>
  <si>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</si>
  <si>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</si>
  <si>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</si>
  <si>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</si>
  <si>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</si>
  <si>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</si>
  <si>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</si>
  <si>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</si>
  <si>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</si>
  <si>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</si>
  <si>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</si>
  <si>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</si>
  <si>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</si>
  <si>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</si>
  <si>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</si>
  <si>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</si>
  <si>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</si>
  <si>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</si>
  <si>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</si>
  <si>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</si>
  <si>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</si>
  <si>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</si>
  <si>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</si>
  <si>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</si>
  <si>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</si>
  <si>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</si>
  <si>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</si>
  <si>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</si>
  <si>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</si>
  <si>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</si>
  <si>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</si>
  <si>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</si>
  <si>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</si>
  <si>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</si>
  <si>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</si>
  <si>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</si>
  <si>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</si>
  <si>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</si>
  <si>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</si>
  <si>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</si>
  <si>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</si>
  <si>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</si>
  <si>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</si>
  <si>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</si>
  <si>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</si>
  <si>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</si>
  <si>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</si>
  <si>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</si>
  <si>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</si>
  <si>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</si>
  <si>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</si>
  <si>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</si>
  <si>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</si>
  <si>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</si>
  <si>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</si>
  <si>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</si>
  <si>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</si>
  <si>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</si>
  <si>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</si>
  <si>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</si>
  <si>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</si>
  <si>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</si>
  <si>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</si>
  <si>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</si>
  <si>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</si>
  <si>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</si>
  <si>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</si>
  <si>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</si>
  <si>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</si>
  <si>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</si>
  <si>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</si>
  <si>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</si>
  <si>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</si>
  <si>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</si>
  <si>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</si>
  <si>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</si>
  <si>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</si>
  <si>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</si>
  <si>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</si>
  <si>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</si>
  <si>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</si>
  <si>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</si>
  <si>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</si>
  <si>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</si>
  <si>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</si>
  <si>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</si>
  <si>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</si>
  <si>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</si>
  <si>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</si>
  <si>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</si>
  <si>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</si>
  <si>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</si>
  <si>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</si>
  <si>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</si>
  <si>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</si>
  <si>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</si>
  <si>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</si>
  <si>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</si>
  <si>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</si>
  <si>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</si>
  <si>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</si>
  <si>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</si>
  <si>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</si>
  <si>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</si>
  <si>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</si>
  <si>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</si>
  <si>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</si>
  <si>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</si>
  <si>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</si>
  <si>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</si>
  <si>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</si>
  <si>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</si>
  <si>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</si>
  <si>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</si>
  <si>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</si>
  <si>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</si>
  <si>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</si>
  <si>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</si>
  <si>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</si>
  <si>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</si>
  <si>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</si>
  <si>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</si>
  <si>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</si>
  <si>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</si>
  <si>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</si>
  <si>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</si>
  <si>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</si>
  <si>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</si>
  <si>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</si>
  <si>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</si>
  <si>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</si>
  <si>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</si>
  <si>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</si>
  <si>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</si>
  <si>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</si>
  <si>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</si>
  <si>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</si>
  <si>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</si>
  <si>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</si>
  <si>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</si>
  <si>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</si>
  <si>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</si>
  <si>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</si>
  <si>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</si>
  <si>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</si>
  <si>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</si>
  <si>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</si>
  <si>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</si>
  <si>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</si>
  <si>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</si>
  <si>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</si>
  <si>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</si>
  <si>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</si>
  <si>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</si>
  <si>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</si>
  <si>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</si>
  <si>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</si>
  <si>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</si>
  <si>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</si>
  <si>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</si>
  <si>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</si>
  <si>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</si>
  <si>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</si>
  <si>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</si>
  <si>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</si>
  <si>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</si>
  <si>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</si>
  <si>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</si>
  <si>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</si>
  <si>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</si>
  <si>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</si>
  <si>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</si>
  <si>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</si>
  <si>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</si>
  <si>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</si>
  <si>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</si>
  <si>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</si>
  <si>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</si>
  <si>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</si>
  <si>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</si>
  <si>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</si>
  <si>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</si>
  <si>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</si>
  <si>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</si>
  <si>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</si>
  <si>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</si>
  <si>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</si>
  <si>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</si>
  <si>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</si>
  <si>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</si>
  <si>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</si>
  <si>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</si>
  <si>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</si>
  <si>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</si>
  <si>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</si>
  <si>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</si>
  <si>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</si>
  <si>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</si>
  <si>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</si>
  <si>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</si>
  <si>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</si>
  <si>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</si>
  <si>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</si>
  <si>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</si>
  <si>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</si>
  <si>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</si>
  <si>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</si>
  <si>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</si>
  <si>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</si>
  <si>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</si>
  <si>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</si>
  <si>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</si>
  <si>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</si>
  <si>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</si>
  <si>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</si>
  <si>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</si>
  <si>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</si>
  <si>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</si>
  <si>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</si>
  <si>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</si>
  <si>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</si>
  <si>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</si>
  <si>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</si>
  <si>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</si>
  <si>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</si>
  <si>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</si>
  <si>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</si>
  <si>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</si>
  <si>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</si>
  <si>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</si>
  <si>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</si>
  <si>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</si>
  <si>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</si>
  <si>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</si>
  <si>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</si>
  <si>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</si>
  <si>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</si>
  <si>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</si>
  <si>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</si>
  <si>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</si>
  <si>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</si>
  <si>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</si>
  <si>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</si>
  <si>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</si>
  <si>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</si>
  <si>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</si>
  <si>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</si>
  <si>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</si>
  <si>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</si>
  <si>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</si>
  <si>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</si>
  <si>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</si>
  <si>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</si>
  <si>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</si>
  <si>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</si>
  <si>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</si>
  <si>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</si>
  <si>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</si>
  <si>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</si>
  <si>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</si>
  <si>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</si>
  <si>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</si>
  <si>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</si>
  <si>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</si>
  <si>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</si>
  <si>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</si>
  <si>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</si>
  <si>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</si>
  <si>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</si>
  <si>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</si>
  <si>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</si>
  <si>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</si>
  <si>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</si>
  <si>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</si>
  <si>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</si>
  <si>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</si>
  <si>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</si>
  <si>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</si>
  <si>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</si>
  <si>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</si>
  <si>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</si>
  <si>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</si>
  <si>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</si>
  <si>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</si>
  <si>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</si>
  <si>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</si>
  <si>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</si>
  <si>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</si>
  <si>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</si>
  <si>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</si>
  <si>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</si>
  <si>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</si>
  <si>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</si>
  <si>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</si>
  <si>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</si>
  <si>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</si>
  <si>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</si>
  <si>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</si>
  <si>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</si>
  <si>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</si>
  <si>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</si>
  <si>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</si>
  <si>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</si>
  <si>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</si>
  <si>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</si>
  <si>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</si>
  <si>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</si>
  <si>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</si>
  <si>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</si>
  <si>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</si>
  <si>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</si>
  <si>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</si>
  <si>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</si>
  <si>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</si>
  <si>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</si>
  <si>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</si>
  <si>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</si>
  <si>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</si>
  <si>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</si>
  <si>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</si>
  <si>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</si>
  <si>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</si>
  <si>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</si>
  <si>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</si>
  <si>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</si>
  <si>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</si>
  <si>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</si>
  <si>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</si>
  <si>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</si>
  <si>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</si>
  <si>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</si>
  <si>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</si>
  <si>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</si>
  <si>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</si>
  <si>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</si>
  <si>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</si>
  <si>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</si>
  <si>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</si>
  <si>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</si>
  <si>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</si>
  <si>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</si>
  <si>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</si>
  <si>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</si>
  <si>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</si>
  <si>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</si>
  <si>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</si>
  <si>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</si>
  <si>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</si>
  <si>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</si>
  <si>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</si>
  <si>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</si>
  <si>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</si>
  <si>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</si>
  <si>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</si>
  <si>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</si>
  <si>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</si>
  <si>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</si>
  <si>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</si>
  <si>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</si>
  <si>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</si>
  <si>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</si>
  <si>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</si>
  <si>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</si>
  <si>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</si>
  <si>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</si>
  <si>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</si>
  <si>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</si>
  <si>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</si>
  <si>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</si>
  <si>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</si>
  <si>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</si>
  <si>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</si>
  <si>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</si>
  <si>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</si>
  <si>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</si>
  <si>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</si>
  <si>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</si>
  <si>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</si>
  <si>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</si>
  <si>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</si>
  <si>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</si>
  <si>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</si>
  <si>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</si>
  <si>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</si>
  <si>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</si>
  <si>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</si>
  <si>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</si>
  <si>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</si>
  <si>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</si>
  <si>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</si>
  <si>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</si>
  <si>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</si>
  <si>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</si>
  <si>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</si>
  <si>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</si>
  <si>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</si>
  <si>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</si>
  <si>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</si>
  <si>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</si>
  <si>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</si>
  <si>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</si>
  <si>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</si>
  <si>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</si>
  <si>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</si>
  <si>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</si>
  <si>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</si>
  <si>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</si>
  <si>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</si>
  <si>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</si>
  <si>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</si>
  <si>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</si>
  <si>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</si>
  <si>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</si>
  <si>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</si>
  <si>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</si>
  <si>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</si>
  <si>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</si>
  <si>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</si>
  <si>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</si>
  <si>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</si>
  <si>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</si>
  <si>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</si>
  <si>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</si>
  <si>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</si>
  <si>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</si>
  <si>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</si>
  <si>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</si>
  <si>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</si>
  <si>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</si>
  <si>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</si>
  <si>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</si>
  <si>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</si>
  <si>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</si>
  <si>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</si>
  <si>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</si>
  <si>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</si>
  <si>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</si>
  <si>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</si>
  <si>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</si>
  <si>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</si>
  <si>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</si>
  <si>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</si>
  <si>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</si>
  <si>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</si>
  <si>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</si>
  <si>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</si>
  <si>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</si>
  <si>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</si>
  <si>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</si>
  <si>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</si>
  <si>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</si>
  <si>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</si>
  <si>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</si>
  <si>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</si>
  <si>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</si>
  <si>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</si>
  <si>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</si>
  <si>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</si>
  <si>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</si>
  <si>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</si>
  <si>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</si>
  <si>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</si>
  <si>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</si>
  <si>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</si>
  <si>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</si>
  <si>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</si>
  <si>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</si>
  <si>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</si>
  <si>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</si>
  <si>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</si>
  <si>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</si>
  <si>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</si>
  <si>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</si>
  <si>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</si>
  <si>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</si>
  <si>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</si>
  <si>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</si>
  <si>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</si>
  <si>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</si>
  <si>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</si>
  <si>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</si>
  <si>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</si>
  <si>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</si>
  <si>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</si>
  <si>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</si>
  <si>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</si>
  <si>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</si>
  <si>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</si>
  <si>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</si>
  <si>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</si>
  <si>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</si>
  <si>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</si>
  <si>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</si>
  <si>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</si>
  <si>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</si>
  <si>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</si>
  <si>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</si>
  <si>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</si>
  <si>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</si>
  <si>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</si>
  <si>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</si>
  <si>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</si>
  <si>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</si>
  <si>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</si>
  <si>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</si>
  <si>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</si>
  <si>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</si>
  <si>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</si>
  <si>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</si>
  <si>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</si>
  <si>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</si>
  <si>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</si>
  <si>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</si>
  <si>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</si>
  <si>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</si>
  <si>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</si>
  <si>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</si>
  <si>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</si>
  <si>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</si>
  <si>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</si>
  <si>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</si>
  <si>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</si>
  <si>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</si>
  <si>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</si>
  <si>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</si>
  <si>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</si>
  <si>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</si>
  <si>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</si>
  <si>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</si>
  <si>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</si>
  <si>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</si>
  <si>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</si>
  <si>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</si>
  <si>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</si>
  <si>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</si>
  <si>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</si>
  <si>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</si>
  <si>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</si>
  <si>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</si>
  <si>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</si>
  <si>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</si>
  <si>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</si>
  <si>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</si>
  <si>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</si>
  <si>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</si>
  <si>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</si>
  <si>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</si>
  <si>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</si>
  <si>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</si>
  <si>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</si>
  <si>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</si>
  <si>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</si>
  <si>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</si>
  <si>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</si>
  <si>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</si>
  <si>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</si>
  <si>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</si>
  <si>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</si>
  <si>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</si>
  <si>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</si>
  <si>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</si>
  <si>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</si>
  <si>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</si>
  <si>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</si>
  <si>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</si>
  <si>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</si>
  <si>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</si>
  <si>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</si>
  <si>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</si>
  <si>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</si>
  <si>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</si>
  <si>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</si>
  <si>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</si>
  <si>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</si>
  <si>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</si>
  <si>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</si>
  <si>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</si>
  <si>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</si>
  <si>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</si>
  <si>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</si>
  <si>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</si>
  <si>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</si>
  <si>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</si>
  <si>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</si>
  <si>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</si>
  <si>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</si>
  <si>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</si>
  <si>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</si>
  <si>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</si>
  <si>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</si>
  <si>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</si>
  <si>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</si>
  <si>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</si>
  <si>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</si>
  <si>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</si>
  <si>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</si>
  <si>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</si>
  <si>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</si>
  <si>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</si>
  <si>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</si>
  <si>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</si>
  <si>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</si>
  <si>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</si>
  <si>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</si>
  <si>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</si>
  <si>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</si>
  <si>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</si>
  <si>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</si>
  <si>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</si>
  <si>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</si>
  <si>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</si>
  <si>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</si>
  <si>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</si>
  <si>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</si>
  <si>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</si>
  <si>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</si>
  <si>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</si>
  <si>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</si>
  <si>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</si>
  <si>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</si>
  <si>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</si>
  <si>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</si>
  <si>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</si>
  <si>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</si>
  <si>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</si>
  <si>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</si>
  <si>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</si>
  <si>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</si>
  <si>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</si>
  <si>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</si>
  <si>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</si>
  <si>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</si>
  <si>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</si>
  <si>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</si>
  <si>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</si>
  <si>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</si>
  <si>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</si>
  <si>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</si>
  <si>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</si>
  <si>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</si>
  <si>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</si>
  <si>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</si>
  <si>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</si>
  <si>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</si>
  <si>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</si>
  <si>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</si>
  <si>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</si>
  <si>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</si>
  <si>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</si>
  <si>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</si>
  <si>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</si>
  <si>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</si>
  <si>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</si>
  <si>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</si>
  <si>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</si>
  <si>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</si>
  <si>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</si>
  <si>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</si>
  <si>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</si>
  <si>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</si>
  <si>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</si>
  <si>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</si>
  <si>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</si>
  <si>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</si>
  <si>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</si>
  <si>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</si>
  <si>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</si>
  <si>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</si>
  <si>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</si>
  <si>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</si>
  <si>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</si>
  <si>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</si>
  <si>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</si>
  <si>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</si>
  <si>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</si>
  <si>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</si>
  <si>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</si>
  <si>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</si>
  <si>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</si>
  <si>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</si>
  <si>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</si>
  <si>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</si>
  <si>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</si>
  <si>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</si>
  <si>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</si>
  <si>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</si>
  <si>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</si>
  <si>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</si>
  <si>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</si>
  <si>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</si>
  <si>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</si>
  <si>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</si>
  <si>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</si>
  <si>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</si>
  <si>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</si>
  <si>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</si>
  <si>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</si>
  <si>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</si>
  <si>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</si>
  <si>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</si>
  <si>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</si>
  <si>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</si>
  <si>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</si>
  <si>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</si>
  <si>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</si>
  <si>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</si>
  <si>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</si>
  <si>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</si>
  <si>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</si>
  <si>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</si>
  <si>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</si>
  <si>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</si>
  <si>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</si>
  <si>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</si>
  <si>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</si>
  <si>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</si>
  <si>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</si>
  <si>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</si>
  <si>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</si>
  <si>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</si>
  <si>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</si>
  <si>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</si>
  <si>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</si>
  <si>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</si>
  <si>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</si>
  <si>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</si>
  <si>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</si>
  <si>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</si>
  <si>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</si>
  <si>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</si>
  <si>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</si>
  <si>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</si>
  <si>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</si>
  <si>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</si>
  <si>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</si>
  <si>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</si>
  <si>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</si>
  <si>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</si>
  <si>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</si>
  <si>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</si>
  <si>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</si>
  <si>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</si>
  <si>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</si>
  <si>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</si>
  <si>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</si>
  <si>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</si>
  <si>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</si>
  <si>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</si>
  <si>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</si>
  <si>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</si>
  <si>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</si>
  <si>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</si>
  <si>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</si>
  <si>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</si>
  <si>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</si>
  <si>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</si>
  <si>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</si>
  <si>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</si>
  <si>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</si>
  <si>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</si>
  <si>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</si>
  <si>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</si>
  <si>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</si>
  <si>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</si>
  <si>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</si>
  <si>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</si>
  <si>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</si>
  <si>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</si>
  <si>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</si>
  <si>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</si>
  <si>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</si>
  <si>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</si>
  <si>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</si>
  <si>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</si>
  <si>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</si>
  <si>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</si>
  <si>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</si>
  <si>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</si>
  <si>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</si>
  <si>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</si>
  <si>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</si>
  <si>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</si>
  <si>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</si>
  <si>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</si>
  <si>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</si>
  <si>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</si>
  <si>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</si>
  <si>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</si>
  <si>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</si>
  <si>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</si>
  <si>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</si>
  <si>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</si>
  <si>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</si>
  <si>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</si>
  <si>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</si>
  <si>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</si>
  <si>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</si>
  <si>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</si>
  <si>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</si>
  <si>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</si>
  <si>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</si>
  <si>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</si>
  <si>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</si>
  <si>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</si>
  <si>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</si>
  <si>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</si>
  <si>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</si>
  <si>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</si>
  <si>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</si>
  <si>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</si>
  <si>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</si>
  <si>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</si>
  <si>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</si>
  <si>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</si>
  <si>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</si>
  <si>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</si>
  <si>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</si>
  <si>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</si>
  <si>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</si>
  <si>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</si>
  <si>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</si>
  <si>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</si>
  <si>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</si>
  <si>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</si>
  <si>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</si>
  <si>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</si>
  <si>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</si>
  <si>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</si>
  <si>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</si>
  <si>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</si>
  <si>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</si>
  <si>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</si>
  <si>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</si>
  <si>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</si>
  <si>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</si>
  <si>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</si>
  <si>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</si>
  <si>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</si>
  <si>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</si>
  <si>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</si>
  <si>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</si>
  <si>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</si>
  <si>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</si>
  <si>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</si>
  <si>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</si>
  <si>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</si>
  <si>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</si>
  <si>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</si>
  <si>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</si>
  <si>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</si>
  <si>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</si>
  <si>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</si>
  <si>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</si>
  <si>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</si>
  <si>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</si>
  <si>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</si>
  <si>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</si>
  <si>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</si>
  <si>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</si>
  <si>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</si>
  <si>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</si>
  <si>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</si>
  <si>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</si>
  <si>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</si>
  <si>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</si>
  <si>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</si>
  <si>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</si>
  <si>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</si>
  <si>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</si>
  <si>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</si>
  <si>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</si>
  <si>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</si>
  <si>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</si>
  <si>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</si>
  <si>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</si>
  <si>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</si>
  <si>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</si>
  <si>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</si>
  <si>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</si>
  <si>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</si>
  <si>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</si>
  <si>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</si>
  <si>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</si>
  <si>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</si>
  <si>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</si>
  <si>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</si>
  <si>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</si>
  <si>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</si>
  <si>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</si>
  <si>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</si>
  <si>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</si>
  <si>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</si>
  <si>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</si>
  <si>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</si>
  <si>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</si>
  <si>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</si>
  <si>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</si>
  <si>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</si>
  <si>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</si>
  <si>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</si>
  <si>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</si>
  <si>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</si>
  <si>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</si>
  <si>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</si>
  <si>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</si>
  <si>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</si>
  <si>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</si>
  <si>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</si>
  <si>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</si>
  <si>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</si>
  <si>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</si>
  <si>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</si>
  <si>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</si>
  <si>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</si>
  <si>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</si>
  <si>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</si>
  <si>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</si>
  <si>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</si>
  <si>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</si>
  <si>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</si>
  <si>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</si>
  <si>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</si>
  <si>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</si>
  <si>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</si>
  <si>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</si>
  <si>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</si>
  <si>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</si>
  <si>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</si>
  <si>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</si>
  <si>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</si>
  <si>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</si>
  <si>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</si>
  <si>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</si>
  <si>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</si>
  <si>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</si>
  <si>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</si>
  <si>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</si>
  <si>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</si>
  <si>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</si>
  <si>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</si>
  <si>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</si>
  <si>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</si>
  <si>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</si>
  <si>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</si>
  <si>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</si>
  <si>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</si>
  <si>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</si>
  <si>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</si>
  <si>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</si>
  <si>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</si>
  <si>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</si>
  <si>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</si>
  <si>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</si>
  <si>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</si>
  <si>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</si>
  <si>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</si>
  <si>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</si>
  <si>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</si>
  <si>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</si>
  <si>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</si>
  <si>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</si>
  <si>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</si>
  <si>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</si>
  <si>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</si>
  <si>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</si>
  <si>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</si>
  <si>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</si>
  <si>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</si>
  <si>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</si>
  <si>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</si>
  <si>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</si>
  <si>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</si>
  <si>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</si>
  <si>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</si>
  <si>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</si>
  <si>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</si>
  <si>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</si>
  <si>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</si>
  <si>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</si>
  <si>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</si>
  <si>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</si>
  <si>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</si>
  <si>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</si>
  <si>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</si>
  <si>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</si>
  <si>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</si>
  <si>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</si>
  <si>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</si>
  <si>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</si>
  <si>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</si>
  <si>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</si>
  <si>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</si>
  <si>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</si>
  <si>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</si>
  <si>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</si>
  <si>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</si>
  <si>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</si>
  <si>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</si>
  <si>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</si>
  <si>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</si>
  <si>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</si>
  <si>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</si>
  <si>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</si>
  <si>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</si>
  <si>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</si>
  <si>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</si>
  <si>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</si>
  <si>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</si>
  <si>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</si>
  <si>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</si>
  <si>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</si>
  <si>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</si>
  <si>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</si>
  <si>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</si>
  <si>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</si>
  <si>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</si>
  <si>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</si>
  <si>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</si>
  <si>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</si>
  <si>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</si>
  <si>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</si>
  <si>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</si>
  <si>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</si>
  <si>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</si>
  <si>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</si>
  <si>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</si>
  <si>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</si>
  <si>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</si>
  <si>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</si>
  <si>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</si>
  <si>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</si>
  <si>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</si>
  <si>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</si>
  <si>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</si>
  <si>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</si>
  <si>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</si>
  <si>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</si>
  <si>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</si>
  <si>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</si>
  <si>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</si>
  <si>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</si>
  <si>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</si>
  <si>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</si>
  <si>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</si>
  <si>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</si>
  <si>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</si>
  <si>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</si>
  <si>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</si>
  <si>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</si>
  <si>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</si>
  <si>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</si>
  <si>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</si>
  <si>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</si>
  <si>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</si>
  <si>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</si>
  <si>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</si>
  <si>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</si>
  <si>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</si>
  <si>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</si>
  <si>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</si>
  <si>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</si>
  <si>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</si>
  <si>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</si>
  <si>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</si>
  <si>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</si>
  <si>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</si>
  <si>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</si>
  <si>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</si>
  <si>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</si>
  <si>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</si>
  <si>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</si>
  <si>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</si>
  <si>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</si>
  <si>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</si>
  <si>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</si>
  <si>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</si>
  <si>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</si>
  <si>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</si>
  <si>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</si>
  <si>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</si>
  <si>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</si>
  <si>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</si>
  <si>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</si>
  <si>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</si>
  <si>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</si>
  <si>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</si>
  <si>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</si>
  <si>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</si>
  <si>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</si>
  <si>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</si>
  <si>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</si>
  <si>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</si>
  <si>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</si>
  <si>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</si>
  <si>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</si>
  <si>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</si>
  <si>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</si>
  <si>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</si>
  <si>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</si>
  <si>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</si>
  <si>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</si>
  <si>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</si>
  <si>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</si>
  <si>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</si>
  <si>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</si>
  <si>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</si>
  <si>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</si>
  <si>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</si>
  <si>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</si>
  <si>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</si>
  <si>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</si>
  <si>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</si>
  <si>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</si>
  <si>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</si>
  <si>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</si>
  <si>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</si>
  <si>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</si>
  <si>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</si>
  <si>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</si>
  <si>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</si>
  <si>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</si>
  <si>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</si>
  <si>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</si>
  <si>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</si>
  <si>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</si>
  <si>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</si>
  <si>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</si>
  <si>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</si>
  <si>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</si>
  <si>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</si>
  <si>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</si>
  <si>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</si>
  <si>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</si>
  <si>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</si>
  <si>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</si>
  <si>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</si>
  <si>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</si>
  <si>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</si>
  <si>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</si>
  <si>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</si>
  <si>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</si>
  <si>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</si>
  <si>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</si>
  <si>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</si>
  <si>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</si>
  <si>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</si>
  <si>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</si>
  <si>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</si>
  <si>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</si>
  <si>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</si>
  <si>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</si>
  <si>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</si>
  <si>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</si>
  <si>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</si>
  <si>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</si>
  <si>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</si>
  <si>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</si>
  <si>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</si>
  <si>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</si>
  <si>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</si>
  <si>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</si>
  <si>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</si>
  <si>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</si>
  <si>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</si>
  <si>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</si>
  <si>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</si>
  <si>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</si>
  <si>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</si>
  <si>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</si>
  <si>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</si>
  <si>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</si>
  <si>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</si>
  <si>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</si>
  <si>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</si>
  <si>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</si>
  <si>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</si>
  <si>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</si>
  <si>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</si>
  <si>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</si>
  <si>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</si>
  <si>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</si>
  <si>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</si>
  <si>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</si>
  <si>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</si>
  <si>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</si>
  <si>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</si>
  <si>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</si>
  <si>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</si>
  <si>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</si>
  <si>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</si>
  <si>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</si>
  <si>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</si>
  <si>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</si>
  <si>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</si>
  <si>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</si>
  <si>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</si>
  <si>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</si>
  <si>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</si>
  <si>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</si>
  <si>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</si>
  <si>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</si>
  <si>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</si>
  <si>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</si>
  <si>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</si>
  <si>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</si>
  <si>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</si>
  <si>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</si>
  <si>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</si>
  <si>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</si>
  <si>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</si>
  <si>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</si>
  <si>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</si>
  <si>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</si>
  <si>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</si>
  <si>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</si>
  <si>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</si>
  <si>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</si>
  <si>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</si>
  <si>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</si>
  <si>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</si>
  <si>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</si>
  <si>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</si>
  <si>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</si>
  <si>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</si>
  <si>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</si>
  <si>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</si>
  <si>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</si>
  <si>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</si>
  <si>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</si>
  <si>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</si>
  <si>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</si>
  <si>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</si>
  <si>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</si>
  <si>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</si>
  <si>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</si>
  <si>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</si>
  <si>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</si>
  <si>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</si>
  <si>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</si>
  <si>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</si>
  <si>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</si>
  <si>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</si>
  <si>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</si>
  <si>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</si>
  <si>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</si>
  <si>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</si>
  <si>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</si>
  <si>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</si>
  <si>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</si>
  <si>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</si>
  <si>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</si>
  <si>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</si>
  <si>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</si>
  <si>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</si>
  <si>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</si>
  <si>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</si>
  <si>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</si>
  <si>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</si>
  <si>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</si>
  <si>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</si>
  <si>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</si>
  <si>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</si>
  <si>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</si>
  <si>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</si>
  <si>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</si>
  <si>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</si>
  <si>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</si>
  <si>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</si>
  <si>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</si>
  <si>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</si>
  <si>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</si>
  <si>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</si>
  <si>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</si>
  <si>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</si>
  <si>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</si>
  <si>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</si>
  <si>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</si>
  <si>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</si>
  <si>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</si>
  <si>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</si>
  <si>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</si>
  <si>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</si>
  <si>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</si>
  <si>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</si>
  <si>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</si>
  <si>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</si>
  <si>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</si>
  <si>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</si>
  <si>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</si>
  <si>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</si>
  <si>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</si>
  <si>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</si>
  <si>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</si>
  <si>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</si>
  <si>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</si>
  <si>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</si>
  <si>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</si>
  <si>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</si>
  <si>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</si>
  <si>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</si>
  <si>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</si>
  <si>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</si>
  <si>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</si>
  <si>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</si>
  <si>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</si>
  <si>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</si>
  <si>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</si>
  <si>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</si>
  <si>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</si>
  <si>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</si>
  <si>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</si>
  <si>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</si>
  <si>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</si>
  <si>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</si>
  <si>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</si>
  <si>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</si>
  <si>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</si>
  <si>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</si>
  <si>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</si>
  <si>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</si>
  <si>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</si>
  <si>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</si>
  <si>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</si>
  <si>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</si>
  <si>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</si>
  <si>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</si>
  <si>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</si>
  <si>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</si>
  <si>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</si>
  <si>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</si>
  <si>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</si>
  <si>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</si>
  <si>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</si>
  <si>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</si>
  <si>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</si>
  <si>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</si>
  <si>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</si>
  <si>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</si>
  <si>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</si>
  <si>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</si>
  <si>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</si>
  <si>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</si>
  <si>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</si>
  <si>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</si>
  <si>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</si>
  <si>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</si>
  <si>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</si>
  <si>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</si>
  <si>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</si>
  <si>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</si>
  <si>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</si>
  <si>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</si>
  <si>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</si>
  <si>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</si>
  <si>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</si>
  <si>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</si>
  <si>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</si>
  <si>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</si>
  <si>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</si>
  <si>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</si>
  <si>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</si>
  <si>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</si>
  <si>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</si>
  <si>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</si>
  <si>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</si>
  <si>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</si>
  <si>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</si>
  <si>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</si>
  <si>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</si>
  <si>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</si>
  <si>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</si>
  <si>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</si>
  <si>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</si>
  <si>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</si>
  <si>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</si>
  <si>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</si>
  <si>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</si>
  <si>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</si>
  <si>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</si>
  <si>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</si>
  <si>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</si>
  <si>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</si>
  <si>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</si>
  <si>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</si>
  <si>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</si>
  <si>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</si>
  <si>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</si>
  <si>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</si>
  <si>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</si>
  <si>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</si>
  <si>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</si>
  <si>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</si>
  <si>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</si>
  <si>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</si>
  <si>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</si>
  <si>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</si>
  <si>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</si>
  <si>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</si>
  <si>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</si>
  <si>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</si>
  <si>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</si>
  <si>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</si>
  <si>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</si>
  <si>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</si>
  <si>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</si>
  <si>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</si>
  <si>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</si>
  <si>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</si>
  <si>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</si>
  <si>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</si>
  <si>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</si>
  <si>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</si>
  <si>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</si>
  <si>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</si>
  <si>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</si>
  <si>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</si>
  <si>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</si>
  <si>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</si>
  <si>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</si>
  <si>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</si>
  <si>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</si>
  <si>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</si>
  <si>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</si>
  <si>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</si>
  <si>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</si>
  <si>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</si>
  <si>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</si>
  <si>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</si>
  <si>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</si>
  <si>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</si>
  <si>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</si>
  <si>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</si>
  <si>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</si>
  <si>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</si>
  <si>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</si>
  <si>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</si>
  <si>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</si>
  <si>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</si>
  <si>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</si>
  <si>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</si>
  <si>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</si>
  <si>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</si>
  <si>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</si>
  <si>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</si>
  <si>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</si>
  <si>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</si>
  <si>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</si>
  <si>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</si>
  <si>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</si>
  <si>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</si>
  <si>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</si>
  <si>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</si>
  <si>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</si>
  <si>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</si>
  <si>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</si>
  <si>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</si>
  <si>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</si>
  <si>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</si>
  <si>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</si>
  <si>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</si>
  <si>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</si>
  <si>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</si>
  <si>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</si>
  <si>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</si>
  <si>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</si>
  <si>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</si>
  <si>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</si>
  <si>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</si>
  <si>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</si>
  <si>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</si>
  <si>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</si>
  <si>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</si>
  <si>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</si>
  <si>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</si>
  <si>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</si>
  <si>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</si>
  <si>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</si>
  <si>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</si>
  <si>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</si>
  <si>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</si>
  <si>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</si>
  <si>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</si>
  <si>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</si>
  <si>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</si>
  <si>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</si>
  <si>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</si>
  <si>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</si>
  <si>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</si>
  <si>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</si>
  <si>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</si>
  <si>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</si>
  <si>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</si>
  <si>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</si>
  <si>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</si>
  <si>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</si>
  <si>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</si>
  <si>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</si>
  <si>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</si>
  <si>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</si>
  <si>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</si>
  <si>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</si>
  <si>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</si>
  <si>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</si>
  <si>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</si>
  <si>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</si>
  <si>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</si>
  <si>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</si>
  <si>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</si>
  <si>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</si>
  <si>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</si>
  <si>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</si>
  <si>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</si>
  <si>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</si>
  <si>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</si>
  <si>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</si>
  <si>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</si>
  <si>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</si>
  <si>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</si>
  <si>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</si>
  <si>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</si>
  <si>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</si>
  <si>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</si>
  <si>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</si>
  <si>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</si>
  <si>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</si>
  <si>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</si>
  <si>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</si>
  <si>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</si>
  <si>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</si>
  <si>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</si>
  <si>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</si>
  <si>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</si>
  <si>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</si>
  <si>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</si>
  <si>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</si>
  <si>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</si>
  <si>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</si>
  <si>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</si>
  <si>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</si>
  <si>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</si>
  <si>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</si>
  <si>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</si>
  <si>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</si>
  <si>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</si>
  <si>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</si>
  <si>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</si>
  <si>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</si>
  <si>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</si>
  <si>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</si>
  <si>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</si>
  <si>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</si>
  <si>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</si>
  <si>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</si>
  <si>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</si>
  <si>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</si>
  <si>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</si>
  <si>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</si>
  <si>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</si>
  <si>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</si>
  <si>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</si>
  <si>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</si>
  <si>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</si>
  <si>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</si>
  <si>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</si>
  <si>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</si>
  <si>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</si>
  <si>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</si>
  <si>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</si>
  <si>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</si>
  <si>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</si>
  <si>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</si>
  <si>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</si>
  <si>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</si>
  <si>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</si>
  <si>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</si>
  <si>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</si>
  <si>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</si>
  <si>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</si>
  <si>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</si>
  <si>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</si>
  <si>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</si>
  <si>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</si>
  <si>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</si>
  <si>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</si>
  <si>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</si>
  <si>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</si>
  <si>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</si>
  <si>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</si>
  <si>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</si>
  <si>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</si>
  <si>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</si>
  <si>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</si>
  <si>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</si>
  <si>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</si>
  <si>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</si>
  <si>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</si>
  <si>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</si>
  <si>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</si>
  <si>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</si>
  <si>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</si>
  <si>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</si>
  <si>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</si>
  <si>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</si>
  <si>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</si>
  <si>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</si>
  <si>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</si>
  <si>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</si>
  <si>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</si>
  <si>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</si>
  <si>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</si>
  <si>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</si>
  <si>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</si>
  <si>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</si>
  <si>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</si>
  <si>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</si>
  <si>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</si>
  <si>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</si>
  <si>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</si>
  <si>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</si>
  <si>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</si>
  <si>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</si>
  <si>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</si>
  <si>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</si>
  <si>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</si>
  <si>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</si>
  <si>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</si>
  <si>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</si>
  <si>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</si>
  <si>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</si>
  <si>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</si>
  <si>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</si>
  <si>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</si>
  <si>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</si>
  <si>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</si>
  <si>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</si>
  <si>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</si>
  <si>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</si>
  <si>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</si>
  <si>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</si>
  <si>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</si>
  <si>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</si>
  <si>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</si>
  <si>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</si>
  <si>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</si>
  <si>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</si>
  <si>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</si>
  <si>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</si>
  <si>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</si>
  <si>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</si>
  <si>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</si>
  <si>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</si>
  <si>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</si>
  <si>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</si>
  <si>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</si>
  <si>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</si>
  <si>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</si>
  <si>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</si>
  <si>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</si>
  <si>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</si>
  <si>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</si>
  <si>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</si>
  <si>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</si>
  <si>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</si>
  <si>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</si>
  <si>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</si>
  <si>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</si>
  <si>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</si>
  <si>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</si>
  <si>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</si>
  <si>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</si>
  <si>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</si>
  <si>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</si>
  <si>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</si>
  <si>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</si>
  <si>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</si>
  <si>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</si>
  <si>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</si>
  <si>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</si>
  <si>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</si>
  <si>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</si>
  <si>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</si>
  <si>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</si>
  <si>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</si>
  <si>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</si>
  <si>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</si>
  <si>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</si>
  <si>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</si>
  <si>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</si>
  <si>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</si>
  <si>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</si>
  <si>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</si>
  <si>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</si>
  <si>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</si>
  <si>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</si>
  <si>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</si>
  <si>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</si>
  <si>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</si>
  <si>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</si>
  <si>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</si>
  <si>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</si>
  <si>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</si>
  <si>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</si>
  <si>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</si>
  <si>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</si>
  <si>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</si>
  <si>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</si>
  <si>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</si>
  <si>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</si>
  <si>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</si>
  <si>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</si>
  <si>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</si>
  <si>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</si>
  <si>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</si>
  <si>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</si>
  <si>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</si>
  <si>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</si>
  <si>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</si>
  <si>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</si>
  <si>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</si>
  <si>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</si>
  <si>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</si>
  <si>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</si>
  <si>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</si>
  <si>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</si>
  <si>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</si>
  <si>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</si>
  <si>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</si>
  <si>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</si>
  <si>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</si>
  <si>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</si>
  <si>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</si>
  <si>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</si>
  <si>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</si>
  <si>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</si>
  <si>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</si>
  <si>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</si>
  <si>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</si>
  <si>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</si>
  <si>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</si>
  <si>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</si>
  <si>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</si>
  <si>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</si>
  <si>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</si>
  <si>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</si>
  <si>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</si>
  <si>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</si>
  <si>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</si>
  <si>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</si>
  <si>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</si>
  <si>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</si>
  <si>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</si>
  <si>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</si>
  <si>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</si>
  <si>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</si>
  <si>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</si>
  <si>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</si>
  <si>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</si>
  <si>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</si>
  <si>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</si>
  <si>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</si>
  <si>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</si>
  <si>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</si>
  <si>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</si>
  <si>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</si>
  <si>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</si>
  <si>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</si>
  <si>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</si>
  <si>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</si>
  <si>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</si>
  <si>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</si>
  <si>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</si>
  <si>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</si>
  <si>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</si>
  <si>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</si>
  <si>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</si>
  <si>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</si>
  <si>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</si>
  <si>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</si>
  <si>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</si>
  <si>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</si>
  <si>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</si>
  <si>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</si>
  <si>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</si>
  <si>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</si>
  <si>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</si>
  <si>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</si>
  <si>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</si>
  <si>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</si>
  <si>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</si>
  <si>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</si>
  <si>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</si>
  <si>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</si>
  <si>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</si>
  <si>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</si>
  <si>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</si>
  <si>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</si>
  <si>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</si>
  <si>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</si>
  <si>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</si>
  <si>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</si>
  <si>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</si>
  <si>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</si>
  <si>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</si>
  <si>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</si>
  <si>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</si>
  <si>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</si>
  <si>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</si>
  <si>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</si>
  <si>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</si>
  <si>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</si>
  <si>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</si>
  <si>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</si>
  <si>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</si>
  <si>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</si>
  <si>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</si>
  <si>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</si>
  <si>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</si>
  <si>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</si>
  <si>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</si>
  <si>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</si>
  <si>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</si>
  <si>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</si>
  <si>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</si>
  <si>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</si>
  <si>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Will</t>
  </si>
  <si>
    <t>601 Willow St.</t>
  </si>
  <si>
    <t>Frankfort</t>
  </si>
  <si>
    <t>Evans, Marshall and Pease, PC</t>
  </si>
  <si>
    <t>Jeffery M. Rollefson, CPA</t>
  </si>
  <si>
    <t>1875 Hicks Road</t>
  </si>
  <si>
    <t>Rolling Meadows</t>
  </si>
  <si>
    <t>Illinois</t>
  </si>
  <si>
    <t>847-221-5700</t>
  </si>
  <si>
    <t>847-221-5701</t>
  </si>
  <si>
    <t>060-003973</t>
  </si>
  <si>
    <t>jeff@empcpa.com</t>
  </si>
  <si>
    <r>
      <t>The accompanying Schedule of Expenditures of Federal Awards includes the federal grant activity of Lincoln Way SPED #843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general purpose</t>
    </r>
    <r>
      <rPr>
        <sz val="9"/>
        <rFont val="Calibri"/>
        <family val="2"/>
        <scheme val="minor"/>
      </rPr>
      <t xml:space="preserve"> financial statements.</t>
    </r>
  </si>
  <si>
    <r>
      <t>Of the federal expenditures presented in the schedule, Lincoln Way SPED #843</t>
    </r>
    <r>
      <rPr>
        <sz val="9"/>
        <rFont val="Calibri"/>
        <family val="2"/>
        <scheme val="minor"/>
      </rPr>
      <t xml:space="preserve"> provided federal awards to subrecipients as follows:</t>
    </r>
  </si>
  <si>
    <t>IDEA flow through</t>
  </si>
  <si>
    <t xml:space="preserve">  Mokena SD 159</t>
  </si>
  <si>
    <t xml:space="preserve">  Manhattan SD 114</t>
  </si>
  <si>
    <t xml:space="preserve">  Frankfort SD 157C</t>
  </si>
  <si>
    <t>Summit Hill SD 161</t>
  </si>
  <si>
    <t>Lincoln Way SD 210</t>
  </si>
  <si>
    <t>IDEA Preschool flow through</t>
  </si>
  <si>
    <t xml:space="preserve">  Summit Hill SD 161</t>
  </si>
  <si>
    <r>
      <t>The following amounts were expended in the form of non-cash assistance by Lincoln Way SPED #843</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</si>
  <si>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
  </si>
  <si>
    <t>US DEPARTMENT OF EDUCATION</t>
  </si>
  <si>
    <t>PASSED THROUGH THE ILLINOIS STATE BOARD OF EDUCATION</t>
  </si>
  <si>
    <t>IDEA PRESCHOOL FLOW THROUGH (M)</t>
  </si>
  <si>
    <t xml:space="preserve">  MOKENA SD 159</t>
  </si>
  <si>
    <t xml:space="preserve">  MANHATTAN SD 114</t>
  </si>
  <si>
    <t xml:space="preserve">  SUMMIT HILL SD 161</t>
  </si>
  <si>
    <t>17-4600-00</t>
  </si>
  <si>
    <t xml:space="preserve">  FRANKFORT SD 157C</t>
  </si>
  <si>
    <t>18-4600-00</t>
  </si>
  <si>
    <t>IDEA FLOW THROUGH (M)</t>
  </si>
  <si>
    <t xml:space="preserve">  LINCOLN WAY SD 210</t>
  </si>
  <si>
    <t>17-4620-00</t>
  </si>
  <si>
    <t>18-4620-00</t>
  </si>
  <si>
    <t xml:space="preserve">  TOTAL US DEPARTMENT OF EDUCATION</t>
  </si>
  <si>
    <t>US DEPARTMENT OF HEALTH AND HUMAN SERVICES</t>
  </si>
  <si>
    <t>PASSED THROUGH THE ILLINOIS HEALTHCARE AND FAMILY SERVICES</t>
  </si>
  <si>
    <t>MEDICAID MATCHING</t>
  </si>
  <si>
    <t>17-4991-00</t>
  </si>
  <si>
    <t>18-4991-00</t>
  </si>
  <si>
    <t>N/A</t>
  </si>
  <si>
    <t xml:space="preserve">  TOTAL US DEPARTMENT OF HEALTHCARE AND FAMILY SERVICES</t>
  </si>
  <si>
    <t xml:space="preserve">     TOTAL FEDERAL AWARDS</t>
  </si>
  <si>
    <t>Unmodified</t>
  </si>
  <si>
    <t>IDEA preschool flow through</t>
  </si>
  <si>
    <t>none</t>
  </si>
  <si>
    <t>Series 2006</t>
  </si>
  <si>
    <t>X</t>
  </si>
  <si>
    <t>Evans, Marshall &amp; Pease P.C.</t>
  </si>
  <si>
    <t>ED-Executive Administrative Services-Purchased Services</t>
  </si>
  <si>
    <t>Assurance Agency</t>
  </si>
  <si>
    <t>TRANS-Transportation-Purchased Services</t>
  </si>
  <si>
    <t>40-2550-300</t>
  </si>
  <si>
    <t>Brickstreet Insurance</t>
  </si>
  <si>
    <t>CLIC</t>
  </si>
  <si>
    <t>Liberty Mutual Insurance</t>
  </si>
  <si>
    <t>Public Consulting Group</t>
  </si>
  <si>
    <t>10-2300-300</t>
  </si>
  <si>
    <t>Lincoln-Way Area SpEd Dist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</si>
</sst>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 fontId="62" fillId="0" borderId="22" xfId="3" applyNumberFormat="1" applyFont="1" applyBorder="1" applyAlignment="1" applyProtection="1">
      <alignment horizontal="left" vertical="center" wrapText="1"/>
      <protection locked="0"/>
    </xf>
    <xf numFmtId="3" fontId="71"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center"/>
      <protection locked="0"/>
    </xf>
    <xf numFmtId="3" fontId="85" fillId="0" borderId="22" xfId="3" applyNumberFormat="1" applyFont="1" applyBorder="1" applyAlignment="1" applyProtection="1">
      <alignment horizontal="left" vertical="center" wrapText="1"/>
      <protection locked="0"/>
    </xf>
    <xf numFmtId="3" fontId="85" fillId="0" borderId="22"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304800</xdr:colOff>
          <xdr:row>10</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581025</xdr:colOff>
          <xdr:row>5</xdr:row>
          <xdr:rowOff>133350</xdr:rowOff>
        </xdr:from>
        <xdr:to>
          <xdr:col>5</xdr:col>
          <xdr:colOff>276225</xdr:colOff>
          <xdr:row>10</xdr:row>
          <xdr:rowOff>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5</xdr:row>
          <xdr:rowOff>104775</xdr:rowOff>
        </xdr:from>
        <xdr:to>
          <xdr:col>7</xdr:col>
          <xdr:colOff>266700</xdr:colOff>
          <xdr:row>9</xdr:row>
          <xdr:rowOff>142875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6" t="s">
        <v>425</v>
      </c>
      <c r="J1" s="2007"/>
      <c r="K1" s="2007"/>
      <c r="L1" s="2007"/>
      <c r="M1" s="2007"/>
      <c r="N1" s="2007"/>
      <c r="O1" s="2007"/>
      <c r="P1" s="2007"/>
      <c r="Q1" s="2007"/>
      <c r="R1" s="2007"/>
      <c r="S1" s="2007"/>
    </row>
    <row r="2" spans="1:28" ht="12" customHeight="1" x14ac:dyDescent="0.2">
      <c r="A2" s="47" t="s">
        <v>1684</v>
      </c>
      <c r="D2" s="48"/>
      <c r="I2" s="2008" t="s">
        <v>1036</v>
      </c>
      <c r="J2" s="2007"/>
      <c r="K2" s="2007"/>
      <c r="L2" s="2007"/>
      <c r="M2" s="2007"/>
      <c r="N2" s="2007"/>
      <c r="O2" s="2007"/>
      <c r="P2" s="2007"/>
      <c r="Q2" s="2007"/>
      <c r="R2" s="2007"/>
      <c r="S2" s="2007"/>
    </row>
    <row r="3" spans="1:28" ht="12" customHeight="1" x14ac:dyDescent="0.2">
      <c r="A3" s="155" t="s">
        <v>1685</v>
      </c>
      <c r="B3" s="156"/>
      <c r="C3" s="156"/>
      <c r="D3" s="157"/>
      <c r="I3" s="2008" t="s">
        <v>54</v>
      </c>
      <c r="J3" s="2007"/>
      <c r="K3" s="2007"/>
      <c r="L3" s="2007"/>
      <c r="M3" s="2007"/>
      <c r="N3" s="2007"/>
      <c r="O3" s="2007"/>
      <c r="P3" s="2007"/>
      <c r="Q3" s="2007"/>
      <c r="R3" s="2007"/>
      <c r="S3" s="2007"/>
    </row>
    <row r="4" spans="1:28" ht="12" customHeight="1" x14ac:dyDescent="0.2">
      <c r="A4" s="37"/>
      <c r="I4" s="2008" t="s">
        <v>545</v>
      </c>
      <c r="J4" s="2007"/>
      <c r="K4" s="2007"/>
      <c r="L4" s="2007"/>
      <c r="M4" s="2007"/>
      <c r="N4" s="2007"/>
      <c r="O4" s="2007"/>
      <c r="P4" s="2007"/>
      <c r="Q4" s="2007"/>
      <c r="R4" s="2007"/>
      <c r="S4" s="2007"/>
    </row>
    <row r="5" spans="1:28" ht="14.1" customHeight="1" x14ac:dyDescent="0.2">
      <c r="B5" s="104"/>
      <c r="C5" s="26" t="s">
        <v>966</v>
      </c>
      <c r="D5" s="84"/>
      <c r="E5" s="84"/>
      <c r="H5" s="38"/>
      <c r="I5" s="2016" t="s">
        <v>701</v>
      </c>
      <c r="J5" s="2015"/>
      <c r="K5" s="2015"/>
      <c r="L5" s="2015"/>
      <c r="M5" s="2015"/>
      <c r="N5" s="2015"/>
      <c r="O5" s="2015"/>
      <c r="P5" s="2015"/>
      <c r="Q5" s="2015"/>
      <c r="R5" s="2015"/>
      <c r="S5" s="2015"/>
    </row>
    <row r="6" spans="1:28" ht="14.1" customHeight="1" x14ac:dyDescent="0.2">
      <c r="B6" s="104" t="s">
        <v>2074</v>
      </c>
      <c r="C6" s="26" t="s">
        <v>967</v>
      </c>
      <c r="D6" s="84"/>
      <c r="E6" s="84"/>
      <c r="I6" s="2014" t="s">
        <v>938</v>
      </c>
      <c r="J6" s="2015"/>
      <c r="K6" s="2015"/>
      <c r="L6" s="2015"/>
      <c r="M6" s="2015"/>
      <c r="N6" s="2015"/>
      <c r="O6" s="2015"/>
      <c r="P6" s="2015"/>
      <c r="Q6" s="2015"/>
      <c r="R6" s="2015"/>
      <c r="S6" s="2015"/>
    </row>
    <row r="7" spans="1:28" ht="12.2" customHeight="1" x14ac:dyDescent="0.2">
      <c r="I7" s="2009">
        <v>43281</v>
      </c>
      <c r="J7" s="2010"/>
      <c r="K7" s="2010"/>
      <c r="L7" s="2010"/>
      <c r="M7" s="2010"/>
      <c r="N7" s="2010"/>
      <c r="O7" s="2010"/>
      <c r="P7" s="2010"/>
      <c r="Q7" s="2010"/>
      <c r="R7" s="2010"/>
      <c r="S7" s="201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1" t="s">
        <v>695</v>
      </c>
      <c r="J9" s="2012"/>
      <c r="K9" s="2012"/>
      <c r="L9" s="2012"/>
      <c r="M9" s="2012"/>
      <c r="N9" s="2012"/>
      <c r="O9" s="2012"/>
      <c r="P9" s="2012"/>
      <c r="Q9" s="2012"/>
      <c r="R9" s="2012"/>
      <c r="S9" s="2013"/>
      <c r="T9" s="2027" t="s">
        <v>554</v>
      </c>
      <c r="U9" s="2028"/>
      <c r="V9" s="2028"/>
      <c r="W9" s="2028"/>
      <c r="X9" s="2028"/>
      <c r="Y9" s="2028"/>
      <c r="Z9" s="2028"/>
      <c r="AA9" s="2029"/>
    </row>
    <row r="10" spans="1:28" ht="13.5" customHeight="1" x14ac:dyDescent="0.2">
      <c r="A10" s="2034" t="s">
        <v>696</v>
      </c>
      <c r="B10" s="2035"/>
      <c r="C10" s="2035"/>
      <c r="D10" s="2035"/>
      <c r="E10" s="2035"/>
      <c r="F10" s="2035"/>
      <c r="G10" s="2035"/>
      <c r="H10" s="2036"/>
      <c r="I10" s="29"/>
      <c r="J10" s="30"/>
      <c r="K10" s="28"/>
      <c r="R10" s="30"/>
      <c r="S10" s="30"/>
      <c r="T10" s="2030"/>
      <c r="U10" s="2015"/>
      <c r="V10" s="2015"/>
      <c r="W10" s="2015"/>
      <c r="X10" s="2015"/>
      <c r="Y10" s="2015"/>
      <c r="Z10" s="2015"/>
      <c r="AA10" s="2021"/>
    </row>
    <row r="11" spans="1:28" ht="14.25" customHeight="1" x14ac:dyDescent="0.2">
      <c r="A11" s="2037" t="s">
        <v>1012</v>
      </c>
      <c r="B11" s="2038"/>
      <c r="C11" s="2038"/>
      <c r="D11" s="2038"/>
      <c r="E11" s="2038"/>
      <c r="F11" s="2038"/>
      <c r="G11" s="2038"/>
      <c r="H11" s="2039"/>
      <c r="I11" s="27"/>
      <c r="J11" s="74"/>
      <c r="K11" s="27"/>
      <c r="O11" s="148" t="s">
        <v>2074</v>
      </c>
      <c r="P11" s="100" t="s">
        <v>210</v>
      </c>
      <c r="Q11" s="30"/>
      <c r="R11" s="28"/>
      <c r="S11" s="27"/>
      <c r="T11" s="2031"/>
      <c r="U11" s="2032"/>
      <c r="V11" s="2032"/>
      <c r="W11" s="2032"/>
      <c r="X11" s="2032"/>
      <c r="Y11" s="2032"/>
      <c r="Z11" s="2032"/>
      <c r="AA11" s="203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41">
        <v>56099843060</v>
      </c>
      <c r="B13" s="2042"/>
      <c r="C13" s="2042"/>
      <c r="D13" s="2042"/>
      <c r="E13" s="2042"/>
      <c r="F13" s="2042"/>
      <c r="G13" s="2042"/>
      <c r="H13" s="2043"/>
      <c r="I13" s="31"/>
      <c r="J13" s="30"/>
      <c r="K13" s="28"/>
      <c r="L13" s="30"/>
      <c r="M13" s="30"/>
      <c r="N13" s="30"/>
      <c r="O13" s="30"/>
      <c r="P13" s="30"/>
      <c r="Q13" s="30"/>
      <c r="R13" s="30"/>
      <c r="S13" s="30"/>
      <c r="T13" s="2046" t="s">
        <v>2078</v>
      </c>
      <c r="U13" s="2047"/>
      <c r="V13" s="2047"/>
      <c r="W13" s="2047"/>
      <c r="X13" s="2047"/>
      <c r="Y13" s="2048"/>
      <c r="Z13" s="2048"/>
      <c r="AA13" s="204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40" t="s">
        <v>2075</v>
      </c>
      <c r="B15" s="2044"/>
      <c r="C15" s="2044"/>
      <c r="D15" s="2044"/>
      <c r="E15" s="2044"/>
      <c r="F15" s="2044"/>
      <c r="G15" s="2044"/>
      <c r="H15" s="2045"/>
      <c r="T15" s="2050" t="s">
        <v>2079</v>
      </c>
      <c r="U15" s="1994"/>
      <c r="V15" s="1994"/>
      <c r="W15" s="1994"/>
      <c r="X15" s="1994"/>
      <c r="Y15" s="2051"/>
      <c r="Z15" s="2051"/>
      <c r="AA15" s="205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00" t="s">
        <v>2136</v>
      </c>
      <c r="B17" s="2001"/>
      <c r="C17" s="2001"/>
      <c r="D17" s="2001"/>
      <c r="E17" s="2001"/>
      <c r="F17" s="2001"/>
      <c r="G17" s="2001"/>
      <c r="H17" s="2026"/>
      <c r="T17" s="2057" t="s">
        <v>2080</v>
      </c>
      <c r="U17" s="2058"/>
      <c r="V17" s="2058"/>
      <c r="W17" s="2058"/>
      <c r="X17" s="2058"/>
      <c r="Y17" s="2058"/>
      <c r="Z17" s="2058"/>
      <c r="AA17" s="2059"/>
    </row>
    <row r="18" spans="1:27" ht="13.5" customHeight="1" x14ac:dyDescent="0.2">
      <c r="A18" s="85" t="s">
        <v>551</v>
      </c>
      <c r="B18" s="76"/>
      <c r="C18" s="72"/>
      <c r="D18" s="76"/>
      <c r="E18" s="76"/>
      <c r="F18" s="76"/>
      <c r="G18" s="76"/>
      <c r="H18" s="56"/>
      <c r="I18" s="2025" t="s">
        <v>697</v>
      </c>
      <c r="J18" s="1976"/>
      <c r="K18" s="1976"/>
      <c r="L18" s="1976"/>
      <c r="M18" s="1976"/>
      <c r="N18" s="1976"/>
      <c r="O18" s="1976"/>
      <c r="P18" s="1976"/>
      <c r="Q18" s="1976"/>
      <c r="R18" s="1976"/>
      <c r="S18" s="1977"/>
      <c r="T18" s="85" t="s">
        <v>735</v>
      </c>
      <c r="U18" s="51"/>
      <c r="V18" s="72"/>
      <c r="W18" s="50"/>
      <c r="X18" s="85" t="s">
        <v>284</v>
      </c>
      <c r="Y18" s="81"/>
      <c r="Z18" s="159" t="s">
        <v>698</v>
      </c>
      <c r="AA18" s="46"/>
    </row>
    <row r="19" spans="1:27" ht="13.5" customHeight="1" x14ac:dyDescent="0.2">
      <c r="A19" s="2040" t="s">
        <v>2076</v>
      </c>
      <c r="B19" s="1986"/>
      <c r="C19" s="1986"/>
      <c r="D19" s="1986"/>
      <c r="E19" s="1986"/>
      <c r="F19" s="1986"/>
      <c r="G19" s="1986"/>
      <c r="H19" s="1966"/>
      <c r="I19" s="30"/>
      <c r="J19" s="99"/>
      <c r="K19" s="40"/>
      <c r="L19" s="38"/>
      <c r="M19" s="112" t="s">
        <v>333</v>
      </c>
      <c r="P19" s="27"/>
      <c r="Q19" s="27"/>
      <c r="R19" s="27"/>
      <c r="S19" s="31"/>
      <c r="T19" s="2040" t="s">
        <v>2081</v>
      </c>
      <c r="U19" s="1965"/>
      <c r="V19" s="1965"/>
      <c r="W19" s="1966"/>
      <c r="X19" s="2055" t="s">
        <v>2082</v>
      </c>
      <c r="Y19" s="2056"/>
      <c r="Z19" s="2053">
        <v>60047</v>
      </c>
      <c r="AA19" s="205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4" t="s">
        <v>2077</v>
      </c>
      <c r="B21" s="1965"/>
      <c r="C21" s="1965"/>
      <c r="D21" s="1965"/>
      <c r="E21" s="1965"/>
      <c r="F21" s="1965"/>
      <c r="G21" s="1965"/>
      <c r="H21" s="1966"/>
      <c r="I21" s="2020" t="s">
        <v>699</v>
      </c>
      <c r="J21" s="2015"/>
      <c r="K21" s="2015"/>
      <c r="L21" s="2015"/>
      <c r="M21" s="2015"/>
      <c r="N21" s="2015"/>
      <c r="O21" s="2015"/>
      <c r="P21" s="2015"/>
      <c r="Q21" s="2015"/>
      <c r="R21" s="2015"/>
      <c r="S21" s="2021"/>
      <c r="T21" s="2064" t="s">
        <v>2083</v>
      </c>
      <c r="U21" s="2065"/>
      <c r="V21" s="2065"/>
      <c r="W21" s="2065"/>
      <c r="X21" s="2070" t="s">
        <v>2084</v>
      </c>
      <c r="Y21" s="2071"/>
      <c r="Z21" s="2071"/>
      <c r="AA21" s="2072"/>
    </row>
    <row r="22" spans="1:27" ht="13.5" customHeight="1" x14ac:dyDescent="0.2">
      <c r="A22" s="87" t="s">
        <v>552</v>
      </c>
      <c r="B22" s="59"/>
      <c r="C22" s="59"/>
      <c r="D22" s="59"/>
      <c r="E22" s="59"/>
      <c r="F22" s="59"/>
      <c r="G22" s="59"/>
      <c r="H22" s="60"/>
      <c r="I22" s="2022" t="s">
        <v>1504</v>
      </c>
      <c r="J22" s="2023"/>
      <c r="K22" s="2023"/>
      <c r="L22" s="2023"/>
      <c r="M22" s="2023"/>
      <c r="N22" s="2023"/>
      <c r="O22" s="2023"/>
      <c r="P22" s="2023"/>
      <c r="Q22" s="2023"/>
      <c r="R22" s="2023"/>
      <c r="S22" s="2024"/>
      <c r="T22" s="85" t="s">
        <v>1596</v>
      </c>
      <c r="U22" s="51"/>
      <c r="V22" s="72"/>
      <c r="W22" s="51"/>
      <c r="X22" s="160" t="s">
        <v>1385</v>
      </c>
      <c r="Z22" s="45"/>
      <c r="AA22" s="46"/>
    </row>
    <row r="23" spans="1:27" ht="13.5" customHeight="1" x14ac:dyDescent="0.2">
      <c r="A23" s="2017"/>
      <c r="B23" s="2018"/>
      <c r="C23" s="2018"/>
      <c r="D23" s="2018"/>
      <c r="E23" s="2018"/>
      <c r="F23" s="2018"/>
      <c r="G23" s="2018"/>
      <c r="H23" s="2019"/>
      <c r="T23" s="2000" t="s">
        <v>2085</v>
      </c>
      <c r="U23" s="2063"/>
      <c r="V23" s="2063"/>
      <c r="W23" s="2063"/>
      <c r="X23" s="2067">
        <v>43466</v>
      </c>
      <c r="Y23" s="2068"/>
      <c r="Z23" s="2068"/>
      <c r="AA23" s="2069"/>
    </row>
    <row r="24" spans="1:27" ht="14.1" customHeight="1" x14ac:dyDescent="0.2">
      <c r="A24" s="88" t="s">
        <v>698</v>
      </c>
      <c r="B24" s="49"/>
      <c r="C24" s="49"/>
      <c r="D24" s="49"/>
      <c r="E24" s="49"/>
      <c r="F24" s="49"/>
      <c r="G24" s="49"/>
      <c r="H24" s="61"/>
      <c r="J24" s="1987" t="str">
        <f>IF(B5="x",IF(AUDITCHECK!D29="AFR form Incomplete.","",IF(AUDITCHECK!D29="Deficit reduction plan is required.","School District must complete a deficit reduction plan in the 2018-2019 Budget",)),"")</f>
        <v/>
      </c>
      <c r="K24" s="1987"/>
      <c r="L24" s="1987"/>
      <c r="M24" s="1987"/>
      <c r="N24" s="1987"/>
      <c r="O24" s="1987"/>
      <c r="P24" s="1987"/>
      <c r="Q24" s="1987"/>
      <c r="R24" s="1987"/>
      <c r="S24" s="1988"/>
      <c r="T24" s="105" t="s">
        <v>552</v>
      </c>
      <c r="U24" s="106"/>
      <c r="V24" s="106"/>
      <c r="W24" s="106"/>
      <c r="X24" s="107"/>
      <c r="Y24" s="107"/>
      <c r="Z24" s="107"/>
      <c r="AA24" s="108"/>
    </row>
    <row r="25" spans="1:27" ht="14.1" customHeight="1" x14ac:dyDescent="0.2">
      <c r="A25" s="1964">
        <v>60423</v>
      </c>
      <c r="B25" s="1965"/>
      <c r="C25" s="1965"/>
      <c r="D25" s="1965"/>
      <c r="E25" s="1965"/>
      <c r="F25" s="1965"/>
      <c r="G25" s="1965"/>
      <c r="H25" s="1966"/>
      <c r="I25" s="113"/>
      <c r="J25" s="1989"/>
      <c r="K25" s="1989"/>
      <c r="L25" s="1989"/>
      <c r="M25" s="1989"/>
      <c r="N25" s="1989"/>
      <c r="O25" s="1989"/>
      <c r="P25" s="1989"/>
      <c r="Q25" s="1989"/>
      <c r="R25" s="1989"/>
      <c r="S25" s="1990"/>
      <c r="T25" s="2060" t="s">
        <v>2086</v>
      </c>
      <c r="U25" s="2061"/>
      <c r="V25" s="2061"/>
      <c r="W25" s="2061"/>
      <c r="X25" s="2061"/>
      <c r="Y25" s="2061"/>
      <c r="Z25" s="2061"/>
      <c r="AA25" s="20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5" t="s">
        <v>1591</v>
      </c>
      <c r="J27" s="1976"/>
      <c r="K27" s="1976"/>
      <c r="L27" s="1976"/>
      <c r="M27" s="1976"/>
      <c r="N27" s="1976"/>
      <c r="O27" s="1976"/>
      <c r="P27" s="1976"/>
      <c r="Q27" s="1976"/>
      <c r="R27" s="1976"/>
      <c r="S27" s="197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2074</v>
      </c>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6"/>
      <c r="Q35" s="1965"/>
      <c r="R35" s="196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00"/>
      <c r="B38" s="2001"/>
      <c r="C38" s="2001"/>
      <c r="D38" s="2001"/>
      <c r="E38" s="2001"/>
      <c r="F38" s="1965"/>
      <c r="G38" s="1965"/>
      <c r="H38" s="1966"/>
      <c r="I38" s="1993"/>
      <c r="J38" s="1994"/>
      <c r="K38" s="1994"/>
      <c r="L38" s="1994"/>
      <c r="M38" s="1994"/>
      <c r="N38" s="1994"/>
      <c r="O38" s="1994"/>
      <c r="P38" s="1995"/>
      <c r="Q38" s="1995"/>
      <c r="R38" s="1995"/>
      <c r="S38" s="1996"/>
      <c r="T38" s="2050"/>
      <c r="U38" s="1994"/>
      <c r="V38" s="1994"/>
      <c r="W38" s="1994"/>
      <c r="X38" s="1995"/>
      <c r="Y38" s="1995"/>
      <c r="Z38" s="1995"/>
      <c r="AA38" s="1996"/>
    </row>
    <row r="39" spans="1:27" ht="12" customHeight="1" x14ac:dyDescent="0.2">
      <c r="A39" s="1970" t="s">
        <v>552</v>
      </c>
      <c r="B39" s="1971"/>
      <c r="C39" s="72"/>
      <c r="D39" s="69"/>
      <c r="E39" s="69"/>
      <c r="F39" s="79"/>
      <c r="G39" s="69"/>
      <c r="H39" s="56"/>
      <c r="I39" s="1970" t="s">
        <v>552</v>
      </c>
      <c r="J39" s="1971"/>
      <c r="K39" s="1971"/>
      <c r="L39" s="1971"/>
      <c r="M39" s="1971"/>
      <c r="N39" s="67"/>
      <c r="O39" s="72"/>
      <c r="P39" s="72"/>
      <c r="Q39" s="78"/>
      <c r="R39" s="72"/>
      <c r="S39" s="56"/>
      <c r="T39" s="72" t="s">
        <v>552</v>
      </c>
      <c r="U39" s="51"/>
      <c r="V39" s="72"/>
      <c r="W39" s="50"/>
      <c r="X39" s="78"/>
      <c r="Y39" s="45"/>
      <c r="Z39" s="45"/>
      <c r="AA39" s="46"/>
    </row>
    <row r="40" spans="1:27" ht="13.5" customHeight="1" x14ac:dyDescent="0.2">
      <c r="A40" s="1978"/>
      <c r="B40" s="1979"/>
      <c r="C40" s="1980"/>
      <c r="D40" s="1980"/>
      <c r="E40" s="1980"/>
      <c r="F40" s="1981"/>
      <c r="G40" s="1981"/>
      <c r="H40" s="1982"/>
      <c r="I40" s="2003"/>
      <c r="J40" s="2004"/>
      <c r="K40" s="2004"/>
      <c r="L40" s="2004"/>
      <c r="M40" s="2004"/>
      <c r="N40" s="2004"/>
      <c r="O40" s="2004"/>
      <c r="P40" s="2004"/>
      <c r="Q40" s="2004"/>
      <c r="R40" s="2004"/>
      <c r="S40" s="2005"/>
      <c r="T40" s="2003"/>
      <c r="U40" s="2066"/>
      <c r="V40" s="2004"/>
      <c r="W40" s="2004"/>
      <c r="X40" s="2004"/>
      <c r="Y40" s="2004"/>
      <c r="Z40" s="2004"/>
      <c r="AA40" s="200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92"/>
      <c r="B42" s="1984"/>
      <c r="C42" s="1985"/>
      <c r="D42" s="1983"/>
      <c r="E42" s="1984"/>
      <c r="F42" s="1984"/>
      <c r="G42" s="1984"/>
      <c r="H42" s="1985"/>
      <c r="I42" s="1967"/>
      <c r="J42" s="1968"/>
      <c r="K42" s="1968"/>
      <c r="L42" s="1968"/>
      <c r="M42" s="1968"/>
      <c r="N42" s="1968"/>
      <c r="O42" s="1969"/>
      <c r="P42" s="2002"/>
      <c r="Q42" s="1968"/>
      <c r="R42" s="1968"/>
      <c r="S42" s="1969"/>
      <c r="T42" s="1967"/>
      <c r="U42" s="1968"/>
      <c r="V42" s="1968"/>
      <c r="W42" s="1969"/>
      <c r="X42" s="2002"/>
      <c r="Y42" s="1968"/>
      <c r="Z42" s="1968"/>
      <c r="AA42" s="196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7"/>
      <c r="B44" s="1998"/>
      <c r="C44" s="1998"/>
      <c r="D44" s="1998"/>
      <c r="E44" s="1998"/>
      <c r="F44" s="1998"/>
      <c r="G44" s="1998"/>
      <c r="H44" s="1999"/>
      <c r="I44" s="1972"/>
      <c r="J44" s="1973"/>
      <c r="K44" s="1973"/>
      <c r="L44" s="1973"/>
      <c r="M44" s="1973"/>
      <c r="N44" s="1973"/>
      <c r="O44" s="1973"/>
      <c r="P44" s="1973"/>
      <c r="Q44" s="1973"/>
      <c r="R44" s="1973"/>
      <c r="S44" s="1974"/>
      <c r="T44" s="1972"/>
      <c r="U44" s="1991"/>
      <c r="V44" s="1991"/>
      <c r="W44" s="1991"/>
      <c r="X44" s="1991"/>
      <c r="Y44" s="1991"/>
      <c r="Z44" s="1973"/>
      <c r="AA44" s="197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F3" sqref="F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6" t="s">
        <v>1902</v>
      </c>
      <c r="B2" s="1550" t="s">
        <v>2034</v>
      </c>
      <c r="C2" s="715" t="s">
        <v>1907</v>
      </c>
      <c r="D2" s="715" t="s">
        <v>1908</v>
      </c>
      <c r="E2" s="715" t="s">
        <v>1909</v>
      </c>
      <c r="F2" s="715" t="s">
        <v>1910</v>
      </c>
    </row>
    <row r="3" spans="1:6" ht="12" customHeight="1" x14ac:dyDescent="0.2">
      <c r="A3" s="2207"/>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8" t="s">
        <v>650</v>
      </c>
      <c r="B1" s="2226"/>
      <c r="C1" s="722"/>
    </row>
    <row r="2" spans="1:7" ht="33.75" x14ac:dyDescent="0.2">
      <c r="A2" s="2233" t="s">
        <v>1902</v>
      </c>
      <c r="B2" s="2234"/>
      <c r="C2" s="1909" t="s">
        <v>2035</v>
      </c>
      <c r="D2" s="724" t="s">
        <v>2042</v>
      </c>
      <c r="E2" s="724" t="s">
        <v>2043</v>
      </c>
      <c r="F2" s="1909" t="s">
        <v>2036</v>
      </c>
    </row>
    <row r="3" spans="1:7" ht="15.75" customHeight="1" x14ac:dyDescent="0.2">
      <c r="A3" s="2235" t="s">
        <v>1176</v>
      </c>
      <c r="B3" s="2236"/>
      <c r="C3" s="2229"/>
      <c r="D3" s="2230"/>
      <c r="E3" s="2230"/>
      <c r="F3" s="2231"/>
    </row>
    <row r="4" spans="1:7" ht="12.75" customHeight="1" thickBot="1" x14ac:dyDescent="0.25">
      <c r="A4" s="2223" t="s">
        <v>651</v>
      </c>
      <c r="B4" s="2224"/>
      <c r="C4" s="581"/>
      <c r="D4" s="581"/>
      <c r="E4" s="581"/>
      <c r="F4" s="1777">
        <f>SUM(C4+D4)-E4</f>
        <v>0</v>
      </c>
    </row>
    <row r="5" spans="1:7" ht="15.75" customHeight="1" thickTop="1" x14ac:dyDescent="0.2">
      <c r="A5" s="2227" t="s">
        <v>1172</v>
      </c>
      <c r="B5" s="2222"/>
      <c r="C5" s="2216"/>
      <c r="D5" s="2217"/>
      <c r="E5" s="2217"/>
      <c r="F5" s="2218"/>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9" t="s">
        <v>652</v>
      </c>
      <c r="B15" s="2220"/>
      <c r="C15" s="1777">
        <f>SUM(C6:C14)</f>
        <v>0</v>
      </c>
      <c r="D15" s="1777">
        <f>SUM(D6:D14)</f>
        <v>0</v>
      </c>
      <c r="E15" s="1777">
        <f>SUM(E6:E14)</f>
        <v>0</v>
      </c>
      <c r="F15" s="1777">
        <f>SUM(F6:F14)</f>
        <v>0</v>
      </c>
      <c r="G15" s="552"/>
    </row>
    <row r="16" spans="1:7" s="202" customFormat="1" ht="15.75" customHeight="1" thickTop="1" x14ac:dyDescent="0.2">
      <c r="A16" s="2232" t="s">
        <v>1173</v>
      </c>
      <c r="B16" s="2222"/>
      <c r="C16" s="2216"/>
      <c r="D16" s="2217"/>
      <c r="E16" s="2217"/>
      <c r="F16" s="2218"/>
    </row>
    <row r="17" spans="1:11" ht="12.75" customHeight="1" thickBot="1" x14ac:dyDescent="0.25">
      <c r="A17" s="2214" t="s">
        <v>66</v>
      </c>
      <c r="B17" s="2215"/>
      <c r="C17" s="727"/>
      <c r="D17" s="585"/>
      <c r="E17" s="727"/>
      <c r="F17" s="1777">
        <f>SUM(C17+D17)-E17</f>
        <v>0</v>
      </c>
    </row>
    <row r="18" spans="1:11" ht="12.75" customHeight="1" thickTop="1" thickBot="1" x14ac:dyDescent="0.25">
      <c r="A18" s="2214" t="s">
        <v>6</v>
      </c>
      <c r="B18" s="2215"/>
      <c r="C18" s="727"/>
      <c r="D18" s="585"/>
      <c r="E18" s="727"/>
      <c r="F18" s="1777">
        <f>SUM(C18+D18)-E18</f>
        <v>0</v>
      </c>
    </row>
    <row r="19" spans="1:11" ht="12.75" customHeight="1" thickTop="1" thickBot="1" x14ac:dyDescent="0.25">
      <c r="A19" s="2214" t="s">
        <v>406</v>
      </c>
      <c r="B19" s="2215"/>
      <c r="C19" s="727"/>
      <c r="D19" s="585"/>
      <c r="E19" s="727"/>
      <c r="F19" s="1777">
        <f>SUM(C19+D19)-E19</f>
        <v>0</v>
      </c>
    </row>
    <row r="20" spans="1:11" ht="12.75" customHeight="1" thickTop="1" thickBot="1" x14ac:dyDescent="0.25">
      <c r="A20" s="2214" t="s">
        <v>468</v>
      </c>
      <c r="B20" s="2215"/>
      <c r="C20" s="727"/>
      <c r="D20" s="585"/>
      <c r="E20" s="727"/>
      <c r="F20" s="1777">
        <f>SUM(C20+D20)-E20</f>
        <v>0</v>
      </c>
    </row>
    <row r="21" spans="1:11" ht="14.25" thickTop="1" thickBot="1" x14ac:dyDescent="0.25">
      <c r="A21" s="2219" t="s">
        <v>653</v>
      </c>
      <c r="B21" s="2220"/>
      <c r="C21" s="1777">
        <f>SUM(C17:C20)</f>
        <v>0</v>
      </c>
      <c r="D21" s="1777">
        <f>SUM(D17:D20)</f>
        <v>0</v>
      </c>
      <c r="E21" s="1777">
        <f>SUM(E17:E20)</f>
        <v>0</v>
      </c>
      <c r="F21" s="1777">
        <f>SUM(F17:F20)</f>
        <v>0</v>
      </c>
      <c r="G21" s="552"/>
    </row>
    <row r="22" spans="1:11" ht="15.75" customHeight="1" thickTop="1" x14ac:dyDescent="0.2">
      <c r="A22" s="2221" t="s">
        <v>1174</v>
      </c>
      <c r="B22" s="2222"/>
      <c r="C22" s="2216"/>
      <c r="D22" s="2217"/>
      <c r="E22" s="2217"/>
      <c r="F22" s="2218"/>
    </row>
    <row r="23" spans="1:11" ht="13.5" thickBot="1" x14ac:dyDescent="0.25">
      <c r="A23" s="2223" t="s">
        <v>654</v>
      </c>
      <c r="B23" s="2224"/>
      <c r="C23" s="581"/>
      <c r="D23" s="581"/>
      <c r="E23" s="581"/>
      <c r="F23" s="1777">
        <f>SUM(C23+D23)-E23</f>
        <v>0</v>
      </c>
      <c r="G23" s="552"/>
    </row>
    <row r="24" spans="1:11" ht="15.75" customHeight="1" thickTop="1" x14ac:dyDescent="0.2">
      <c r="A24" s="2221" t="s">
        <v>1175</v>
      </c>
      <c r="B24" s="2222"/>
      <c r="C24" s="2216"/>
      <c r="D24" s="2217"/>
      <c r="E24" s="2217"/>
      <c r="F24" s="2218"/>
    </row>
    <row r="25" spans="1:11" ht="13.5" thickBot="1" x14ac:dyDescent="0.25">
      <c r="A25" s="2223" t="s">
        <v>655</v>
      </c>
      <c r="B25" s="2224"/>
      <c r="C25" s="581"/>
      <c r="D25" s="581"/>
      <c r="E25" s="581"/>
      <c r="F25" s="1777">
        <f>SUM(C25+D25)-E25</f>
        <v>0</v>
      </c>
      <c r="G25" s="552"/>
    </row>
    <row r="26" spans="1:11" ht="15.75" customHeight="1" thickTop="1" x14ac:dyDescent="0.2">
      <c r="A26" s="2227" t="s">
        <v>678</v>
      </c>
      <c r="B26" s="2222"/>
      <c r="C26" s="728"/>
      <c r="D26" s="728"/>
      <c r="E26" s="728"/>
      <c r="F26" s="729"/>
    </row>
    <row r="27" spans="1:11" ht="13.5" thickBot="1" x14ac:dyDescent="0.25">
      <c r="A27" s="2219" t="s">
        <v>1130</v>
      </c>
      <c r="B27" s="2220"/>
      <c r="C27" s="585"/>
      <c r="D27" s="585"/>
      <c r="E27" s="585"/>
      <c r="F27" s="1777">
        <f>SUM(C27+D27)-E27</f>
        <v>0</v>
      </c>
      <c r="G27" s="552"/>
    </row>
    <row r="28" spans="1:11" ht="7.5" customHeight="1" thickTop="1" x14ac:dyDescent="0.2">
      <c r="A28" s="594"/>
    </row>
    <row r="29" spans="1:11" ht="23.25" customHeight="1" x14ac:dyDescent="0.2">
      <c r="A29" s="2225" t="s">
        <v>603</v>
      </c>
      <c r="B29" s="2226"/>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2124</v>
      </c>
      <c r="B31" s="734">
        <v>38869</v>
      </c>
      <c r="C31" s="735">
        <v>2000000</v>
      </c>
      <c r="D31" s="736">
        <v>6</v>
      </c>
      <c r="E31" s="735">
        <v>665000</v>
      </c>
      <c r="F31" s="735"/>
      <c r="G31" s="735"/>
      <c r="H31" s="735">
        <v>155000</v>
      </c>
      <c r="I31" s="1778">
        <f>((E31+F31)-H31)+G31</f>
        <v>510000</v>
      </c>
      <c r="J31" s="735">
        <v>510000</v>
      </c>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2000000</v>
      </c>
      <c r="D49" s="746"/>
      <c r="E49" s="1778">
        <f t="shared" ref="E49:J49" si="2">SUM(E31:E48)</f>
        <v>665000</v>
      </c>
      <c r="F49" s="1778">
        <f t="shared" si="2"/>
        <v>0</v>
      </c>
      <c r="G49" s="1778">
        <f t="shared" si="2"/>
        <v>0</v>
      </c>
      <c r="H49" s="1778">
        <f t="shared" si="2"/>
        <v>155000</v>
      </c>
      <c r="I49" s="1778">
        <f t="shared" si="2"/>
        <v>510000</v>
      </c>
      <c r="J49" s="1778">
        <f t="shared" si="2"/>
        <v>510000</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08" t="s">
        <v>605</v>
      </c>
      <c r="C52" s="2209"/>
      <c r="D52" s="2209"/>
      <c r="E52" s="750" t="s">
        <v>900</v>
      </c>
      <c r="F52" s="2210"/>
      <c r="G52" s="2211"/>
      <c r="H52" s="737"/>
      <c r="I52" s="737"/>
      <c r="J52" s="747"/>
    </row>
    <row r="53" spans="1:11" ht="11.25" customHeight="1" x14ac:dyDescent="0.2">
      <c r="A53" s="751" t="s">
        <v>969</v>
      </c>
      <c r="B53" s="752" t="s">
        <v>1008</v>
      </c>
      <c r="C53" s="747"/>
      <c r="D53" s="738"/>
      <c r="E53" s="750" t="s">
        <v>518</v>
      </c>
      <c r="F53" s="2212"/>
      <c r="G53" s="2213"/>
      <c r="H53" s="737"/>
      <c r="I53" s="737"/>
      <c r="J53" s="747"/>
    </row>
    <row r="54" spans="1:11" ht="11.25" customHeight="1" x14ac:dyDescent="0.2">
      <c r="A54" s="753" t="s">
        <v>970</v>
      </c>
      <c r="B54" s="748" t="s">
        <v>1009</v>
      </c>
      <c r="C54" s="747"/>
      <c r="D54" s="738"/>
      <c r="E54" s="750" t="s">
        <v>519</v>
      </c>
      <c r="F54" s="2212"/>
      <c r="G54" s="2213"/>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J19" sqref="J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7" t="s">
        <v>911</v>
      </c>
      <c r="B1" s="2238"/>
      <c r="C1" s="2238"/>
      <c r="D1" s="2238"/>
      <c r="E1" s="2238"/>
      <c r="F1" s="2238"/>
      <c r="G1" s="2239"/>
      <c r="H1" s="1552"/>
      <c r="I1" s="761"/>
      <c r="J1" s="433"/>
    </row>
    <row r="2" spans="1:11" ht="26.25" x14ac:dyDescent="0.2">
      <c r="A2" s="2256" t="s">
        <v>1776</v>
      </c>
      <c r="B2" s="2257"/>
      <c r="C2" s="2257"/>
      <c r="D2" s="2257"/>
      <c r="E2" s="2258"/>
      <c r="F2" s="762" t="s">
        <v>960</v>
      </c>
      <c r="G2" s="763" t="s">
        <v>1773</v>
      </c>
      <c r="H2" s="763" t="s">
        <v>430</v>
      </c>
      <c r="I2" s="763" t="s">
        <v>1220</v>
      </c>
      <c r="J2" s="763" t="s">
        <v>1916</v>
      </c>
      <c r="K2" s="763" t="s">
        <v>140</v>
      </c>
    </row>
    <row r="3" spans="1:11" x14ac:dyDescent="0.2">
      <c r="A3" s="2259" t="s">
        <v>1698</v>
      </c>
      <c r="B3" s="2260"/>
      <c r="C3" s="2260"/>
      <c r="D3" s="2260"/>
      <c r="E3" s="2261"/>
      <c r="F3" s="764"/>
      <c r="G3" s="765"/>
      <c r="H3" s="765"/>
      <c r="I3" s="765"/>
      <c r="J3" s="766"/>
      <c r="K3" s="766"/>
    </row>
    <row r="4" spans="1:11" x14ac:dyDescent="0.2">
      <c r="A4" s="2262" t="s">
        <v>387</v>
      </c>
      <c r="B4" s="2263"/>
      <c r="C4" s="2263"/>
      <c r="D4" s="2263"/>
      <c r="E4" s="2209"/>
      <c r="F4" s="767"/>
      <c r="G4" s="768"/>
      <c r="H4" s="769"/>
      <c r="I4" s="768"/>
      <c r="J4" s="770"/>
      <c r="K4" s="770"/>
    </row>
    <row r="5" spans="1:11" x14ac:dyDescent="0.2">
      <c r="A5" s="2240" t="s">
        <v>1129</v>
      </c>
      <c r="B5" s="2241"/>
      <c r="C5" s="2241"/>
      <c r="D5" s="2241"/>
      <c r="E5" s="2242"/>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40" t="s">
        <v>1917</v>
      </c>
      <c r="B10" s="2241"/>
      <c r="C10" s="2241"/>
      <c r="D10" s="2241"/>
      <c r="E10" s="2243"/>
      <c r="F10" s="784" t="s">
        <v>917</v>
      </c>
      <c r="G10" s="783"/>
      <c r="H10" s="785"/>
      <c r="I10" s="765"/>
      <c r="J10" s="766"/>
      <c r="K10" s="766"/>
    </row>
    <row r="11" spans="1:11" x14ac:dyDescent="0.2">
      <c r="A11" s="2240" t="s">
        <v>162</v>
      </c>
      <c r="B11" s="2241"/>
      <c r="C11" s="2241"/>
      <c r="D11" s="2241"/>
      <c r="E11" s="2242"/>
      <c r="F11" s="771" t="s">
        <v>907</v>
      </c>
      <c r="G11" s="772"/>
      <c r="H11" s="765"/>
      <c r="I11" s="765"/>
      <c r="J11" s="766"/>
      <c r="K11" s="774"/>
    </row>
    <row r="12" spans="1:11" ht="13.5" thickBot="1" x14ac:dyDescent="0.25">
      <c r="A12" s="2267" t="s">
        <v>961</v>
      </c>
      <c r="B12" s="2268"/>
      <c r="C12" s="2268"/>
      <c r="D12" s="2268"/>
      <c r="E12" s="2269"/>
      <c r="F12" s="1779"/>
      <c r="G12" s="1780">
        <f>SUM(G5:G11)</f>
        <v>0</v>
      </c>
      <c r="H12" s="1780">
        <f>SUM(H5:H11)</f>
        <v>0</v>
      </c>
      <c r="I12" s="1780">
        <f>SUM(I5:I11)</f>
        <v>0</v>
      </c>
      <c r="J12" s="1780">
        <f>SUM(J5:J11)</f>
        <v>0</v>
      </c>
      <c r="K12" s="1780">
        <f>SUM(K5:K11)</f>
        <v>0</v>
      </c>
    </row>
    <row r="13" spans="1:11" ht="13.5" thickTop="1" x14ac:dyDescent="0.2">
      <c r="A13" s="2264" t="s">
        <v>388</v>
      </c>
      <c r="B13" s="2265"/>
      <c r="C13" s="2265"/>
      <c r="D13" s="2265"/>
      <c r="E13" s="2266"/>
      <c r="F13" s="786"/>
      <c r="G13" s="787"/>
      <c r="H13" s="788"/>
      <c r="I13" s="789"/>
      <c r="J13" s="789"/>
      <c r="K13" s="789"/>
    </row>
    <row r="14" spans="1:11" x14ac:dyDescent="0.2">
      <c r="A14" s="2247" t="s">
        <v>476</v>
      </c>
      <c r="B14" s="2247"/>
      <c r="C14" s="2247"/>
      <c r="D14" s="2247"/>
      <c r="E14" s="2248"/>
      <c r="F14" s="790" t="s">
        <v>909</v>
      </c>
      <c r="G14" s="783"/>
      <c r="H14" s="765"/>
      <c r="I14" s="772"/>
      <c r="J14" s="774"/>
      <c r="K14" s="766"/>
    </row>
    <row r="15" spans="1:11" x14ac:dyDescent="0.2">
      <c r="A15" s="2241" t="s">
        <v>4</v>
      </c>
      <c r="B15" s="2241"/>
      <c r="C15" s="2241"/>
      <c r="D15" s="2241"/>
      <c r="E15" s="2242"/>
      <c r="F15" s="790" t="s">
        <v>910</v>
      </c>
      <c r="G15" s="772"/>
      <c r="H15" s="765"/>
      <c r="I15" s="765"/>
      <c r="J15" s="766"/>
      <c r="K15" s="766"/>
    </row>
    <row r="16" spans="1:11" x14ac:dyDescent="0.2">
      <c r="A16" s="2241" t="s">
        <v>316</v>
      </c>
      <c r="B16" s="2241"/>
      <c r="C16" s="2241"/>
      <c r="D16" s="2241"/>
      <c r="E16" s="2242"/>
      <c r="F16" s="790" t="s">
        <v>980</v>
      </c>
      <c r="G16" s="773"/>
      <c r="H16" s="768"/>
      <c r="I16" s="768"/>
      <c r="J16" s="770"/>
      <c r="K16" s="770"/>
    </row>
    <row r="17" spans="1:11" x14ac:dyDescent="0.2">
      <c r="A17" s="2272" t="s">
        <v>992</v>
      </c>
      <c r="B17" s="2272"/>
      <c r="C17" s="2272"/>
      <c r="D17" s="2272"/>
      <c r="E17" s="2273"/>
      <c r="F17" s="791"/>
      <c r="G17" s="792"/>
      <c r="H17" s="793"/>
      <c r="I17" s="793"/>
      <c r="J17" s="794"/>
      <c r="K17" s="795"/>
    </row>
    <row r="18" spans="1:11" x14ac:dyDescent="0.2">
      <c r="A18" s="2251" t="s">
        <v>386</v>
      </c>
      <c r="B18" s="2252"/>
      <c r="C18" s="2252"/>
      <c r="D18" s="2252"/>
      <c r="E18" s="2253"/>
      <c r="F18" s="790" t="s">
        <v>989</v>
      </c>
      <c r="G18" s="783"/>
      <c r="H18" s="783"/>
      <c r="I18" s="783"/>
      <c r="J18" s="766"/>
      <c r="K18" s="796"/>
    </row>
    <row r="19" spans="1:11" ht="21.75" customHeight="1" x14ac:dyDescent="0.2">
      <c r="A19" s="2249" t="s">
        <v>1913</v>
      </c>
      <c r="B19" s="2249"/>
      <c r="C19" s="2249"/>
      <c r="D19" s="2249"/>
      <c r="E19" s="2250"/>
      <c r="F19" s="790" t="s">
        <v>990</v>
      </c>
      <c r="G19" s="783"/>
      <c r="H19" s="783"/>
      <c r="I19" s="783"/>
      <c r="J19" s="766"/>
      <c r="K19" s="796"/>
    </row>
    <row r="20" spans="1:11" x14ac:dyDescent="0.2">
      <c r="A20" s="2251" t="s">
        <v>1918</v>
      </c>
      <c r="B20" s="2252"/>
      <c r="C20" s="2252"/>
      <c r="D20" s="2252"/>
      <c r="E20" s="2253"/>
      <c r="F20" s="790" t="s">
        <v>991</v>
      </c>
      <c r="G20" s="783"/>
      <c r="H20" s="783"/>
      <c r="I20" s="783"/>
      <c r="J20" s="766"/>
      <c r="K20" s="796"/>
    </row>
    <row r="21" spans="1:11" ht="13.5" thickBot="1" x14ac:dyDescent="0.25">
      <c r="A21" s="2270" t="s">
        <v>659</v>
      </c>
      <c r="B21" s="2270"/>
      <c r="C21" s="2270"/>
      <c r="D21" s="2270"/>
      <c r="E21" s="2270"/>
      <c r="F21" s="1781"/>
      <c r="G21" s="793"/>
      <c r="H21" s="797"/>
      <c r="I21" s="797"/>
      <c r="J21" s="1782">
        <f>SUM(J18:J20)</f>
        <v>0</v>
      </c>
      <c r="K21" s="794"/>
    </row>
    <row r="22" spans="1:11" ht="13.5" thickTop="1" x14ac:dyDescent="0.2">
      <c r="A22" s="2241" t="s">
        <v>1919</v>
      </c>
      <c r="B22" s="2241"/>
      <c r="C22" s="2241"/>
      <c r="D22" s="2241"/>
      <c r="E22" s="2242"/>
      <c r="F22" s="790" t="s">
        <v>917</v>
      </c>
      <c r="G22" s="783"/>
      <c r="H22" s="765"/>
      <c r="I22" s="765"/>
      <c r="J22" s="798"/>
      <c r="K22" s="766"/>
    </row>
    <row r="23" spans="1:11" ht="13.5" thickBot="1" x14ac:dyDescent="0.25">
      <c r="A23" s="2271" t="s">
        <v>962</v>
      </c>
      <c r="B23" s="2270"/>
      <c r="C23" s="2270"/>
      <c r="D23" s="2270"/>
      <c r="E23" s="2270"/>
      <c r="F23" s="1783"/>
      <c r="G23" s="1780">
        <f>SUM(G14:G16,G21,G22)</f>
        <v>0</v>
      </c>
      <c r="H23" s="1780">
        <f>SUM(H14:H16,H21,H22)</f>
        <v>0</v>
      </c>
      <c r="I23" s="1780">
        <f>SUM(I14:I16,I21,I22)</f>
        <v>0</v>
      </c>
      <c r="J23" s="1780">
        <f>SUM(J14:J16,J21,J22)</f>
        <v>0</v>
      </c>
      <c r="K23" s="1780">
        <f>SUM(K14:K16,K21,K22)</f>
        <v>0</v>
      </c>
    </row>
    <row r="24" spans="1:11" ht="14.25" thickTop="1" thickBot="1" x14ac:dyDescent="0.25">
      <c r="A24" s="2271" t="s">
        <v>2023</v>
      </c>
      <c r="B24" s="2270"/>
      <c r="C24" s="2270"/>
      <c r="D24" s="2270"/>
      <c r="E24" s="2270"/>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44"/>
      <c r="I31" s="2245"/>
      <c r="J31" s="2245"/>
      <c r="K31" s="2245"/>
    </row>
    <row r="32" spans="1:11" x14ac:dyDescent="0.2">
      <c r="A32" s="810"/>
      <c r="B32" s="237"/>
      <c r="C32" s="237"/>
      <c r="D32" s="237"/>
      <c r="E32" s="806"/>
      <c r="F32" s="812" t="s">
        <v>561</v>
      </c>
      <c r="G32" s="765"/>
      <c r="H32" s="2246"/>
      <c r="I32" s="2245"/>
      <c r="J32" s="2245"/>
      <c r="K32" s="2245"/>
    </row>
    <row r="33" spans="1:11" ht="1.5" customHeight="1" x14ac:dyDescent="0.2">
      <c r="A33" s="813" t="s">
        <v>1231</v>
      </c>
      <c r="B33" s="364"/>
      <c r="C33" s="364"/>
      <c r="D33" s="364"/>
      <c r="E33" s="364"/>
      <c r="F33" s="364"/>
      <c r="G33" s="814"/>
      <c r="H33" s="2246"/>
      <c r="I33" s="2245"/>
      <c r="J33" s="2245"/>
      <c r="K33" s="2245"/>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41" t="s">
        <v>562</v>
      </c>
      <c r="B41" s="2254"/>
      <c r="C41" s="2254"/>
      <c r="D41" s="2254"/>
      <c r="E41" s="2254"/>
      <c r="F41" s="2255"/>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16" sqref="K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6" t="s">
        <v>2032</v>
      </c>
      <c r="B1" s="2277"/>
      <c r="C1" s="2278"/>
      <c r="D1" s="827"/>
      <c r="E1" s="828"/>
      <c r="F1" s="828"/>
      <c r="G1" s="829"/>
      <c r="H1" s="830"/>
      <c r="I1" s="831"/>
      <c r="J1" s="2274"/>
      <c r="K1" s="2275"/>
      <c r="L1" s="2275"/>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513028</v>
      </c>
      <c r="D5" s="842"/>
      <c r="E5" s="842"/>
      <c r="F5" s="1782">
        <f>(C5+D5)-E5</f>
        <v>513028</v>
      </c>
      <c r="G5" s="838"/>
      <c r="H5" s="843"/>
      <c r="I5" s="843"/>
      <c r="J5" s="843"/>
      <c r="K5" s="794"/>
      <c r="L5" s="1791">
        <f>F5-K5</f>
        <v>513028</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4780013</v>
      </c>
      <c r="D8" s="845"/>
      <c r="E8" s="845"/>
      <c r="F8" s="1782">
        <f>(C8+D8)-E8</f>
        <v>4780013</v>
      </c>
      <c r="G8" s="844">
        <v>50</v>
      </c>
      <c r="H8" s="766">
        <v>879766</v>
      </c>
      <c r="I8" s="766">
        <v>95600</v>
      </c>
      <c r="J8" s="766"/>
      <c r="K8" s="1791">
        <f>(H8+I8)-J8</f>
        <v>975366</v>
      </c>
      <c r="L8" s="1791">
        <f>F8-K8</f>
        <v>3804647</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1379024</v>
      </c>
      <c r="D10" s="847"/>
      <c r="E10" s="847"/>
      <c r="F10" s="1786">
        <f>(C10+D10)-E10</f>
        <v>1379024</v>
      </c>
      <c r="G10" s="844">
        <v>20</v>
      </c>
      <c r="H10" s="848">
        <v>893501</v>
      </c>
      <c r="I10" s="848">
        <v>68952</v>
      </c>
      <c r="J10" s="848"/>
      <c r="K10" s="1791">
        <f>(H10+I10)-J10</f>
        <v>962453</v>
      </c>
      <c r="L10" s="1791">
        <f>F10-K10</f>
        <v>416571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2985043</v>
      </c>
      <c r="D12" s="845">
        <v>32659</v>
      </c>
      <c r="E12" s="845"/>
      <c r="F12" s="1782">
        <f>(C12+D12)-E12</f>
        <v>3017702</v>
      </c>
      <c r="G12" s="844">
        <v>10</v>
      </c>
      <c r="H12" s="766">
        <v>2489799</v>
      </c>
      <c r="I12" s="766">
        <v>111875</v>
      </c>
      <c r="J12" s="766"/>
      <c r="K12" s="1791">
        <f>(H12+I12)-J12</f>
        <v>2601674</v>
      </c>
      <c r="L12" s="1791">
        <f>F12-K12</f>
        <v>416028</v>
      </c>
    </row>
    <row r="13" spans="1:14" ht="14.25" thickTop="1" thickBot="1" x14ac:dyDescent="0.25">
      <c r="A13" s="849" t="s">
        <v>1184</v>
      </c>
      <c r="B13" s="841">
        <v>252</v>
      </c>
      <c r="C13" s="845">
        <v>2857117</v>
      </c>
      <c r="D13" s="845">
        <v>318257</v>
      </c>
      <c r="E13" s="845"/>
      <c r="F13" s="1782">
        <f>(C13+D13)-E13</f>
        <v>3175374</v>
      </c>
      <c r="G13" s="844">
        <v>5</v>
      </c>
      <c r="H13" s="766">
        <v>2767280</v>
      </c>
      <c r="I13" s="766">
        <v>54062</v>
      </c>
      <c r="J13" s="766"/>
      <c r="K13" s="1791">
        <f>(H13+I13)-J13</f>
        <v>2821342</v>
      </c>
      <c r="L13" s="1791">
        <f>F13-K13</f>
        <v>354032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12514225</v>
      </c>
      <c r="D16" s="1782">
        <f>SUM(D3,D5:D6,D8:D10,D12:D15)</f>
        <v>350916</v>
      </c>
      <c r="E16" s="1782">
        <f>SUM(E3,E5:E6,E8:E10,E12:E15)</f>
        <v>0</v>
      </c>
      <c r="F16" s="1782">
        <f>SUM(F3,F5:F6,F8:F10,F12:F15)</f>
        <v>12865141</v>
      </c>
      <c r="G16" s="844"/>
      <c r="H16" s="1782">
        <f>SUM(H3,H6,H8:H10,H12:H14,)</f>
        <v>7030346</v>
      </c>
      <c r="I16" s="1782">
        <f>SUM(I3,I6,I8:I10,I12:I14,)</f>
        <v>330489</v>
      </c>
      <c r="J16" s="1782">
        <f>SUM(J3,J6,J8:J10,J12:J14,)</f>
        <v>0</v>
      </c>
      <c r="K16" s="1782">
        <f>(H16+I16)-J16</f>
        <v>7360835</v>
      </c>
      <c r="L16" s="1782">
        <f>F16-K16</f>
        <v>5504306</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330489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22" activePane="bottomLeft" state="frozen"/>
      <selection activeCell="A47" sqref="A47"/>
      <selection pane="bottomLeft" activeCell="A187" sqref="A18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82" t="s">
        <v>1699</v>
      </c>
      <c r="B1" s="2283"/>
      <c r="C1" s="2283"/>
      <c r="D1" s="2283"/>
      <c r="E1" s="2283"/>
      <c r="F1" s="2284"/>
      <c r="G1" s="856"/>
    </row>
    <row r="2" spans="1:7" ht="15" customHeight="1" thickBot="1" x14ac:dyDescent="0.25">
      <c r="A2" s="2285" t="s">
        <v>498</v>
      </c>
      <c r="B2" s="2286"/>
      <c r="C2" s="2286"/>
      <c r="D2" s="2286"/>
      <c r="E2" s="2286"/>
      <c r="F2" s="2287"/>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8"/>
      <c r="B5" s="2289"/>
      <c r="C5" s="2289"/>
      <c r="D5" s="2289"/>
      <c r="E5" s="2289"/>
      <c r="F5" s="2289"/>
    </row>
    <row r="6" spans="1:7" ht="13.5" customHeight="1" thickBot="1" x14ac:dyDescent="0.25">
      <c r="A6" s="2279" t="s">
        <v>1166</v>
      </c>
      <c r="B6" s="2280"/>
      <c r="C6" s="2280"/>
      <c r="D6" s="2280"/>
      <c r="E6" s="2280"/>
      <c r="F6" s="2281"/>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11417261</v>
      </c>
      <c r="G8" s="866"/>
    </row>
    <row r="9" spans="1:7" x14ac:dyDescent="0.2">
      <c r="A9" s="870" t="s">
        <v>480</v>
      </c>
      <c r="B9" s="871" t="s">
        <v>1986</v>
      </c>
      <c r="C9" s="872"/>
      <c r="D9" s="870" t="s">
        <v>522</v>
      </c>
      <c r="E9" s="869"/>
      <c r="F9" s="1935">
        <f>'Expenditures 15-22'!K151</f>
        <v>346455</v>
      </c>
      <c r="G9" s="873"/>
    </row>
    <row r="10" spans="1:7" x14ac:dyDescent="0.2">
      <c r="A10" s="870" t="s">
        <v>520</v>
      </c>
      <c r="B10" s="871" t="s">
        <v>1987</v>
      </c>
      <c r="C10" s="872"/>
      <c r="D10" s="870" t="s">
        <v>522</v>
      </c>
      <c r="E10" s="869"/>
      <c r="F10" s="1935">
        <f>'Expenditures 15-22'!K174</f>
        <v>191420</v>
      </c>
      <c r="G10" s="873"/>
    </row>
    <row r="11" spans="1:7" x14ac:dyDescent="0.2">
      <c r="A11" s="870" t="s">
        <v>481</v>
      </c>
      <c r="B11" s="871" t="s">
        <v>1988</v>
      </c>
      <c r="C11" s="872"/>
      <c r="D11" s="870" t="s">
        <v>522</v>
      </c>
      <c r="E11" s="869"/>
      <c r="F11" s="1935">
        <f>'Expenditures 15-22'!K210</f>
        <v>3757227</v>
      </c>
      <c r="G11" s="873"/>
    </row>
    <row r="12" spans="1:7" x14ac:dyDescent="0.2">
      <c r="A12" s="870" t="s">
        <v>482</v>
      </c>
      <c r="B12" s="871" t="s">
        <v>1989</v>
      </c>
      <c r="C12" s="872"/>
      <c r="D12" s="870" t="s">
        <v>522</v>
      </c>
      <c r="E12" s="869"/>
      <c r="F12" s="1935">
        <f>'Expenditures 15-22'!K295</f>
        <v>0</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15712363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221822</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3014508</v>
      </c>
      <c r="G53" s="866"/>
    </row>
    <row r="54" spans="1:7" x14ac:dyDescent="0.2">
      <c r="A54" s="870" t="s">
        <v>479</v>
      </c>
      <c r="B54" s="870" t="s">
        <v>1552</v>
      </c>
      <c r="C54" s="890" t="s">
        <v>1039</v>
      </c>
      <c r="D54" s="886" t="s">
        <v>1157</v>
      </c>
      <c r="E54" s="869"/>
      <c r="F54" s="1939">
        <f>'Expenditures 15-22'!G114</f>
        <v>27320</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4692</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155000</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318904</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0</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3742246</v>
      </c>
      <c r="G76" s="866"/>
    </row>
    <row r="77" spans="1:8" s="894" customFormat="1" ht="12" customHeight="1" thickTop="1" thickBot="1" x14ac:dyDescent="0.25">
      <c r="A77" s="1801"/>
      <c r="B77" s="1798"/>
      <c r="C77" s="1794"/>
      <c r="D77" s="1799" t="s">
        <v>2009</v>
      </c>
      <c r="E77" s="1796"/>
      <c r="F77" s="1802">
        <f>(F14-F76)</f>
        <v>11970117</v>
      </c>
      <c r="G77" s="870"/>
    </row>
    <row r="78" spans="1:8" s="894" customFormat="1" ht="12" customHeight="1" thickTop="1" x14ac:dyDescent="0.2">
      <c r="A78" s="1803"/>
      <c r="B78" s="1798"/>
      <c r="C78" s="1794"/>
      <c r="D78" s="1799" t="s">
        <v>2056</v>
      </c>
      <c r="E78" s="1796"/>
      <c r="F78" s="899">
        <v>0</v>
      </c>
      <c r="G78" s="900"/>
      <c r="H78" s="870"/>
    </row>
    <row r="79" spans="1:8" s="894" customFormat="1" ht="12" customHeight="1" thickBot="1" x14ac:dyDescent="0.25">
      <c r="A79" s="1804"/>
      <c r="B79" s="1798"/>
      <c r="C79" s="1794"/>
      <c r="D79" s="1799" t="s">
        <v>2010</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9" t="s">
        <v>1167</v>
      </c>
      <c r="B81" s="2280"/>
      <c r="C81" s="2280"/>
      <c r="D81" s="2280"/>
      <c r="E81" s="2280"/>
      <c r="F81" s="2281"/>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4913</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4306167</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1153968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3120668</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25254</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8610970</v>
      </c>
    </row>
    <row r="179" spans="1:7" ht="12" customHeight="1" x14ac:dyDescent="0.2">
      <c r="A179" s="1792"/>
      <c r="B179" s="1806"/>
      <c r="C179" s="1807"/>
      <c r="D179" s="1808" t="s">
        <v>2012</v>
      </c>
      <c r="E179" s="1809"/>
      <c r="F179" s="1811">
        <f>'PCTC-OEPP 27-28'!F77-F178</f>
        <v>3359147</v>
      </c>
    </row>
    <row r="180" spans="1:7" ht="12" customHeight="1" x14ac:dyDescent="0.2">
      <c r="A180" s="1792"/>
      <c r="B180" s="1806"/>
      <c r="C180" s="1807"/>
      <c r="D180" s="1808" t="s">
        <v>1921</v>
      </c>
      <c r="E180" s="1809"/>
      <c r="F180" s="1811">
        <f>'Cap Outlay Deprec 26'!I18</f>
        <v>330489</v>
      </c>
    </row>
    <row r="181" spans="1:7" ht="12" customHeight="1" x14ac:dyDescent="0.2">
      <c r="A181" s="1792"/>
      <c r="B181" s="1806"/>
      <c r="C181" s="1807"/>
      <c r="D181" s="1808" t="s">
        <v>2013</v>
      </c>
      <c r="E181" s="1809"/>
      <c r="F181" s="1811">
        <f>F179+F180</f>
        <v>3689636</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2014</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2" sqref="B22"/>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93" t="s">
        <v>1922</v>
      </c>
      <c r="B4" s="2294"/>
      <c r="C4" s="2294"/>
      <c r="D4" s="2294"/>
      <c r="E4" s="2294"/>
      <c r="F4" s="2294"/>
      <c r="G4" s="2295"/>
    </row>
    <row r="5" spans="1:7" x14ac:dyDescent="0.25">
      <c r="A5" s="2296"/>
      <c r="B5" s="2297"/>
      <c r="C5" s="2297"/>
      <c r="D5" s="2297"/>
      <c r="E5" s="2297"/>
      <c r="F5" s="2297"/>
      <c r="G5" s="2298"/>
    </row>
    <row r="6" spans="1:7" ht="18.75" x14ac:dyDescent="0.25">
      <c r="A6" s="1556" t="s">
        <v>1923</v>
      </c>
      <c r="B6" s="1557"/>
      <c r="C6" s="1557"/>
      <c r="D6" s="1557"/>
      <c r="E6" s="1557"/>
      <c r="F6" s="1557"/>
      <c r="G6" s="1558"/>
    </row>
    <row r="7" spans="1:7" ht="30.75" customHeight="1" x14ac:dyDescent="0.25">
      <c r="A7" s="2299" t="s">
        <v>2072</v>
      </c>
      <c r="B7" s="2300"/>
      <c r="C7" s="2300"/>
      <c r="D7" s="2300"/>
      <c r="E7" s="2300"/>
      <c r="F7" s="2300"/>
      <c r="G7" s="2301"/>
    </row>
    <row r="8" spans="1:7" ht="15.75" customHeight="1" x14ac:dyDescent="0.25">
      <c r="A8" s="2302" t="s">
        <v>2021</v>
      </c>
      <c r="B8" s="2303"/>
      <c r="C8" s="2303"/>
      <c r="D8" s="2303"/>
      <c r="E8" s="2303"/>
      <c r="F8" s="2303"/>
      <c r="G8" s="2304"/>
    </row>
    <row r="9" spans="1:7" ht="35.25" customHeight="1" x14ac:dyDescent="0.25">
      <c r="A9" s="2299" t="s">
        <v>2020</v>
      </c>
      <c r="B9" s="2300"/>
      <c r="C9" s="2300"/>
      <c r="D9" s="2300"/>
      <c r="E9" s="2300"/>
      <c r="F9" s="2300"/>
      <c r="G9" s="2301"/>
    </row>
    <row r="10" spans="1:7" ht="15" customHeight="1" x14ac:dyDescent="0.25">
      <c r="A10" s="1559" t="s">
        <v>1924</v>
      </c>
      <c r="B10" s="1560"/>
      <c r="C10" s="1560"/>
      <c r="D10" s="1560"/>
      <c r="E10" s="1560"/>
      <c r="F10" s="1560"/>
      <c r="G10" s="1561"/>
    </row>
    <row r="11" spans="1:7" ht="17.25" customHeight="1" x14ac:dyDescent="0.25">
      <c r="A11" s="2299" t="s">
        <v>1938</v>
      </c>
      <c r="B11" s="2300"/>
      <c r="C11" s="2300"/>
      <c r="D11" s="2300"/>
      <c r="E11" s="2300"/>
      <c r="F11" s="2300"/>
      <c r="G11" s="2301"/>
    </row>
    <row r="12" spans="1:7" ht="15" customHeight="1" x14ac:dyDescent="0.25">
      <c r="A12" s="1559" t="s">
        <v>1929</v>
      </c>
      <c r="B12" s="1560"/>
      <c r="C12" s="1560"/>
      <c r="D12" s="1560"/>
      <c r="E12" s="1560"/>
      <c r="F12" s="1560"/>
      <c r="G12" s="1561"/>
    </row>
    <row r="13" spans="1:7" ht="32.25" customHeight="1" x14ac:dyDescent="0.25">
      <c r="A13" s="2290" t="s">
        <v>1930</v>
      </c>
      <c r="B13" s="2291"/>
      <c r="C13" s="2291"/>
      <c r="D13" s="2291"/>
      <c r="E13" s="2291"/>
      <c r="F13" s="2291"/>
      <c r="G13" s="2292"/>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t="30" x14ac:dyDescent="0.25">
      <c r="A17" s="1961" t="s">
        <v>2127</v>
      </c>
      <c r="B17" s="1962" t="s">
        <v>2135</v>
      </c>
      <c r="C17" s="1963" t="s">
        <v>2128</v>
      </c>
      <c r="D17" s="1867">
        <v>25000</v>
      </c>
      <c r="E17" s="1562">
        <f t="shared" ref="E17:E141" si="1">IF(D17&lt;=25000,D17,IF(D17&gt;25000,25000,0))</f>
        <v>25000</v>
      </c>
      <c r="F17" s="1815">
        <f t="shared" si="0"/>
        <v>25000</v>
      </c>
      <c r="G17" s="1816">
        <f>IF(F17=0,0,D17-F17)</f>
        <v>0</v>
      </c>
      <c r="H17" s="1669"/>
    </row>
    <row r="18" spans="1:8" x14ac:dyDescent="0.25">
      <c r="A18" s="1961" t="s">
        <v>2129</v>
      </c>
      <c r="B18" s="1962" t="s">
        <v>2130</v>
      </c>
      <c r="C18" s="1963" t="s">
        <v>2131</v>
      </c>
      <c r="D18" s="1867">
        <v>47220</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22220</v>
      </c>
    </row>
    <row r="19" spans="1:8" ht="30" x14ac:dyDescent="0.25">
      <c r="A19" s="1961" t="s">
        <v>2127</v>
      </c>
      <c r="B19" s="1962" t="s">
        <v>2135</v>
      </c>
      <c r="C19" s="1963" t="s">
        <v>2132</v>
      </c>
      <c r="D19" s="1867">
        <v>53482</v>
      </c>
      <c r="E19" s="1562">
        <f t="shared" si="2"/>
        <v>25000</v>
      </c>
      <c r="F19" s="1815">
        <f t="shared" si="3"/>
        <v>25000</v>
      </c>
      <c r="G19" s="1816">
        <f t="shared" si="4"/>
        <v>28482</v>
      </c>
    </row>
    <row r="20" spans="1:8" x14ac:dyDescent="0.25">
      <c r="A20" s="1961" t="s">
        <v>2129</v>
      </c>
      <c r="B20" s="1962" t="s">
        <v>2130</v>
      </c>
      <c r="C20" s="1963" t="s">
        <v>2133</v>
      </c>
      <c r="D20" s="1867">
        <v>383640</v>
      </c>
      <c r="E20" s="1562">
        <f t="shared" si="2"/>
        <v>25000</v>
      </c>
      <c r="F20" s="1815">
        <f t="shared" si="3"/>
        <v>25000</v>
      </c>
      <c r="G20" s="1816">
        <f t="shared" si="4"/>
        <v>358640</v>
      </c>
    </row>
    <row r="21" spans="1:8" ht="30" x14ac:dyDescent="0.25">
      <c r="A21" s="1961" t="s">
        <v>2127</v>
      </c>
      <c r="B21" s="1962" t="s">
        <v>2135</v>
      </c>
      <c r="C21" s="1963" t="s">
        <v>2134</v>
      </c>
      <c r="D21" s="1867">
        <v>25229</v>
      </c>
      <c r="E21" s="1562">
        <f t="shared" si="2"/>
        <v>25000</v>
      </c>
      <c r="F21" s="1815">
        <f t="shared" si="3"/>
        <v>25000</v>
      </c>
      <c r="G21" s="1816">
        <f t="shared" si="4"/>
        <v>229</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534571</v>
      </c>
      <c r="E141" s="1563">
        <f t="shared" si="1"/>
        <v>25000</v>
      </c>
      <c r="F141" s="1817">
        <f>SUM(F17:F140)</f>
        <v>125000</v>
      </c>
      <c r="G141" s="1818">
        <f>SUM(G17:G140)</f>
        <v>409571</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5" colorId="8" zoomScale="110" zoomScaleNormal="110" workbookViewId="0">
      <selection activeCell="A10" sqref="A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5" t="s">
        <v>1778</v>
      </c>
      <c r="B5" s="2306"/>
      <c r="C5" s="2306"/>
      <c r="D5" s="2306"/>
      <c r="E5" s="2306"/>
      <c r="F5" s="2306"/>
      <c r="G5" s="2307"/>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c r="F10" s="975"/>
      <c r="G10" s="976"/>
      <c r="H10" s="162"/>
      <c r="I10" s="162"/>
    </row>
    <row r="11" spans="1:9" s="669" customFormat="1" ht="22.5" customHeight="1" x14ac:dyDescent="0.2">
      <c r="A11" s="2310" t="s">
        <v>1942</v>
      </c>
      <c r="B11" s="2311"/>
      <c r="C11" s="2311"/>
      <c r="D11" s="2312"/>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4934328</v>
      </c>
      <c r="F19" s="1822"/>
      <c r="G19" s="1824">
        <f>'Expenditures 15-22'!K33-SUM('Expenditures 15-22'!G33,'Expenditures 15-22'!I33)+'Expenditures 15-22'!D229</f>
        <v>4934328</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1597552</v>
      </c>
      <c r="F21" s="1825"/>
      <c r="G21" s="1828">
        <f>'Expenditures 15-22'!K42-SUM('Expenditures 15-22'!G42,'Expenditures 15-22'!I42)+'Expenditures 15-22'!K120-SUM('Expenditures 15-22'!G120,'Expenditures 15-22'!I120)+'Expenditures 15-22'!K180-SUM('Expenditures 15-22'!G180,'Expenditures 15-22'!I180)+'Expenditures 15-22'!D238</f>
        <v>1597552</v>
      </c>
      <c r="H21" s="988"/>
      <c r="I21" s="162"/>
    </row>
    <row r="22" spans="1:9" s="669" customFormat="1" ht="12" customHeight="1" x14ac:dyDescent="0.2">
      <c r="A22" s="995" t="s">
        <v>585</v>
      </c>
      <c r="B22" s="996"/>
      <c r="C22" s="994">
        <v>2200</v>
      </c>
      <c r="D22" s="1825"/>
      <c r="E22" s="1827">
        <f>'Expenditures 15-22'!K47-SUM('Expenditures 15-22'!G47,'Expenditures 15-22'!I47)+'Expenditures 15-22'!D243</f>
        <v>123936</v>
      </c>
      <c r="F22" s="1825"/>
      <c r="G22" s="1828">
        <f>'Expenditures 15-22'!K47-SUM('Expenditures 15-22'!G47,'Expenditures 15-22'!I47)+'Expenditures 15-22'!D243</f>
        <v>123936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862529</v>
      </c>
      <c r="F23" s="1825"/>
      <c r="G23" s="1827">
        <f>'Expenditures 15-22'!K53-SUM('Expenditures 15-22'!G53,'Expenditures 15-22'!I53)+'Expenditures 15-22'!D257+'Expenditures 15-22'!K330-SUM('Expenditures 15-22'!G330,'Expenditures 15-22'!I330)</f>
        <v>862529</v>
      </c>
      <c r="H23" s="988"/>
      <c r="I23" s="162"/>
    </row>
    <row r="24" spans="1:9" s="669" customFormat="1" ht="12" customHeight="1" x14ac:dyDescent="0.2">
      <c r="A24" s="995" t="s">
        <v>587</v>
      </c>
      <c r="B24" s="996"/>
      <c r="C24" s="994">
        <v>2400</v>
      </c>
      <c r="D24" s="1825"/>
      <c r="E24" s="1827">
        <f>'Expenditures 15-22'!K57-SUM('Expenditures 15-22'!G57,'Expenditures 15-22'!I57)+'Expenditures 15-22'!D261</f>
        <v>304921</v>
      </c>
      <c r="F24" s="1825"/>
      <c r="G24" s="1828">
        <f>'Expenditures 15-22'!K57-SUM('Expenditures 15-22'!G57,'Expenditures 15-22'!I57)+'Expenditures 15-22'!D261</f>
        <v>304921</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224882</v>
      </c>
      <c r="E27" s="1827">
        <f>E8</f>
        <v>0</v>
      </c>
      <c r="F27" s="1827">
        <f>'Expenditures 15-22'!K60-SUM('Expenditures 15-22'!G60,'Expenditures 15-22'!I60)+'Expenditures 15-22'!D264-E8</f>
        <v>224882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341763</v>
      </c>
      <c r="F28" s="1829">
        <f>'Expenditures 15-22'!K61-SUM('Expenditures 15-22'!G61,'Expenditures 15-22'!I61)+'Expenditures 15-22'!K124-SUM('Expenditures 15-22'!G124,'Expenditures 15-22'!I124)+'Expenditures 15-22'!D266-E9</f>
        <v>341763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3765608</v>
      </c>
      <c r="F29" s="1825"/>
      <c r="G29" s="1828">
        <f>'Expenditures 15-22'!K62-SUM('Expenditures 15-22'!G62,'Expenditures 15-22'!I62)+'Expenditures 15-22'!K125-SUM('Expenditures 15-22'!G125,'Expenditures 15-22'!I125)+'Expenditures 15-22'!K182-SUM('Expenditures 15-22'!G182,'Expenditures 15-22'!I182)+'Expenditures 15-22'!D267</f>
        <v>3765608</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1927</v>
      </c>
      <c r="B40" s="992"/>
      <c r="C40" s="994"/>
      <c r="D40" s="1825"/>
      <c r="E40" s="1829">
        <f>-'Contracts Paid in CY 29'!G141</f>
        <v>-409571</v>
      </c>
      <c r="F40" s="1825"/>
      <c r="G40" s="1829">
        <f>-'Contracts Paid in CY 29'!G141</f>
        <v>-409571</v>
      </c>
    </row>
    <row r="41" spans="1:7" ht="12" customHeight="1" x14ac:dyDescent="0.2">
      <c r="A41" s="999" t="s">
        <v>158</v>
      </c>
      <c r="B41" s="1000"/>
      <c r="C41" s="1001"/>
      <c r="D41" s="1829">
        <f>SUM(D19:D39)</f>
        <v>224882</v>
      </c>
      <c r="E41" s="1829">
        <f>SUM(E19:E40)</f>
        <v>11521066</v>
      </c>
      <c r="F41" s="1829">
        <f>SUM(F19:F39)</f>
        <v>566645</v>
      </c>
      <c r="G41" s="1829">
        <f>SUM(G19:G40)</f>
        <v>11179303</v>
      </c>
    </row>
    <row r="42" spans="1:7" x14ac:dyDescent="0.2">
      <c r="A42" s="988"/>
      <c r="B42" s="162"/>
      <c r="C42" s="1002"/>
      <c r="D42" s="2308" t="s">
        <v>543</v>
      </c>
      <c r="E42" s="2309"/>
      <c r="F42" s="1003" t="s">
        <v>544</v>
      </c>
      <c r="G42" s="1004"/>
    </row>
    <row r="43" spans="1:7" ht="12" customHeight="1" x14ac:dyDescent="0.2">
      <c r="A43" s="988"/>
      <c r="B43" s="162"/>
      <c r="C43" s="1002"/>
      <c r="D43" s="1830" t="s">
        <v>493</v>
      </c>
      <c r="E43" s="1831">
        <f>D41</f>
        <v>224882</v>
      </c>
      <c r="F43" s="1830" t="s">
        <v>495</v>
      </c>
      <c r="G43" s="1831">
        <f>F41</f>
        <v>566645</v>
      </c>
    </row>
    <row r="44" spans="1:7" ht="12" customHeight="1" x14ac:dyDescent="0.2">
      <c r="A44" s="988"/>
      <c r="B44" s="162"/>
      <c r="C44" s="1002"/>
      <c r="D44" s="1830" t="s">
        <v>494</v>
      </c>
      <c r="E44" s="1831">
        <f>E41</f>
        <v>11521066</v>
      </c>
      <c r="F44" s="1830" t="s">
        <v>494</v>
      </c>
      <c r="G44" s="1831">
        <f>G41</f>
        <v>11179303</v>
      </c>
    </row>
    <row r="45" spans="1:7" ht="12" customHeight="1" x14ac:dyDescent="0.2">
      <c r="A45" s="988"/>
      <c r="B45" s="162"/>
      <c r="C45" s="162"/>
      <c r="D45" s="1832" t="s">
        <v>1063</v>
      </c>
      <c r="E45" s="1833">
        <f>(E43/E44)</f>
        <v>1.9519200740625912E-2</v>
      </c>
      <c r="F45" s="1832" t="s">
        <v>1063</v>
      </c>
      <c r="G45" s="1833">
        <f>(G43/G44)</f>
        <v>5.0686970377312429E-2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27" t="s">
        <v>1446</v>
      </c>
      <c r="B1" s="2327"/>
      <c r="C1" s="2327"/>
      <c r="D1" s="2327"/>
      <c r="E1" s="2327"/>
      <c r="F1" s="2327"/>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28" t="s">
        <v>1627</v>
      </c>
      <c r="B5" s="2329"/>
      <c r="C5" s="2330"/>
      <c r="D5" s="2330"/>
      <c r="E5" s="2330"/>
      <c r="F5" s="2330"/>
    </row>
    <row r="6" spans="1:10" ht="12" customHeight="1" x14ac:dyDescent="0.25">
      <c r="A6" s="1875"/>
      <c r="B6" s="1876"/>
      <c r="C6" s="2331" t="str">
        <f>COVER!A17</f>
        <v>Lincoln-Way Area SpEd Dist</v>
      </c>
      <c r="D6" s="2331"/>
      <c r="E6" s="2331"/>
      <c r="F6" s="1877"/>
    </row>
    <row r="7" spans="1:10" ht="11.25" customHeight="1" thickBot="1" x14ac:dyDescent="0.3">
      <c r="A7" s="1875"/>
      <c r="B7" s="1876"/>
      <c r="C7" s="2332">
        <f>COVER!A13</f>
        <v>56099843060</v>
      </c>
      <c r="D7" s="2332"/>
      <c r="E7" s="2332"/>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t="s">
        <v>2125</v>
      </c>
      <c r="D11" s="1890" t="s">
        <v>2125</v>
      </c>
      <c r="E11" s="1891" t="s">
        <v>2125</v>
      </c>
      <c r="F11" s="1892"/>
      <c r="H11" s="1903">
        <f>IF(C11="X",5,0)</f>
        <v>5</v>
      </c>
      <c r="I11" s="1903">
        <f>IF(D11="X",5,0)</f>
        <v>5</v>
      </c>
      <c r="J11" s="1903">
        <f>IF(E11="X",5,0)</f>
        <v>5</v>
      </c>
    </row>
    <row r="12" spans="1:10" ht="12" customHeight="1" x14ac:dyDescent="0.2">
      <c r="A12" s="1888" t="s">
        <v>1451</v>
      </c>
      <c r="B12" s="1889"/>
      <c r="C12" s="1890" t="s">
        <v>2125</v>
      </c>
      <c r="D12" s="1890" t="s">
        <v>2125</v>
      </c>
      <c r="E12" s="1893" t="s">
        <v>2125</v>
      </c>
      <c r="F12" s="1892"/>
      <c r="H12" s="1903">
        <f t="shared" ref="H12:H33" si="0">IF(C12="X",5,0)</f>
        <v>5</v>
      </c>
      <c r="I12" s="1903">
        <f t="shared" ref="I12:I33" si="1">IF(D12="X",5,0)</f>
        <v>5</v>
      </c>
      <c r="J12" s="1903">
        <f t="shared" ref="J12:J33" si="2">IF(E12="X",5,0)</f>
        <v>5</v>
      </c>
    </row>
    <row r="13" spans="1:10" ht="12" customHeight="1" x14ac:dyDescent="0.2">
      <c r="A13" s="1888" t="s">
        <v>1452</v>
      </c>
      <c r="B13" s="1889"/>
      <c r="C13" s="1890" t="s">
        <v>2125</v>
      </c>
      <c r="D13" s="1890" t="s">
        <v>2125</v>
      </c>
      <c r="E13" s="1893" t="s">
        <v>2125</v>
      </c>
      <c r="F13" s="1892"/>
      <c r="H13" s="1903">
        <f t="shared" si="0"/>
        <v>5</v>
      </c>
      <c r="I13" s="1903">
        <f t="shared" si="1"/>
        <v>5</v>
      </c>
      <c r="J13" s="1903">
        <f t="shared" si="2"/>
        <v>5</v>
      </c>
    </row>
    <row r="14" spans="1:10" ht="12" customHeight="1" x14ac:dyDescent="0.2">
      <c r="A14" s="1888" t="s">
        <v>1453</v>
      </c>
      <c r="B14" s="1889"/>
      <c r="C14" s="1890" t="s">
        <v>2125</v>
      </c>
      <c r="D14" s="1890" t="s">
        <v>2125</v>
      </c>
      <c r="E14" s="1893" t="s">
        <v>2125</v>
      </c>
      <c r="F14" s="1892"/>
      <c r="H14" s="1903">
        <f t="shared" si="0"/>
        <v>5</v>
      </c>
      <c r="I14" s="1903">
        <f t="shared" si="1"/>
        <v>5</v>
      </c>
      <c r="J14" s="1903">
        <f t="shared" si="2"/>
        <v>5</v>
      </c>
    </row>
    <row r="15" spans="1:10" ht="12" customHeight="1" x14ac:dyDescent="0.2">
      <c r="A15" s="1888" t="s">
        <v>1454</v>
      </c>
      <c r="B15" s="1889"/>
      <c r="C15" s="1890" t="s">
        <v>2125</v>
      </c>
      <c r="D15" s="1890" t="s">
        <v>2125</v>
      </c>
      <c r="E15" s="1893" t="s">
        <v>2125</v>
      </c>
      <c r="F15" s="1892"/>
      <c r="H15" s="1903">
        <f t="shared" si="0"/>
        <v>5</v>
      </c>
      <c r="I15" s="1903">
        <f t="shared" si="1"/>
        <v>5</v>
      </c>
      <c r="J15" s="1903">
        <f t="shared" si="2"/>
        <v>5</v>
      </c>
    </row>
    <row r="16" spans="1:10" ht="12" customHeight="1" x14ac:dyDescent="0.2">
      <c r="A16" s="1888" t="s">
        <v>1455</v>
      </c>
      <c r="B16" s="1889"/>
      <c r="C16" s="1890" t="s">
        <v>2125</v>
      </c>
      <c r="D16" s="1890" t="s">
        <v>2125</v>
      </c>
      <c r="E16" s="1893" t="s">
        <v>2125</v>
      </c>
      <c r="F16" s="1892"/>
      <c r="H16" s="1903">
        <f t="shared" si="0"/>
        <v>5</v>
      </c>
      <c r="I16" s="1903">
        <f t="shared" si="1"/>
        <v>5</v>
      </c>
      <c r="J16" s="1903">
        <f t="shared" si="2"/>
        <v>5</v>
      </c>
    </row>
    <row r="17" spans="1:12" ht="12" customHeight="1" x14ac:dyDescent="0.2">
      <c r="A17" s="1888" t="s">
        <v>1456</v>
      </c>
      <c r="B17" s="1889"/>
      <c r="C17" s="1890" t="s">
        <v>2125</v>
      </c>
      <c r="D17" s="1890" t="s">
        <v>2125</v>
      </c>
      <c r="E17" s="1893" t="s">
        <v>2125</v>
      </c>
      <c r="F17" s="1892"/>
      <c r="H17" s="1903">
        <f t="shared" si="0"/>
        <v>5</v>
      </c>
      <c r="I17" s="1903">
        <f t="shared" si="1"/>
        <v>5</v>
      </c>
      <c r="J17" s="1903">
        <f t="shared" si="2"/>
        <v>5</v>
      </c>
    </row>
    <row r="18" spans="1:12" ht="12" customHeight="1" x14ac:dyDescent="0.2">
      <c r="A18" s="1888" t="s">
        <v>1457</v>
      </c>
      <c r="B18" s="1889"/>
      <c r="C18" s="1890" t="s">
        <v>2125</v>
      </c>
      <c r="D18" s="1890" t="s">
        <v>2125</v>
      </c>
      <c r="E18" s="1893" t="s">
        <v>2125</v>
      </c>
      <c r="F18" s="1892"/>
      <c r="H18" s="1903">
        <f t="shared" si="0"/>
        <v>5</v>
      </c>
      <c r="I18" s="1903">
        <f t="shared" si="1"/>
        <v>5</v>
      </c>
      <c r="J18" s="1903">
        <f t="shared" si="2"/>
        <v>5</v>
      </c>
    </row>
    <row r="19" spans="1:12" ht="12" customHeight="1" x14ac:dyDescent="0.2">
      <c r="A19" s="1888" t="s">
        <v>1608</v>
      </c>
      <c r="B19" s="1889"/>
      <c r="C19" s="1890" t="s">
        <v>2125</v>
      </c>
      <c r="D19" s="1890" t="s">
        <v>2125</v>
      </c>
      <c r="E19" s="1893" t="s">
        <v>2125</v>
      </c>
      <c r="F19" s="1892"/>
      <c r="H19" s="1903">
        <f t="shared" si="0"/>
        <v>5</v>
      </c>
      <c r="I19" s="1903">
        <f t="shared" si="1"/>
        <v>5</v>
      </c>
      <c r="J19" s="1903">
        <f t="shared" si="2"/>
        <v>5</v>
      </c>
    </row>
    <row r="20" spans="1:12" ht="12" customHeight="1" x14ac:dyDescent="0.2">
      <c r="A20" s="1888" t="s">
        <v>1609</v>
      </c>
      <c r="B20" s="1889"/>
      <c r="C20" s="1890" t="s">
        <v>2125</v>
      </c>
      <c r="D20" s="1890" t="s">
        <v>2125</v>
      </c>
      <c r="E20" s="1893" t="s">
        <v>2125</v>
      </c>
      <c r="F20" s="1892"/>
      <c r="H20" s="1903">
        <f t="shared" si="0"/>
        <v>5</v>
      </c>
      <c r="I20" s="1903">
        <f t="shared" si="1"/>
        <v>5</v>
      </c>
      <c r="J20" s="1903">
        <f t="shared" si="2"/>
        <v>5</v>
      </c>
    </row>
    <row r="21" spans="1:12" ht="12" customHeight="1" x14ac:dyDescent="0.2">
      <c r="A21" s="1888" t="s">
        <v>1610</v>
      </c>
      <c r="B21" s="1889"/>
      <c r="C21" s="1890" t="s">
        <v>2125</v>
      </c>
      <c r="D21" s="1890" t="s">
        <v>2125</v>
      </c>
      <c r="E21" s="1893" t="s">
        <v>2125</v>
      </c>
      <c r="F21" s="1892"/>
      <c r="H21" s="1903">
        <f t="shared" si="0"/>
        <v>5</v>
      </c>
      <c r="I21" s="1903">
        <f t="shared" si="1"/>
        <v>5</v>
      </c>
      <c r="J21" s="1903">
        <f t="shared" si="2"/>
        <v>5</v>
      </c>
    </row>
    <row r="22" spans="1:12" ht="12" customHeight="1" x14ac:dyDescent="0.2">
      <c r="A22" s="1888" t="s">
        <v>1611</v>
      </c>
      <c r="B22" s="1889"/>
      <c r="C22" s="1890" t="s">
        <v>2125</v>
      </c>
      <c r="D22" s="1890" t="s">
        <v>2125</v>
      </c>
      <c r="E22" s="1893" t="s">
        <v>2125</v>
      </c>
      <c r="F22" s="1892"/>
      <c r="H22" s="1903">
        <f t="shared" si="0"/>
        <v>5</v>
      </c>
      <c r="I22" s="1903">
        <f t="shared" si="1"/>
        <v>5</v>
      </c>
      <c r="J22" s="1903">
        <f t="shared" si="2"/>
        <v>5</v>
      </c>
    </row>
    <row r="23" spans="1:12" ht="12" customHeight="1" x14ac:dyDescent="0.2">
      <c r="A23" s="1888" t="s">
        <v>1612</v>
      </c>
      <c r="B23" s="1889"/>
      <c r="C23" s="1890" t="s">
        <v>2125</v>
      </c>
      <c r="D23" s="1890" t="s">
        <v>2125</v>
      </c>
      <c r="E23" s="1893" t="s">
        <v>2125</v>
      </c>
      <c r="F23" s="1892"/>
      <c r="H23" s="1903">
        <f t="shared" si="0"/>
        <v>5</v>
      </c>
      <c r="I23" s="1903">
        <f t="shared" si="1"/>
        <v>5</v>
      </c>
      <c r="J23" s="1903">
        <f t="shared" si="2"/>
        <v>5</v>
      </c>
    </row>
    <row r="24" spans="1:12" ht="12" customHeight="1" x14ac:dyDescent="0.2">
      <c r="A24" s="1888" t="s">
        <v>1613</v>
      </c>
      <c r="B24" s="1889"/>
      <c r="C24" s="1890" t="s">
        <v>2125</v>
      </c>
      <c r="D24" s="1890" t="s">
        <v>2125</v>
      </c>
      <c r="E24" s="1893" t="s">
        <v>2125</v>
      </c>
      <c r="F24" s="1892"/>
      <c r="H24" s="1903">
        <f t="shared" si="0"/>
        <v>5</v>
      </c>
      <c r="I24" s="1903">
        <f t="shared" si="1"/>
        <v>5</v>
      </c>
      <c r="J24" s="1903">
        <f t="shared" si="2"/>
        <v>5</v>
      </c>
    </row>
    <row r="25" spans="1:12" ht="12" customHeight="1" x14ac:dyDescent="0.2">
      <c r="A25" s="1888" t="s">
        <v>1614</v>
      </c>
      <c r="B25" s="1889"/>
      <c r="C25" s="1890" t="s">
        <v>2125</v>
      </c>
      <c r="D25" s="1890" t="s">
        <v>2125</v>
      </c>
      <c r="E25" s="1893" t="s">
        <v>2125</v>
      </c>
      <c r="F25" s="1892"/>
      <c r="H25" s="1903">
        <f t="shared" si="0"/>
        <v>5</v>
      </c>
      <c r="I25" s="1903">
        <f t="shared" si="1"/>
        <v>5</v>
      </c>
      <c r="J25" s="1903">
        <f t="shared" si="2"/>
        <v>5</v>
      </c>
    </row>
    <row r="26" spans="1:12" ht="12" customHeight="1" x14ac:dyDescent="0.2">
      <c r="A26" s="1888" t="s">
        <v>1615</v>
      </c>
      <c r="B26" s="1889"/>
      <c r="C26" s="1890" t="s">
        <v>2125</v>
      </c>
      <c r="D26" s="1890" t="s">
        <v>2125</v>
      </c>
      <c r="E26" s="1893" t="s">
        <v>2125</v>
      </c>
      <c r="F26" s="1892"/>
      <c r="H26" s="1903">
        <f t="shared" si="0"/>
        <v>5</v>
      </c>
      <c r="I26" s="1903">
        <f t="shared" si="1"/>
        <v>5</v>
      </c>
      <c r="J26" s="1903">
        <f t="shared" si="2"/>
        <v>5</v>
      </c>
    </row>
    <row r="27" spans="1:12" ht="18.75" x14ac:dyDescent="0.2">
      <c r="A27" s="1888" t="s">
        <v>1616</v>
      </c>
      <c r="B27" s="1889"/>
      <c r="C27" s="1890" t="s">
        <v>2125</v>
      </c>
      <c r="D27" s="1890" t="s">
        <v>2125</v>
      </c>
      <c r="E27" s="1893" t="s">
        <v>2125</v>
      </c>
      <c r="F27" s="1892"/>
      <c r="H27" s="1903">
        <f t="shared" si="0"/>
        <v>5</v>
      </c>
      <c r="I27" s="1903">
        <f t="shared" si="1"/>
        <v>5</v>
      </c>
      <c r="J27" s="1903">
        <f t="shared" si="2"/>
        <v>5</v>
      </c>
    </row>
    <row r="28" spans="1:12" ht="12" customHeight="1" x14ac:dyDescent="0.2">
      <c r="A28" s="1888" t="s">
        <v>1617</v>
      </c>
      <c r="B28" s="1889"/>
      <c r="C28" s="1890" t="s">
        <v>2125</v>
      </c>
      <c r="D28" s="1890" t="s">
        <v>2125</v>
      </c>
      <c r="E28" s="1893" t="s">
        <v>2125</v>
      </c>
      <c r="F28" s="1892"/>
      <c r="H28" s="1903">
        <f t="shared" si="0"/>
        <v>5</v>
      </c>
      <c r="I28" s="1903">
        <f t="shared" si="1"/>
        <v>5</v>
      </c>
      <c r="J28" s="1903">
        <f t="shared" si="2"/>
        <v>5</v>
      </c>
    </row>
    <row r="29" spans="1:12" ht="12" customHeight="1" x14ac:dyDescent="0.2">
      <c r="A29" s="1888" t="s">
        <v>1618</v>
      </c>
      <c r="B29" s="1889"/>
      <c r="C29" s="1890" t="s">
        <v>2125</v>
      </c>
      <c r="D29" s="1890" t="s">
        <v>2125</v>
      </c>
      <c r="E29" s="1893" t="s">
        <v>2125</v>
      </c>
      <c r="F29" s="1892"/>
      <c r="H29" s="1903">
        <f t="shared" si="0"/>
        <v>5</v>
      </c>
      <c r="I29" s="1903">
        <f t="shared" si="1"/>
        <v>5</v>
      </c>
      <c r="J29" s="1903">
        <f t="shared" si="2"/>
        <v>5</v>
      </c>
    </row>
    <row r="30" spans="1:12" ht="12" customHeight="1" x14ac:dyDescent="0.2">
      <c r="A30" s="1888" t="s">
        <v>1619</v>
      </c>
      <c r="B30" s="1889"/>
      <c r="C30" s="1890" t="s">
        <v>2125</v>
      </c>
      <c r="D30" s="1890" t="s">
        <v>2125</v>
      </c>
      <c r="E30" s="1893" t="s">
        <v>2125</v>
      </c>
      <c r="F30" s="1892"/>
      <c r="H30" s="1903">
        <f t="shared" si="0"/>
        <v>5</v>
      </c>
      <c r="I30" s="1903">
        <f t="shared" si="1"/>
        <v>5</v>
      </c>
      <c r="J30" s="1903">
        <f t="shared" si="2"/>
        <v>5</v>
      </c>
    </row>
    <row r="31" spans="1:12" ht="12" customHeight="1" x14ac:dyDescent="0.2">
      <c r="A31" s="1888" t="s">
        <v>1620</v>
      </c>
      <c r="B31" s="1889"/>
      <c r="C31" s="1890" t="s">
        <v>2125</v>
      </c>
      <c r="D31" s="1890" t="s">
        <v>2125</v>
      </c>
      <c r="E31" s="1893" t="s">
        <v>2125</v>
      </c>
      <c r="F31" s="1892"/>
      <c r="H31" s="1903">
        <f t="shared" si="0"/>
        <v>5</v>
      </c>
      <c r="I31" s="1903">
        <f t="shared" si="1"/>
        <v>5</v>
      </c>
      <c r="J31" s="1903">
        <f t="shared" si="2"/>
        <v>5</v>
      </c>
      <c r="L31" s="1894"/>
    </row>
    <row r="32" spans="1:12" ht="12" customHeight="1" x14ac:dyDescent="0.2">
      <c r="A32" s="1888" t="s">
        <v>1621</v>
      </c>
      <c r="B32" s="1889"/>
      <c r="C32" s="1890" t="s">
        <v>2125</v>
      </c>
      <c r="D32" s="1890" t="s">
        <v>2125</v>
      </c>
      <c r="E32" s="1893" t="s">
        <v>2125</v>
      </c>
      <c r="F32" s="1892"/>
      <c r="H32" s="1903">
        <f t="shared" si="0"/>
        <v>5</v>
      </c>
      <c r="I32" s="1903">
        <f t="shared" si="1"/>
        <v>5</v>
      </c>
      <c r="J32" s="1903">
        <f t="shared" si="2"/>
        <v>5</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110</v>
      </c>
      <c r="I34" s="1903">
        <f>SUM(I11:I32)</f>
        <v>110</v>
      </c>
      <c r="J34" s="1903">
        <f>SUM(J11:J32)</f>
        <v>110</v>
      </c>
      <c r="K34" s="1903">
        <f>SUM(H34:J34)</f>
        <v>330</v>
      </c>
    </row>
    <row r="35" spans="1:11" ht="12" customHeight="1" x14ac:dyDescent="0.2">
      <c r="A35" s="1896" t="s">
        <v>1459</v>
      </c>
      <c r="B35" s="1897"/>
      <c r="C35" s="2333"/>
      <c r="D35" s="2333"/>
      <c r="E35" s="2333"/>
      <c r="F35" s="2334"/>
    </row>
    <row r="36" spans="1:11" ht="12" customHeight="1" x14ac:dyDescent="0.2">
      <c r="A36" s="2316"/>
      <c r="B36" s="2317"/>
      <c r="C36" s="2317"/>
      <c r="D36" s="2317"/>
      <c r="E36" s="2317"/>
      <c r="F36" s="2318"/>
    </row>
    <row r="37" spans="1:11" ht="12" customHeight="1" x14ac:dyDescent="0.2">
      <c r="A37" s="2316"/>
      <c r="B37" s="2317"/>
      <c r="C37" s="2317"/>
      <c r="D37" s="2317"/>
      <c r="E37" s="2317"/>
      <c r="F37" s="2318"/>
    </row>
    <row r="38" spans="1:11" ht="12" customHeight="1" x14ac:dyDescent="0.2">
      <c r="A38" s="2319"/>
      <c r="B38" s="2320"/>
      <c r="C38" s="2320"/>
      <c r="D38" s="2320"/>
      <c r="E38" s="2320"/>
      <c r="F38" s="2321"/>
    </row>
    <row r="39" spans="1:11" ht="4.5" hidden="1" customHeight="1" x14ac:dyDescent="0.2">
      <c r="A39" s="1898"/>
      <c r="B39" s="1898"/>
      <c r="C39" s="1898"/>
      <c r="D39" s="1898"/>
      <c r="E39" s="1898"/>
      <c r="F39" s="1898"/>
    </row>
    <row r="40" spans="1:11" s="1895" customFormat="1" ht="12" customHeight="1" x14ac:dyDescent="0.25">
      <c r="A40" s="1899" t="s">
        <v>1458</v>
      </c>
      <c r="B40" s="1900"/>
      <c r="C40" s="2322"/>
      <c r="D40" s="2322"/>
      <c r="E40" s="2322"/>
      <c r="F40" s="2323"/>
      <c r="H40" s="1904"/>
      <c r="I40" s="1904"/>
      <c r="J40" s="1904"/>
      <c r="K40" s="1904"/>
    </row>
    <row r="41" spans="1:11" s="1895" customFormat="1" ht="12" customHeight="1" x14ac:dyDescent="0.25">
      <c r="A41" s="2324"/>
      <c r="B41" s="2325"/>
      <c r="C41" s="2325"/>
      <c r="D41" s="2325"/>
      <c r="E41" s="2325"/>
      <c r="F41" s="2326"/>
      <c r="H41" s="1904"/>
      <c r="I41" s="1904"/>
      <c r="J41" s="1904"/>
      <c r="K41" s="1904"/>
    </row>
    <row r="42" spans="1:11" s="1895" customFormat="1" ht="12" customHeight="1" x14ac:dyDescent="0.25">
      <c r="A42" s="2324"/>
      <c r="B42" s="2325"/>
      <c r="C42" s="2325"/>
      <c r="D42" s="2325"/>
      <c r="E42" s="2325"/>
      <c r="F42" s="2326"/>
      <c r="H42" s="1904"/>
      <c r="I42" s="1904"/>
      <c r="J42" s="1904"/>
      <c r="K42" s="1904"/>
    </row>
    <row r="43" spans="1:11" s="1895" customFormat="1" ht="15" x14ac:dyDescent="0.25">
      <c r="A43" s="2313"/>
      <c r="B43" s="2314"/>
      <c r="C43" s="2314"/>
      <c r="D43" s="2314"/>
      <c r="E43" s="2314"/>
      <c r="F43" s="2315"/>
      <c r="H43" s="1904"/>
      <c r="I43" s="1904"/>
      <c r="J43" s="1904"/>
      <c r="K43" s="1904"/>
    </row>
    <row r="44" spans="1:11" s="1895" customFormat="1" ht="12" hidden="1" customHeight="1" x14ac:dyDescent="0.25">
      <c r="A44" s="2313"/>
      <c r="B44" s="2314"/>
      <c r="C44" s="2314"/>
      <c r="D44" s="2314"/>
      <c r="E44" s="2314"/>
      <c r="F44" s="2315"/>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40" t="str">
        <f>COVER!A17</f>
        <v>Lincoln-Way Area SpEd Dist</v>
      </c>
      <c r="J6" s="2341"/>
      <c r="Q6" s="1686"/>
    </row>
    <row r="7" spans="1:17" x14ac:dyDescent="0.2">
      <c r="A7" s="2342" t="s">
        <v>924</v>
      </c>
      <c r="B7" s="2343"/>
      <c r="C7" s="2343"/>
      <c r="D7" s="2343"/>
      <c r="E7" s="2344"/>
      <c r="F7" s="1018"/>
      <c r="G7" s="1010"/>
      <c r="H7" s="1017" t="s">
        <v>390</v>
      </c>
      <c r="I7" s="2345">
        <f>COVER!A13</f>
        <v>56099843060</v>
      </c>
      <c r="J7" s="2345"/>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6" t="s">
        <v>502</v>
      </c>
      <c r="B11" s="2347"/>
      <c r="C11" s="2348"/>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680894</v>
      </c>
      <c r="F12" s="1040"/>
      <c r="G12" s="1834">
        <f t="shared" ref="G12:G18" si="0">SUM(E12:F12)</f>
        <v>680894</v>
      </c>
      <c r="H12" s="1041">
        <v>631788</v>
      </c>
      <c r="I12" s="1040"/>
      <c r="J12" s="1834">
        <f t="shared" ref="J12:J18" si="1">SUM(H12:I12)</f>
        <v>631788</v>
      </c>
    </row>
    <row r="13" spans="1:17" ht="15" customHeight="1" x14ac:dyDescent="0.2">
      <c r="A13" s="1036">
        <v>2</v>
      </c>
      <c r="B13" s="1037" t="s">
        <v>44</v>
      </c>
      <c r="C13" s="1038"/>
      <c r="D13" s="1039">
        <v>2330</v>
      </c>
      <c r="E13" s="1834">
        <f>'Expenditures 15-22'!K51</f>
        <v>181635</v>
      </c>
      <c r="F13" s="1040"/>
      <c r="G13" s="1834">
        <f t="shared" si="0"/>
        <v>181635</v>
      </c>
      <c r="H13" s="1041">
        <v>198480</v>
      </c>
      <c r="I13" s="1040"/>
      <c r="J13" s="1834">
        <f t="shared" si="1"/>
        <v>198480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9" t="s">
        <v>7</v>
      </c>
      <c r="C18" s="2350"/>
      <c r="D18" s="2351"/>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862529</v>
      </c>
      <c r="F19" s="1836">
        <f t="shared" si="2"/>
        <v>0</v>
      </c>
      <c r="G19" s="1836">
        <f t="shared" si="2"/>
        <v>862529</v>
      </c>
      <c r="H19" s="1836">
        <f t="shared" si="2"/>
        <v>830268</v>
      </c>
      <c r="I19" s="1836">
        <f t="shared" si="2"/>
        <v>0</v>
      </c>
      <c r="J19" s="1836">
        <f t="shared" si="2"/>
        <v>830268</v>
      </c>
    </row>
    <row r="20" spans="1:10" ht="13.5" thickTop="1" x14ac:dyDescent="0.2">
      <c r="A20" s="1036">
        <v>9</v>
      </c>
      <c r="B20" s="2352" t="s">
        <v>1703</v>
      </c>
      <c r="C20" s="2352"/>
      <c r="D20" s="2353"/>
      <c r="E20" s="1047"/>
      <c r="F20" s="1047"/>
      <c r="G20" s="1047"/>
      <c r="H20" s="1047"/>
      <c r="I20" s="1047"/>
      <c r="J20" s="1837">
        <f>IF(AND(G19&gt;0,J19&gt;0),(((J19-G19)/G19)),"Enter Budget Data")</f>
        <v>-3.7402800369610759E-2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8"/>
      <c r="D26" s="2358"/>
      <c r="E26" s="1051"/>
      <c r="F26" s="2357"/>
      <c r="G26" s="2357"/>
    </row>
    <row r="27" spans="1:10" x14ac:dyDescent="0.2">
      <c r="B27" s="1048"/>
      <c r="C27" s="1052" t="s">
        <v>1093</v>
      </c>
      <c r="D27" s="1053"/>
      <c r="E27" s="1054"/>
      <c r="F27" s="2354" t="s">
        <v>1589</v>
      </c>
      <c r="G27" s="2354"/>
    </row>
    <row r="28" spans="1:10" ht="28.5" customHeight="1" x14ac:dyDescent="0.2">
      <c r="B28" s="1048"/>
      <c r="C28" s="2356"/>
      <c r="D28" s="2356"/>
      <c r="E28" s="1055"/>
      <c r="F28" s="2356"/>
      <c r="G28" s="2356"/>
    </row>
    <row r="29" spans="1:10" x14ac:dyDescent="0.2">
      <c r="B29" s="1048"/>
      <c r="C29" s="1056" t="s">
        <v>1642</v>
      </c>
      <c r="E29" s="1057"/>
      <c r="F29" s="2355" t="s">
        <v>1590</v>
      </c>
      <c r="G29" s="2355"/>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7" t="s">
        <v>134</v>
      </c>
      <c r="D33" s="2338"/>
      <c r="E33" s="2338"/>
      <c r="F33" s="2338"/>
      <c r="G33" s="2338"/>
      <c r="H33" s="2338"/>
      <c r="I33" s="2338"/>
    </row>
    <row r="34" spans="1:10" ht="10.35" customHeight="1" x14ac:dyDescent="0.2">
      <c r="C34" s="2338"/>
      <c r="D34" s="2338"/>
      <c r="E34" s="2338"/>
      <c r="F34" s="2338"/>
      <c r="G34" s="2338"/>
      <c r="H34" s="2338"/>
      <c r="I34" s="2338"/>
    </row>
    <row r="35" spans="1:10" ht="7.5" customHeight="1" x14ac:dyDescent="0.2">
      <c r="C35" s="1063"/>
    </row>
    <row r="36" spans="1:10" ht="13.5" customHeight="1" x14ac:dyDescent="0.2">
      <c r="B36" s="1062"/>
      <c r="C36" s="2339" t="s">
        <v>1941</v>
      </c>
      <c r="D36" s="2338"/>
      <c r="E36" s="2338"/>
      <c r="F36" s="2338"/>
      <c r="G36" s="2338"/>
      <c r="H36" s="2338"/>
      <c r="I36" s="2338"/>
      <c r="J36" s="1064"/>
    </row>
    <row r="37" spans="1:10" ht="22.5" customHeight="1" x14ac:dyDescent="0.2">
      <c r="C37" s="2338"/>
      <c r="D37" s="2338"/>
      <c r="E37" s="2338"/>
      <c r="F37" s="2338"/>
      <c r="G37" s="2338"/>
      <c r="H37" s="2338"/>
      <c r="I37" s="2338"/>
      <c r="J37" s="1064"/>
    </row>
    <row r="38" spans="1:10" ht="7.5" customHeight="1" x14ac:dyDescent="0.2">
      <c r="C38" s="1063"/>
      <c r="D38" s="1065"/>
      <c r="E38" s="1066"/>
      <c r="F38" s="1067"/>
      <c r="G38" s="1066"/>
    </row>
    <row r="39" spans="1:10" ht="13.5" customHeight="1" x14ac:dyDescent="0.2">
      <c r="B39" s="1062"/>
      <c r="C39" s="2335" t="s">
        <v>937</v>
      </c>
      <c r="D39" s="2336"/>
      <c r="E39" s="2336"/>
      <c r="F39" s="2336"/>
      <c r="G39" s="2336"/>
      <c r="H39" s="2336"/>
      <c r="I39" s="2336"/>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2" sqref="A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Lincoln-Way Area SpEd Dist</v>
      </c>
    </row>
    <row r="65" spans="2:2" x14ac:dyDescent="0.2">
      <c r="B65" s="1071">
        <f>COVER!A13</f>
        <v>56099843060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81"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6" t="s">
        <v>1125</v>
      </c>
      <c r="B35" s="2076"/>
      <c r="C35" s="2076"/>
      <c r="D35" s="2076"/>
      <c r="E35" s="207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3" t="s">
        <v>715</v>
      </c>
      <c r="B40" s="2073"/>
      <c r="C40" s="2073"/>
      <c r="D40" s="2073"/>
      <c r="E40" s="2073"/>
    </row>
    <row r="41" spans="1:5" x14ac:dyDescent="0.2">
      <c r="A41" s="2074" t="s">
        <v>1706</v>
      </c>
      <c r="B41" s="2074"/>
      <c r="C41" s="2074"/>
      <c r="D41" s="2074"/>
      <c r="E41" s="2074"/>
    </row>
    <row r="42" spans="1:5" ht="12.75" customHeight="1" x14ac:dyDescent="0.2">
      <c r="A42" s="2075" t="s">
        <v>1080</v>
      </c>
      <c r="B42" s="2075"/>
      <c r="C42" s="2075"/>
      <c r="D42" s="2075"/>
      <c r="E42" s="207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9" t="s">
        <v>1784</v>
      </c>
      <c r="B18" s="235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2</xdr:col>
                <xdr:colOff>0</xdr:colOff>
                <xdr:row>6</xdr:row>
                <xdr:rowOff>0</xdr:rowOff>
              </from>
              <to>
                <xdr:col>3</xdr:col>
                <xdr:colOff>304800</xdr:colOff>
                <xdr:row>10</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3</xdr:col>
                <xdr:colOff>581025</xdr:colOff>
                <xdr:row>5</xdr:row>
                <xdr:rowOff>133350</xdr:rowOff>
              </from>
              <to>
                <xdr:col>5</xdr:col>
                <xdr:colOff>276225</xdr:colOff>
                <xdr:row>10</xdr:row>
                <xdr:rowOff>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5</xdr:col>
                <xdr:colOff>571500</xdr:colOff>
                <xdr:row>5</xdr:row>
                <xdr:rowOff>104775</xdr:rowOff>
              </from>
              <to>
                <xdr:col>7</xdr:col>
                <xdr:colOff>266700</xdr:colOff>
                <xdr:row>9</xdr:row>
                <xdr:rowOff>142875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0" t="s">
        <v>1790</v>
      </c>
      <c r="B1" s="2361"/>
      <c r="C1" s="2361"/>
      <c r="D1" s="2361"/>
      <c r="E1" s="2361"/>
      <c r="F1" s="2362"/>
    </row>
    <row r="2" spans="1:8" ht="45" customHeight="1" x14ac:dyDescent="0.2">
      <c r="A2" s="2370" t="s">
        <v>1791</v>
      </c>
      <c r="B2" s="2371"/>
      <c r="C2" s="2371"/>
      <c r="D2" s="2371"/>
      <c r="E2" s="2371"/>
      <c r="F2" s="2372"/>
      <c r="G2" s="1075"/>
      <c r="H2" s="1075"/>
    </row>
    <row r="3" spans="1:8" ht="57" customHeight="1" x14ac:dyDescent="0.2">
      <c r="A3" s="2373" t="s">
        <v>1786</v>
      </c>
      <c r="B3" s="2374"/>
      <c r="C3" s="2374"/>
      <c r="D3" s="2374"/>
      <c r="E3" s="2374"/>
      <c r="F3" s="2375"/>
      <c r="G3" s="1075"/>
      <c r="H3" s="1075"/>
    </row>
    <row r="4" spans="1:8" ht="14.25" customHeight="1" x14ac:dyDescent="0.2">
      <c r="A4" s="2379" t="s">
        <v>2053</v>
      </c>
      <c r="B4" s="2380"/>
      <c r="C4" s="2380"/>
      <c r="D4" s="2380"/>
      <c r="E4" s="2380"/>
      <c r="F4" s="2381"/>
      <c r="G4" s="1075"/>
      <c r="H4" s="1075"/>
    </row>
    <row r="5" spans="1:8" ht="14.25" customHeight="1" x14ac:dyDescent="0.2">
      <c r="A5" s="2382" t="s">
        <v>2054</v>
      </c>
      <c r="B5" s="2383"/>
      <c r="C5" s="2383"/>
      <c r="D5" s="2383"/>
      <c r="E5" s="2383"/>
      <c r="F5" s="2384"/>
      <c r="G5" s="1075"/>
      <c r="H5" s="1075"/>
    </row>
    <row r="6" spans="1:8" s="1076" customFormat="1" ht="41.25" customHeight="1" x14ac:dyDescent="0.2">
      <c r="A6" s="2376" t="s">
        <v>1792</v>
      </c>
      <c r="B6" s="2377"/>
      <c r="C6" s="2377"/>
      <c r="D6" s="2377"/>
      <c r="E6" s="2377"/>
      <c r="F6" s="2378"/>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12626306</v>
      </c>
      <c r="C8" s="1838">
        <f>'Acct Summary 7-8'!D8</f>
        <v>513782</v>
      </c>
      <c r="D8" s="1838">
        <f>'Acct Summary 7-8'!F8</f>
        <v>3803573</v>
      </c>
      <c r="E8" s="1838">
        <f>'Acct Summary 7-8'!I8</f>
        <v>0</v>
      </c>
      <c r="F8" s="1838">
        <f>SUM(B8:E8)</f>
        <v>16943661</v>
      </c>
    </row>
    <row r="9" spans="1:8" s="1080" customFormat="1" ht="14.25" customHeight="1" thickBot="1" x14ac:dyDescent="0.25">
      <c r="A9" s="1079" t="s">
        <v>1436</v>
      </c>
      <c r="B9" s="1839">
        <f>'Acct Summary 7-8'!C17</f>
        <v>11417261</v>
      </c>
      <c r="C9" s="1839">
        <f>'Acct Summary 7-8'!D17</f>
        <v>346455</v>
      </c>
      <c r="D9" s="1839">
        <f>'Acct Summary 7-8'!F17</f>
        <v>3757227</v>
      </c>
      <c r="E9" s="1838"/>
      <c r="F9" s="1838">
        <f>SUM(B9:E9)</f>
        <v>15520943</v>
      </c>
    </row>
    <row r="10" spans="1:8" s="1080" customFormat="1" ht="14.25" thickTop="1" thickBot="1" x14ac:dyDescent="0.25">
      <c r="A10" s="1081" t="s">
        <v>1437</v>
      </c>
      <c r="B10" s="1840">
        <f>(B8-B9)</f>
        <v>1209045</v>
      </c>
      <c r="C10" s="1840">
        <f>(C8-C9)</f>
        <v>167327</v>
      </c>
      <c r="D10" s="1840">
        <f>(D8-D9)</f>
        <v>46346</v>
      </c>
      <c r="E10" s="1839">
        <f>(E8-E9)</f>
        <v>0</v>
      </c>
      <c r="F10" s="1841">
        <f>SUM(F8-F9)</f>
        <v>1422718</v>
      </c>
    </row>
    <row r="11" spans="1:8" s="1080" customFormat="1" ht="14.25" thickTop="1" thickBot="1" x14ac:dyDescent="0.25">
      <c r="A11" s="1082" t="s">
        <v>1785</v>
      </c>
      <c r="B11" s="1842">
        <f>'Acct Summary 7-8'!C81</f>
        <v>3188266</v>
      </c>
      <c r="C11" s="1842">
        <f>'Acct Summary 7-8'!D81</f>
        <v>187967</v>
      </c>
      <c r="D11" s="1842">
        <f>'Acct Summary 7-8'!F81</f>
        <v>285035</v>
      </c>
      <c r="E11" s="1842">
        <f>'Acct Summary 7-8'!I81</f>
        <v>0</v>
      </c>
      <c r="F11" s="1843">
        <f>SUM(B11:E11)</f>
        <v>3661268</v>
      </c>
    </row>
    <row r="12" spans="1:8" ht="16.5" customHeight="1" thickTop="1" x14ac:dyDescent="0.2">
      <c r="A12" s="1083"/>
      <c r="B12" s="1084"/>
      <c r="C12" s="2364" t="str">
        <f>IF(AND(F10&lt;0,F11&gt;=0,ABS(F10*3)&gt;ABS(F11)),A16,IF(AND(F10&lt;0,F11&gt;0,ABS(F10*3)&lt;=ABS(F11)),A17,IF(AND(F10&lt;0,F11&lt;0),A16,IF(F11=0,A19,A18))))</f>
        <v>Balanced - no deficit reduction plan is required.</v>
      </c>
      <c r="D12" s="2365"/>
      <c r="E12" s="2365"/>
      <c r="F12" s="2366"/>
    </row>
    <row r="13" spans="1:8" ht="19.5" customHeight="1" x14ac:dyDescent="0.2">
      <c r="A13" s="1085"/>
      <c r="B13" s="1086"/>
      <c r="C13" s="2364"/>
      <c r="D13" s="2365"/>
      <c r="E13" s="2365"/>
      <c r="F13" s="2366"/>
      <c r="H13" s="1075"/>
    </row>
    <row r="14" spans="1:8" ht="19.5" customHeight="1" x14ac:dyDescent="0.2">
      <c r="A14" s="1085"/>
      <c r="B14" s="1086"/>
      <c r="C14" s="2364"/>
      <c r="D14" s="2365"/>
      <c r="E14" s="2365"/>
      <c r="F14" s="2366"/>
      <c r="H14" s="1075"/>
    </row>
    <row r="15" spans="1:8" ht="17.25" customHeight="1" x14ac:dyDescent="0.2">
      <c r="A15" s="1085"/>
      <c r="B15" s="1086"/>
      <c r="C15" s="2367"/>
      <c r="D15" s="2368"/>
      <c r="E15" s="2368"/>
      <c r="F15" s="2369"/>
      <c r="H15" s="1075"/>
    </row>
    <row r="16" spans="1:8" s="310" customFormat="1" ht="51.75" hidden="1" customHeight="1" x14ac:dyDescent="0.2">
      <c r="A16" s="2363" t="s">
        <v>1787</v>
      </c>
      <c r="B16" s="2363"/>
      <c r="C16" s="2363"/>
      <c r="D16" s="2363"/>
      <c r="E16" s="2363"/>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5" t="s">
        <v>686</v>
      </c>
      <c r="B3" s="2386"/>
      <c r="C3" s="2386"/>
      <c r="D3" s="2387"/>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6" t="s">
        <v>1584</v>
      </c>
      <c r="D7" s="2397"/>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8" t="s">
        <v>1065</v>
      </c>
      <c r="B15" s="2389"/>
      <c r="C15" s="2389"/>
      <c r="D15" s="2390"/>
    </row>
    <row r="16" spans="1:4" s="669" customFormat="1" ht="24" customHeight="1" x14ac:dyDescent="0.2">
      <c r="A16" s="2391" t="s">
        <v>684</v>
      </c>
      <c r="B16" s="2392"/>
      <c r="C16" s="2392"/>
      <c r="D16" s="2393"/>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00" t="s">
        <v>332</v>
      </c>
      <c r="D21" s="2401"/>
    </row>
    <row r="22" spans="1:10" ht="12.75" x14ac:dyDescent="0.2">
      <c r="A22" s="1140"/>
      <c r="B22" s="1141">
        <v>2</v>
      </c>
      <c r="C22" s="2398" t="s">
        <v>1605</v>
      </c>
      <c r="D22" s="2399"/>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02" t="s">
        <v>557</v>
      </c>
      <c r="D43" s="2403"/>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94" t="s">
        <v>817</v>
      </c>
      <c r="D56" s="2395"/>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394" t="s">
        <v>1797</v>
      </c>
      <c r="D70" s="2395"/>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56099843060</v>
      </c>
    </row>
    <row r="3" spans="1:2" x14ac:dyDescent="0.2">
      <c r="A3" t="s">
        <v>1013</v>
      </c>
      <c r="B3" s="138" t="str">
        <f>COVER!A15</f>
        <v>Will</v>
      </c>
    </row>
    <row r="4" spans="1:2" x14ac:dyDescent="0.2">
      <c r="A4" t="s">
        <v>1064</v>
      </c>
      <c r="B4" s="138" t="str">
        <f>COVER!A17</f>
        <v>Lincoln-Way Area SpEd Dist</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060-003973</v>
      </c>
    </row>
    <row r="16" spans="1:2" x14ac:dyDescent="0.2">
      <c r="A16" t="s">
        <v>442</v>
      </c>
      <c r="B16" s="138" t="str">
        <f>COVER!T13</f>
        <v>Evans, Marshall and Pease, PC</v>
      </c>
    </row>
    <row r="17" spans="1:2" x14ac:dyDescent="0.2">
      <c r="A17" t="s">
        <v>939</v>
      </c>
      <c r="B17" s="138" t="str">
        <f>COVER!T15</f>
        <v>Jeffery M. Rollefson, CPA</v>
      </c>
    </row>
    <row r="18" spans="1:2" x14ac:dyDescent="0.2">
      <c r="A18" t="s">
        <v>1212</v>
      </c>
      <c r="B18" s="138" t="str">
        <f>COVER!T17</f>
        <v>1875 Hicks Road</v>
      </c>
    </row>
    <row r="19" spans="1:2" x14ac:dyDescent="0.2">
      <c r="A19" t="s">
        <v>941</v>
      </c>
      <c r="B19" s="138" t="str">
        <f>COVER!T25</f>
        <v>jeff@empcpa.com</v>
      </c>
    </row>
    <row r="20" spans="1:2" x14ac:dyDescent="0.2">
      <c r="A20" t="s">
        <v>942</v>
      </c>
      <c r="B20" s="138" t="str">
        <f>COVER!T19</f>
        <v>Rolling Meadows</v>
      </c>
    </row>
    <row r="21" spans="1:2" x14ac:dyDescent="0.2">
      <c r="A21" t="s">
        <v>500</v>
      </c>
      <c r="B21" s="138" t="str">
        <f>COVER!X19</f>
        <v>Illinois</v>
      </c>
    </row>
    <row r="22" spans="1:2" x14ac:dyDescent="0.2">
      <c r="A22" t="s">
        <v>943</v>
      </c>
      <c r="B22" s="138">
        <f>COVER!Z19</f>
        <v>60047</v>
      </c>
    </row>
    <row r="23" spans="1:2" x14ac:dyDescent="0.2">
      <c r="A23" t="s">
        <v>1214</v>
      </c>
      <c r="B23" s="138" t="str">
        <f>COVER!T21</f>
        <v>847-221-5700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3188266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3188266</v>
      </c>
      <c r="D92" s="2" t="str">
        <f t="shared" si="0"/>
        <v>Error?</v>
      </c>
    </row>
    <row r="93" spans="1:4" x14ac:dyDescent="0.2">
      <c r="A93" s="5">
        <v>32</v>
      </c>
      <c r="B93" s="138">
        <f>'Assets-Liab 5-6'!C41</f>
        <v>3188266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187967</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187967</v>
      </c>
      <c r="D123" s="2" t="str">
        <f t="shared" si="0"/>
        <v>Error?</v>
      </c>
    </row>
    <row r="124" spans="1:4" x14ac:dyDescent="0.2">
      <c r="A124" s="5">
        <v>63</v>
      </c>
      <c r="B124" s="138">
        <f>'Assets-Liab 5-6'!D41</f>
        <v>187967</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285035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285035</v>
      </c>
      <c r="D170" s="2" t="str">
        <f t="shared" si="1"/>
        <v>Error?</v>
      </c>
    </row>
    <row r="171" spans="1:4" x14ac:dyDescent="0.2">
      <c r="A171" s="5">
        <v>110</v>
      </c>
      <c r="B171" s="138">
        <f>'Assets-Liab 5-6'!F41</f>
        <v>285035</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513028</v>
      </c>
      <c r="D273" s="2" t="str">
        <f t="shared" si="3"/>
        <v>Error?</v>
      </c>
    </row>
    <row r="274" spans="1:4" x14ac:dyDescent="0.2">
      <c r="A274" s="5">
        <v>213</v>
      </c>
      <c r="B274" s="138">
        <f>'Assets-Liab 5-6'!M17</f>
        <v>4780013</v>
      </c>
      <c r="D274" s="2" t="str">
        <f t="shared" si="3"/>
        <v>Error?</v>
      </c>
    </row>
    <row r="275" spans="1:4" x14ac:dyDescent="0.2">
      <c r="A275" s="5">
        <v>214</v>
      </c>
      <c r="B275" s="138">
        <f>'Assets-Liab 5-6'!M18</f>
        <v>1379024</v>
      </c>
      <c r="D275" s="2" t="str">
        <f t="shared" si="3"/>
        <v>Error?</v>
      </c>
    </row>
    <row r="276" spans="1:4" x14ac:dyDescent="0.2">
      <c r="A276" s="5">
        <v>215</v>
      </c>
      <c r="B276" s="138">
        <f>'Assets-Liab 5-6'!M19</f>
        <v>6193076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12865141</v>
      </c>
      <c r="C279" s="2" t="s">
        <v>594</v>
      </c>
      <c r="D279" s="2" t="str">
        <f t="shared" si="3"/>
        <v>Error?</v>
      </c>
    </row>
    <row r="280" spans="1:4" x14ac:dyDescent="0.2">
      <c r="A280" s="5">
        <v>219</v>
      </c>
      <c r="B280" s="138">
        <f>'Assets-Liab 5-6'!M40</f>
        <v>12865141</v>
      </c>
      <c r="D280" s="2" t="str">
        <f t="shared" si="3"/>
        <v>Error?</v>
      </c>
    </row>
    <row r="281" spans="1:4" x14ac:dyDescent="0.2">
      <c r="A281" s="5">
        <v>220</v>
      </c>
      <c r="B281" s="138">
        <f>'Assets-Liab 5-6'!M41</f>
        <v>12865141</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510000</v>
      </c>
      <c r="D283" s="2" t="str">
        <f t="shared" si="3"/>
        <v>Error?</v>
      </c>
    </row>
    <row r="284" spans="1:4" x14ac:dyDescent="0.2">
      <c r="A284" s="5">
        <v>223</v>
      </c>
      <c r="B284" s="138">
        <f>'Assets-Liab 5-6'!N23</f>
        <v>510000</v>
      </c>
      <c r="C284" s="2" t="s">
        <v>594</v>
      </c>
      <c r="D284" s="2" t="str">
        <f t="shared" si="3"/>
        <v>Error?</v>
      </c>
    </row>
    <row r="285" spans="1:4" x14ac:dyDescent="0.2">
      <c r="A285" s="5">
        <v>224</v>
      </c>
      <c r="B285" s="138">
        <f>'Assets-Liab 5-6'!N36</f>
        <v>510000</v>
      </c>
      <c r="D285" s="2" t="str">
        <f t="shared" si="3"/>
        <v>Error?</v>
      </c>
    </row>
    <row r="286" spans="1:4" x14ac:dyDescent="0.2">
      <c r="A286" s="10">
        <v>225</v>
      </c>
      <c r="D286" s="2" t="str">
        <f t="shared" si="3"/>
        <v>OK</v>
      </c>
    </row>
    <row r="287" spans="1:4" x14ac:dyDescent="0.2">
      <c r="A287" s="5">
        <v>226</v>
      </c>
      <c r="B287" s="138">
        <f>'Assets-Liab 5-6'!N37</f>
        <v>510000</v>
      </c>
      <c r="C287" s="2" t="s">
        <v>594</v>
      </c>
      <c r="D287" s="2" t="str">
        <f t="shared" si="3"/>
        <v>Error?</v>
      </c>
    </row>
    <row r="288" spans="1:4" x14ac:dyDescent="0.2">
      <c r="A288" s="5">
        <v>227</v>
      </c>
      <c r="B288" s="138">
        <f>'Assets-Liab 5-6'!N41</f>
        <v>510000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188303</v>
      </c>
      <c r="D719" s="2" t="str">
        <f t="shared" si="10"/>
        <v>Error?</v>
      </c>
    </row>
    <row r="720" spans="1:4" x14ac:dyDescent="0.2">
      <c r="A720" s="5">
        <v>659</v>
      </c>
      <c r="B720" s="138">
        <f>'Expenditures 15-22'!C33</f>
        <v>3549571</v>
      </c>
      <c r="C720" s="2" t="s">
        <v>594</v>
      </c>
      <c r="D720" s="2" t="str">
        <f t="shared" si="10"/>
        <v>Error?</v>
      </c>
    </row>
    <row r="721" spans="1:4" x14ac:dyDescent="0.2">
      <c r="A721" s="5">
        <v>660</v>
      </c>
      <c r="B721" s="138">
        <f>'Expenditures 15-22'!C36</f>
        <v>438899</v>
      </c>
      <c r="D721" s="2" t="str">
        <f t="shared" si="10"/>
        <v>Error?</v>
      </c>
    </row>
    <row r="722" spans="1:4" x14ac:dyDescent="0.2">
      <c r="A722" s="5">
        <v>661</v>
      </c>
      <c r="B722" s="138">
        <f>'Expenditures 15-22'!C37</f>
        <v>0</v>
      </c>
      <c r="D722" s="2" t="str">
        <f t="shared" si="10"/>
        <v>Error?</v>
      </c>
    </row>
    <row r="723" spans="1:4" x14ac:dyDescent="0.2">
      <c r="A723" s="5">
        <v>662</v>
      </c>
      <c r="B723" s="138">
        <f>'Expenditures 15-22'!C38</f>
        <v>281950</v>
      </c>
      <c r="D723" s="2" t="str">
        <f t="shared" si="10"/>
        <v>Error?</v>
      </c>
    </row>
    <row r="724" spans="1:4" x14ac:dyDescent="0.2">
      <c r="A724" s="5">
        <v>663</v>
      </c>
      <c r="B724" s="138">
        <f>'Expenditures 15-22'!C39</f>
        <v>146248</v>
      </c>
      <c r="D724" s="2" t="str">
        <f t="shared" si="10"/>
        <v>Error?</v>
      </c>
    </row>
    <row r="725" spans="1:4" x14ac:dyDescent="0.2">
      <c r="A725" s="5">
        <v>664</v>
      </c>
      <c r="B725" s="138">
        <f>'Expenditures 15-22'!C40</f>
        <v>422648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1289745</v>
      </c>
      <c r="C727" s="2" t="s">
        <v>594</v>
      </c>
      <c r="D727" s="2" t="str">
        <f t="shared" si="10"/>
        <v>Error?</v>
      </c>
    </row>
    <row r="728" spans="1:4" x14ac:dyDescent="0.2">
      <c r="A728" s="5">
        <v>667</v>
      </c>
      <c r="B728" s="138">
        <f>'Expenditures 15-22'!C44</f>
        <v>1627</v>
      </c>
      <c r="D728" s="2" t="str">
        <f t="shared" si="10"/>
        <v>Error?</v>
      </c>
    </row>
    <row r="729" spans="1:4" x14ac:dyDescent="0.2">
      <c r="A729" s="5">
        <v>668</v>
      </c>
      <c r="B729" s="138">
        <f>'Expenditures 15-22'!C45</f>
        <v>63936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65563</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256354</v>
      </c>
      <c r="D733" s="2" t="str">
        <f t="shared" si="10"/>
        <v>Error?</v>
      </c>
    </row>
    <row r="734" spans="1:4" x14ac:dyDescent="0.2">
      <c r="A734" s="5">
        <v>673</v>
      </c>
      <c r="B734" s="138">
        <f>'Expenditures 15-22'!C53</f>
        <v>395237</v>
      </c>
      <c r="C734" s="2" t="s">
        <v>594</v>
      </c>
      <c r="D734" s="2" t="str">
        <f t="shared" si="10"/>
        <v>Error?</v>
      </c>
    </row>
    <row r="735" spans="1:4" x14ac:dyDescent="0.2">
      <c r="A735" s="5">
        <v>674</v>
      </c>
      <c r="B735" s="138">
        <f>'Expenditures 15-22'!C55</f>
        <v>223551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223551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157837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198154</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355991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2330087</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5879658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24448</v>
      </c>
      <c r="D777" s="2" t="str">
        <f t="shared" si="11"/>
        <v>Error?</v>
      </c>
    </row>
    <row r="778" spans="1:4" x14ac:dyDescent="0.2">
      <c r="A778" s="5">
        <v>717</v>
      </c>
      <c r="B778" s="138">
        <f>'Expenditures 15-22'!D33</f>
        <v>1111203</v>
      </c>
      <c r="C778" s="2" t="s">
        <v>594</v>
      </c>
      <c r="D778" s="2" t="str">
        <f t="shared" si="11"/>
        <v>Error?</v>
      </c>
    </row>
    <row r="779" spans="1:4" x14ac:dyDescent="0.2">
      <c r="A779" s="5">
        <v>718</v>
      </c>
      <c r="B779" s="138">
        <f>'Expenditures 15-22'!D36</f>
        <v>90896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58835</v>
      </c>
      <c r="D781" s="2" t="str">
        <f t="shared" si="11"/>
        <v>Error?</v>
      </c>
    </row>
    <row r="782" spans="1:4" x14ac:dyDescent="0.2">
      <c r="A782" s="5">
        <v>721</v>
      </c>
      <c r="B782" s="138">
        <f>'Expenditures 15-22'!D39</f>
        <v>32539</v>
      </c>
      <c r="D782" s="2" t="str">
        <f t="shared" si="11"/>
        <v>Error?</v>
      </c>
    </row>
    <row r="783" spans="1:4" x14ac:dyDescent="0.2">
      <c r="A783" s="5">
        <v>722</v>
      </c>
      <c r="B783" s="138">
        <f>'Expenditures 15-22'!D40</f>
        <v>99435</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281705</v>
      </c>
      <c r="C785" s="2" t="s">
        <v>594</v>
      </c>
      <c r="D785" s="2" t="str">
        <f t="shared" si="11"/>
        <v>Error?</v>
      </c>
    </row>
    <row r="786" spans="1:4" x14ac:dyDescent="0.2">
      <c r="A786" s="5">
        <v>725</v>
      </c>
      <c r="B786" s="138">
        <f>'Expenditures 15-22'!D44</f>
        <v>33</v>
      </c>
      <c r="D786" s="2" t="str">
        <f t="shared" si="11"/>
        <v>Error?</v>
      </c>
    </row>
    <row r="787" spans="1:4" x14ac:dyDescent="0.2">
      <c r="A787" s="5">
        <v>726</v>
      </c>
      <c r="B787" s="138">
        <f>'Expenditures 15-22'!D45</f>
        <v>31076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31109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92070</v>
      </c>
      <c r="D791" s="2" t="str">
        <f t="shared" si="11"/>
        <v>Error?</v>
      </c>
    </row>
    <row r="792" spans="1:4" x14ac:dyDescent="0.2">
      <c r="A792" s="5">
        <v>731</v>
      </c>
      <c r="B792" s="138">
        <f>'Expenditures 15-22'!D53</f>
        <v>132691</v>
      </c>
      <c r="C792" s="2" t="s">
        <v>594</v>
      </c>
      <c r="D792" s="2" t="str">
        <f t="shared" si="11"/>
        <v>Error?</v>
      </c>
    </row>
    <row r="793" spans="1:4" x14ac:dyDescent="0.2">
      <c r="A793" s="5">
        <v>732</v>
      </c>
      <c r="B793" s="138">
        <f>'Expenditures 15-22'!D55</f>
        <v>75249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75249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60986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129131</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190117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710871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1822074</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8028</v>
      </c>
      <c r="D835" s="2" t="str">
        <f t="shared" si="12"/>
        <v>Error?</v>
      </c>
    </row>
    <row r="836" spans="1:4" x14ac:dyDescent="0.2">
      <c r="A836" s="5">
        <v>775</v>
      </c>
      <c r="B836" s="138">
        <f>'Expenditures 15-22'!E33</f>
        <v>201800</v>
      </c>
      <c r="C836" s="2" t="s">
        <v>594</v>
      </c>
      <c r="D836" s="2" t="str">
        <f t="shared" si="12"/>
        <v>Error?</v>
      </c>
    </row>
    <row r="837" spans="1:4" x14ac:dyDescent="0.2">
      <c r="A837" s="5">
        <v>776</v>
      </c>
      <c r="B837" s="138">
        <f>'Expenditures 15-22'!E36</f>
        <v>5503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8665</v>
      </c>
      <c r="D839" s="2" t="str">
        <f t="shared" si="12"/>
        <v>Error?</v>
      </c>
    </row>
    <row r="840" spans="1:4" x14ac:dyDescent="0.2">
      <c r="A840" s="5">
        <v>779</v>
      </c>
      <c r="B840" s="138">
        <f>'Expenditures 15-22'!E39</f>
        <v>1442</v>
      </c>
      <c r="D840" s="2" t="str">
        <f t="shared" si="12"/>
        <v>Error?</v>
      </c>
    </row>
    <row r="841" spans="1:4" x14ac:dyDescent="0.2">
      <c r="A841" s="5">
        <v>780</v>
      </c>
      <c r="B841" s="138">
        <f>'Expenditures 15-22'!E40</f>
        <v>1823</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17433</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14005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14005</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300315</v>
      </c>
      <c r="D849" s="2" t="str">
        <f t="shared" si="12"/>
        <v>Error?</v>
      </c>
    </row>
    <row r="850" spans="1:4" x14ac:dyDescent="0.2">
      <c r="A850" s="5">
        <v>789</v>
      </c>
      <c r="B850" s="138">
        <f>'Expenditures 15-22'!E53</f>
        <v>302330</v>
      </c>
      <c r="C850" s="2" t="s">
        <v>594</v>
      </c>
      <c r="D850" s="2" t="str">
        <f t="shared" si="12"/>
        <v>Error?</v>
      </c>
    </row>
    <row r="851" spans="1:4" x14ac:dyDescent="0.2">
      <c r="A851" s="5">
        <v>790</v>
      </c>
      <c r="B851" s="138">
        <f>'Expenditures 15-22'!E55</f>
        <v>4692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4692</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5834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5834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344294</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546094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1043</v>
      </c>
      <c r="D893" s="2" t="str">
        <f t="shared" si="12"/>
        <v>Error?</v>
      </c>
    </row>
    <row r="894" spans="1:4" x14ac:dyDescent="0.2">
      <c r="A894" s="5">
        <v>833</v>
      </c>
      <c r="B894" s="138">
        <f>'Expenditures 15-22'!F33</f>
        <v>71604</v>
      </c>
      <c r="C894" s="2" t="s">
        <v>594</v>
      </c>
      <c r="D894" s="2" t="str">
        <f t="shared" si="12"/>
        <v>Error?</v>
      </c>
    </row>
    <row r="895" spans="1:4" x14ac:dyDescent="0.2">
      <c r="A895" s="5">
        <v>834</v>
      </c>
      <c r="B895" s="138">
        <f>'Expenditures 15-22'!F36</f>
        <v>1343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3843</v>
      </c>
      <c r="D897" s="2" t="str">
        <f t="shared" si="13"/>
        <v>Error?</v>
      </c>
    </row>
    <row r="898" spans="1:4" x14ac:dyDescent="0.2">
      <c r="A898" s="5">
        <v>837</v>
      </c>
      <c r="B898" s="138">
        <f>'Expenditures 15-22'!F39</f>
        <v>372</v>
      </c>
      <c r="D898" s="2" t="str">
        <f t="shared" si="13"/>
        <v>Error?</v>
      </c>
    </row>
    <row r="899" spans="1:4" x14ac:dyDescent="0.2">
      <c r="A899" s="5">
        <v>838</v>
      </c>
      <c r="B899" s="138">
        <f>'Expenditures 15-22'!F40</f>
        <v>1494</v>
      </c>
      <c r="D899" s="2" t="str">
        <f t="shared" si="13"/>
        <v>Error?</v>
      </c>
    </row>
    <row r="900" spans="1:4" x14ac:dyDescent="0.2">
      <c r="A900" s="5">
        <v>839</v>
      </c>
      <c r="B900" s="138">
        <f>'Expenditures 15-22'!F41</f>
        <v>0</v>
      </c>
      <c r="D900" s="2" t="str">
        <f t="shared" si="13"/>
        <v>Error?</v>
      </c>
    </row>
    <row r="901" spans="1:4" x14ac:dyDescent="0.2">
      <c r="A901" s="5">
        <v>840</v>
      </c>
      <c r="B901" s="138">
        <f>'Expenditures 15-22'!F42</f>
        <v>7052</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13259</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13259</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30006</v>
      </c>
      <c r="D907" s="2" t="str">
        <f t="shared" si="13"/>
        <v>Error?</v>
      </c>
    </row>
    <row r="908" spans="1:4" x14ac:dyDescent="0.2">
      <c r="A908" s="5">
        <v>847</v>
      </c>
      <c r="B908" s="138">
        <f>'Expenditures 15-22'!F53</f>
        <v>30122</v>
      </c>
      <c r="C908" s="2" t="s">
        <v>594</v>
      </c>
      <c r="D908" s="2" t="str">
        <f t="shared" si="13"/>
        <v>Error?</v>
      </c>
    </row>
    <row r="909" spans="1:4" x14ac:dyDescent="0.2">
      <c r="A909" s="5">
        <v>848</v>
      </c>
      <c r="B909" s="138">
        <f>'Expenditures 15-22'!F55</f>
        <v>1429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1429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51862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123466</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21093</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6227</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6227</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6227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27320</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150</v>
      </c>
      <c r="C1010" s="2" t="s">
        <v>594</v>
      </c>
      <c r="D1010" s="2" t="str">
        <f t="shared" si="14"/>
        <v>Error?</v>
      </c>
    </row>
    <row r="1011" spans="1:4" x14ac:dyDescent="0.2">
      <c r="A1011" s="5">
        <v>950</v>
      </c>
      <c r="B1011" s="138">
        <f>'Expenditures 15-22'!H36</f>
        <v>225</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161</v>
      </c>
      <c r="D1013" s="2" t="str">
        <f t="shared" si="14"/>
        <v>Error?</v>
      </c>
    </row>
    <row r="1014" spans="1:4" x14ac:dyDescent="0.2">
      <c r="A1014" s="5">
        <v>953</v>
      </c>
      <c r="B1014" s="138">
        <f>'Expenditures 15-22'!H39</f>
        <v>165</v>
      </c>
      <c r="D1014" s="2" t="str">
        <f t="shared" si="14"/>
        <v>Error?</v>
      </c>
    </row>
    <row r="1015" spans="1:4" x14ac:dyDescent="0.2">
      <c r="A1015" s="5">
        <v>954</v>
      </c>
      <c r="B1015" s="138">
        <f>'Expenditures 15-22'!H40</f>
        <v>1066</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1617</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2149</v>
      </c>
      <c r="D1023" s="2" t="str">
        <f t="shared" ref="D1023:D1086" si="15">IF(ISBLANK(B1023),"OK",IF(A1023-B1023=0,"OK","Error?"))</f>
        <v>Error?</v>
      </c>
    </row>
    <row r="1024" spans="1:4" x14ac:dyDescent="0.2">
      <c r="A1024" s="5">
        <v>963</v>
      </c>
      <c r="B1024" s="138">
        <f>'Expenditures 15-22'!H53</f>
        <v>2149</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225</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225</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3991</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3014508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3018649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221822</v>
      </c>
      <c r="C1107" s="2" t="s">
        <v>594</v>
      </c>
      <c r="D1107" s="2" t="str">
        <f t="shared" si="16"/>
        <v>Error?</v>
      </c>
    </row>
    <row r="1108" spans="1:4" x14ac:dyDescent="0.2">
      <c r="A1108" s="5">
        <v>1047</v>
      </c>
      <c r="B1108" s="138">
        <f>'Expenditures 15-22'!K33</f>
        <v>4955421</v>
      </c>
      <c r="C1108" s="2" t="s">
        <v>594</v>
      </c>
      <c r="D1108" s="2" t="str">
        <f t="shared" si="16"/>
        <v>Error?</v>
      </c>
    </row>
    <row r="1109" spans="1:4" x14ac:dyDescent="0.2">
      <c r="A1109" s="5">
        <v>1048</v>
      </c>
      <c r="B1109" s="138">
        <f>'Expenditures 15-22'!K36</f>
        <v>536866</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353454</v>
      </c>
      <c r="C1111" s="2" t="s">
        <v>594</v>
      </c>
      <c r="D1111" s="2" t="str">
        <f t="shared" si="16"/>
        <v>Error?</v>
      </c>
    </row>
    <row r="1112" spans="1:4" x14ac:dyDescent="0.2">
      <c r="A1112" s="5">
        <v>1051</v>
      </c>
      <c r="B1112" s="138">
        <f>'Expenditures 15-22'!K39</f>
        <v>180766</v>
      </c>
      <c r="C1112" s="2" t="s">
        <v>594</v>
      </c>
      <c r="D1112" s="2" t="str">
        <f t="shared" si="16"/>
        <v>Error?</v>
      </c>
    </row>
    <row r="1113" spans="1:4" x14ac:dyDescent="0.2">
      <c r="A1113" s="5">
        <v>1052</v>
      </c>
      <c r="B1113" s="138">
        <f>'Expenditures 15-22'!K40</f>
        <v>526466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1597552</v>
      </c>
      <c r="C1115" s="2" t="s">
        <v>594</v>
      </c>
      <c r="D1115" s="2" t="str">
        <f t="shared" si="16"/>
        <v>Error?</v>
      </c>
    </row>
    <row r="1116" spans="1:4" x14ac:dyDescent="0.2">
      <c r="A1116" s="5">
        <v>1055</v>
      </c>
      <c r="B1116" s="138">
        <f>'Expenditures 15-22'!K44</f>
        <v>1660</v>
      </c>
      <c r="C1116" s="2" t="s">
        <v>594</v>
      </c>
      <c r="D1116" s="2" t="str">
        <f t="shared" si="16"/>
        <v>Error?</v>
      </c>
    </row>
    <row r="1117" spans="1:4" x14ac:dyDescent="0.2">
      <c r="A1117" s="5">
        <v>1056</v>
      </c>
      <c r="B1117" s="138">
        <f>'Expenditures 15-22'!K45</f>
        <v>128503</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130163</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680894</v>
      </c>
      <c r="C1121" s="2" t="s">
        <v>594</v>
      </c>
      <c r="D1121" s="2" t="str">
        <f t="shared" si="16"/>
        <v>Error?</v>
      </c>
    </row>
    <row r="1122" spans="1:4" x14ac:dyDescent="0.2">
      <c r="A1122" s="5">
        <v>1061</v>
      </c>
      <c r="B1122" s="138">
        <f>'Expenditures 15-22'!K53</f>
        <v>862529</v>
      </c>
      <c r="C1122" s="2" t="s">
        <v>594</v>
      </c>
      <c r="D1122" s="2" t="str">
        <f t="shared" si="16"/>
        <v>Error?</v>
      </c>
    </row>
    <row r="1123" spans="1:4" x14ac:dyDescent="0.2">
      <c r="A1123" s="5">
        <v>1062</v>
      </c>
      <c r="B1123" s="138">
        <f>'Expenditures 15-22'!K55</f>
        <v>304921</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304921</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224882</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327285</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552167</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3447332</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3014508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11417261</v>
      </c>
      <c r="C1152" s="2" t="s">
        <v>594</v>
      </c>
      <c r="D1152" s="2" t="str">
        <f t="shared" si="17"/>
        <v>Error?</v>
      </c>
    </row>
    <row r="1153" spans="1:4" x14ac:dyDescent="0.2">
      <c r="A1153" s="5">
        <v>1092</v>
      </c>
      <c r="B1153" s="138">
        <f>'Expenditures 15-22'!K115</f>
        <v>1209045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265294</v>
      </c>
      <c r="D1237" s="2" t="str">
        <f t="shared" si="18"/>
        <v>Error?</v>
      </c>
    </row>
    <row r="1238" spans="1:4" x14ac:dyDescent="0.2">
      <c r="A1238" s="10">
        <v>1177</v>
      </c>
      <c r="D1238" s="2" t="str">
        <f t="shared" si="18"/>
        <v>OK</v>
      </c>
    </row>
    <row r="1239" spans="1:4" x14ac:dyDescent="0.2">
      <c r="A1239" s="5">
        <v>1178</v>
      </c>
      <c r="B1239" s="138">
        <f>'Expenditures 15-22'!E127</f>
        <v>265294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265294</v>
      </c>
      <c r="C1241" s="2" t="s">
        <v>594</v>
      </c>
      <c r="D1241" s="2" t="str">
        <f t="shared" si="18"/>
        <v>Error?</v>
      </c>
    </row>
    <row r="1242" spans="1:4" x14ac:dyDescent="0.2">
      <c r="A1242" s="5">
        <v>1181</v>
      </c>
      <c r="B1242" s="138">
        <f>'Expenditures 15-22'!E151</f>
        <v>265294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76469</v>
      </c>
      <c r="D1245" s="2" t="str">
        <f t="shared" si="18"/>
        <v>Error?</v>
      </c>
    </row>
    <row r="1246" spans="1:4" x14ac:dyDescent="0.2">
      <c r="A1246" s="10">
        <v>1185</v>
      </c>
      <c r="D1246" s="2" t="str">
        <f t="shared" si="18"/>
        <v>OK</v>
      </c>
    </row>
    <row r="1247" spans="1:4" x14ac:dyDescent="0.2">
      <c r="A1247" s="5">
        <v>1186</v>
      </c>
      <c r="B1247" s="138">
        <f>'Expenditures 15-22'!F127</f>
        <v>76469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76469</v>
      </c>
      <c r="C1249" s="2" t="s">
        <v>594</v>
      </c>
      <c r="D1249" s="2" t="str">
        <f t="shared" si="18"/>
        <v>Error?</v>
      </c>
    </row>
    <row r="1250" spans="1:4" x14ac:dyDescent="0.2">
      <c r="A1250" s="5">
        <v>1189</v>
      </c>
      <c r="B1250" s="138">
        <f>'Expenditures 15-22'!F151</f>
        <v>76469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4692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4692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4692</v>
      </c>
      <c r="C1258" s="2" t="s">
        <v>594</v>
      </c>
      <c r="D1258" s="2" t="str">
        <f t="shared" si="18"/>
        <v>Error?</v>
      </c>
    </row>
    <row r="1259" spans="1:4" x14ac:dyDescent="0.2">
      <c r="A1259" s="5">
        <v>1198</v>
      </c>
      <c r="B1259" s="138">
        <f>'Expenditures 15-22'!G151</f>
        <v>4692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346455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346455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346455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346455</v>
      </c>
      <c r="C1288" s="2" t="s">
        <v>594</v>
      </c>
      <c r="D1288" s="2" t="str">
        <f t="shared" si="19"/>
        <v>Error?</v>
      </c>
    </row>
    <row r="1289" spans="1:4" x14ac:dyDescent="0.2">
      <c r="A1289" s="5">
        <v>1228</v>
      </c>
      <c r="B1289" s="138">
        <f>'Expenditures 15-22'!K152</f>
        <v>167327</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36420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155000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191420</v>
      </c>
      <c r="C1317" s="2" t="s">
        <v>594</v>
      </c>
      <c r="D1317" s="2" t="str">
        <f t="shared" si="19"/>
        <v>Error?</v>
      </c>
    </row>
    <row r="1318" spans="1:4" x14ac:dyDescent="0.2">
      <c r="A1318" s="5">
        <v>1257</v>
      </c>
      <c r="B1318" s="138">
        <f>'Expenditures 15-22'!H174</f>
        <v>191420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36420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155000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191420</v>
      </c>
      <c r="C1331" s="2" t="s">
        <v>594</v>
      </c>
      <c r="D1331" s="2" t="str">
        <f t="shared" si="19"/>
        <v>Error?</v>
      </c>
    </row>
    <row r="1332" spans="1:4" x14ac:dyDescent="0.2">
      <c r="A1332" s="5">
        <v>1271</v>
      </c>
      <c r="B1332" s="138">
        <f>'Expenditures 15-22'!K174</f>
        <v>191420</v>
      </c>
      <c r="C1332" s="2" t="s">
        <v>594</v>
      </c>
      <c r="D1332" s="2" t="str">
        <f t="shared" si="19"/>
        <v>Error?</v>
      </c>
    </row>
    <row r="1333" spans="1:4" x14ac:dyDescent="0.2">
      <c r="A1333" s="5">
        <v>1272</v>
      </c>
      <c r="B1333" s="138">
        <f>'Expenditures 15-22'!K175</f>
        <v>-191420</v>
      </c>
      <c r="C1333" s="2" t="s">
        <v>594</v>
      </c>
      <c r="D1333" s="2" t="str">
        <f t="shared" si="19"/>
        <v>Error?</v>
      </c>
    </row>
    <row r="1334" spans="1:4" x14ac:dyDescent="0.2">
      <c r="A1334" s="10">
        <v>1273</v>
      </c>
      <c r="D1334" s="2" t="str">
        <f t="shared" si="19"/>
        <v>OK</v>
      </c>
    </row>
    <row r="1335" spans="1:4" x14ac:dyDescent="0.2">
      <c r="A1335" s="5">
        <v>1274</v>
      </c>
      <c r="B1335" s="138">
        <f>'Expenditures 15-22'!C182</f>
        <v>1390409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1390409</v>
      </c>
      <c r="C1339" s="2" t="s">
        <v>594</v>
      </c>
      <c r="D1339" s="2" t="str">
        <f t="shared" si="19"/>
        <v>Error?</v>
      </c>
    </row>
    <row r="1340" spans="1:4" x14ac:dyDescent="0.2">
      <c r="A1340" s="5">
        <v>1279</v>
      </c>
      <c r="B1340" s="138">
        <f>'Expenditures 15-22'!C210</f>
        <v>1390409</v>
      </c>
      <c r="C1340" s="2" t="s">
        <v>594</v>
      </c>
      <c r="D1340" s="2" t="str">
        <f t="shared" si="19"/>
        <v>Error?</v>
      </c>
    </row>
    <row r="1341" spans="1:4" x14ac:dyDescent="0.2">
      <c r="A1341" s="5">
        <v>1280</v>
      </c>
      <c r="B1341" s="138">
        <f>'Expenditures 15-22'!D182</f>
        <v>698473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698473</v>
      </c>
      <c r="C1345" s="2" t="s">
        <v>594</v>
      </c>
      <c r="D1345" s="2" t="str">
        <f t="shared" si="20"/>
        <v>Error?</v>
      </c>
    </row>
    <row r="1346" spans="1:4" x14ac:dyDescent="0.2">
      <c r="A1346" s="5">
        <v>1285</v>
      </c>
      <c r="B1346" s="138">
        <f>'Expenditures 15-22'!D210</f>
        <v>698473</v>
      </c>
      <c r="C1346" s="2" t="s">
        <v>594</v>
      </c>
      <c r="D1346" s="2" t="str">
        <f t="shared" si="20"/>
        <v>Error?</v>
      </c>
    </row>
    <row r="1347" spans="1:4" x14ac:dyDescent="0.2">
      <c r="A1347" s="5">
        <v>1286</v>
      </c>
      <c r="B1347" s="138">
        <f>'Expenditures 15-22'!E182</f>
        <v>1135287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1135287</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1135287</v>
      </c>
      <c r="C1353" s="2" t="s">
        <v>594</v>
      </c>
      <c r="D1353" s="2" t="str">
        <f t="shared" si="20"/>
        <v>Error?</v>
      </c>
    </row>
    <row r="1354" spans="1:4" x14ac:dyDescent="0.2">
      <c r="A1354" s="5">
        <v>1293</v>
      </c>
      <c r="B1354" s="138">
        <f>'Expenditures 15-22'!F182</f>
        <v>214154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214154</v>
      </c>
      <c r="C1358" s="2" t="s">
        <v>594</v>
      </c>
      <c r="D1358" s="2" t="str">
        <f t="shared" si="20"/>
        <v>Error?</v>
      </c>
    </row>
    <row r="1359" spans="1:4" x14ac:dyDescent="0.2">
      <c r="A1359" s="5">
        <v>1298</v>
      </c>
      <c r="B1359" s="138">
        <f>'Expenditures 15-22'!F210</f>
        <v>214154</v>
      </c>
      <c r="C1359" s="2" t="s">
        <v>594</v>
      </c>
      <c r="D1359" s="2" t="str">
        <f t="shared" si="20"/>
        <v>Error?</v>
      </c>
    </row>
    <row r="1360" spans="1:4" x14ac:dyDescent="0.2">
      <c r="A1360" s="5">
        <v>1299</v>
      </c>
      <c r="B1360" s="138">
        <f>'Expenditures 15-22'!G182</f>
        <v>318904</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318904</v>
      </c>
      <c r="C1364" s="2" t="s">
        <v>594</v>
      </c>
      <c r="D1364" s="2" t="str">
        <f t="shared" si="20"/>
        <v>Error?</v>
      </c>
    </row>
    <row r="1365" spans="1:4" x14ac:dyDescent="0.2">
      <c r="A1365" s="5">
        <v>1304</v>
      </c>
      <c r="B1365" s="138">
        <f>'Expenditures 15-22'!G210</f>
        <v>318904</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3757227</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3757227</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3757227</v>
      </c>
      <c r="C1388" s="2" t="s">
        <v>594</v>
      </c>
      <c r="D1388" s="2" t="str">
        <f t="shared" si="20"/>
        <v>Error?</v>
      </c>
    </row>
    <row r="1389" spans="1:4" x14ac:dyDescent="0.2">
      <c r="A1389" s="5">
        <v>1328</v>
      </c>
      <c r="B1389" s="138">
        <f>'Expenditures 15-22'!K211</f>
        <v>46346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0</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0</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0</v>
      </c>
      <c r="C1517" s="2" t="s">
        <v>594</v>
      </c>
      <c r="D1517" s="2" t="str">
        <f t="shared" si="22"/>
        <v>Error?</v>
      </c>
    </row>
    <row r="1518" spans="1:4" x14ac:dyDescent="0.2">
      <c r="A1518" s="5">
        <v>1457</v>
      </c>
      <c r="B1518" s="138">
        <f>'Expenditures 15-22'!K296</f>
        <v>0</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1979221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3188266</v>
      </c>
      <c r="C1630" s="2" t="s">
        <v>594</v>
      </c>
      <c r="D1630" s="2" t="str">
        <f t="shared" si="24"/>
        <v>Error?</v>
      </c>
    </row>
    <row r="1631" spans="1:4" x14ac:dyDescent="0.2">
      <c r="A1631" s="5">
        <v>1570</v>
      </c>
      <c r="B1631" s="138">
        <f>'Acct Summary 7-8'!D79</f>
        <v>212060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187967</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238689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285035</v>
      </c>
      <c r="C1672" s="2" t="s">
        <v>594</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665000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513028</v>
      </c>
      <c r="D2008" s="2" t="str">
        <f t="shared" si="30"/>
        <v>Error?</v>
      </c>
    </row>
    <row r="2009" spans="1:4" x14ac:dyDescent="0.2">
      <c r="A2009" s="5">
        <v>1948</v>
      </c>
      <c r="B2009" s="138">
        <f>'Cap Outlay Deprec 26'!C8</f>
        <v>4780013</v>
      </c>
      <c r="D2009" s="2" t="str">
        <f t="shared" si="30"/>
        <v>Error?</v>
      </c>
    </row>
    <row r="2010" spans="1:4" x14ac:dyDescent="0.2">
      <c r="A2010" s="5">
        <v>1949</v>
      </c>
      <c r="B2010" s="138">
        <f>'Cap Outlay Deprec 26'!C10</f>
        <v>1379024</v>
      </c>
      <c r="D2010" s="2" t="str">
        <f t="shared" si="30"/>
        <v>Error?</v>
      </c>
    </row>
    <row r="2011" spans="1:4" x14ac:dyDescent="0.2">
      <c r="A2011" s="5">
        <v>1950</v>
      </c>
      <c r="B2011" s="138">
        <f>'Cap Outlay Deprec 26'!C12</f>
        <v>2985043</v>
      </c>
      <c r="D2011" s="2" t="str">
        <f t="shared" si="30"/>
        <v>Error?</v>
      </c>
    </row>
    <row r="2012" spans="1:4" x14ac:dyDescent="0.2">
      <c r="A2012" s="5">
        <v>1951</v>
      </c>
      <c r="B2012" s="138">
        <f>'Cap Outlay Deprec 26'!C13</f>
        <v>2857117</v>
      </c>
      <c r="D2012" s="2" t="str">
        <f t="shared" si="30"/>
        <v>Error?</v>
      </c>
    </row>
    <row r="2013" spans="1:4" x14ac:dyDescent="0.2">
      <c r="A2013" s="5">
        <v>1952</v>
      </c>
      <c r="B2013" s="138">
        <f>'Cap Outlay Deprec 26'!C16</f>
        <v>12514225</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32659</v>
      </c>
      <c r="D2017" s="2" t="str">
        <f t="shared" si="30"/>
        <v>Error?</v>
      </c>
    </row>
    <row r="2018" spans="1:4" x14ac:dyDescent="0.2">
      <c r="A2018" s="5">
        <v>1957</v>
      </c>
      <c r="B2018" s="138">
        <f>'Cap Outlay Deprec 26'!D13</f>
        <v>318257</v>
      </c>
      <c r="D2018" s="2" t="str">
        <f t="shared" si="30"/>
        <v>Error?</v>
      </c>
    </row>
    <row r="2019" spans="1:4" x14ac:dyDescent="0.2">
      <c r="A2019" s="5">
        <v>1958</v>
      </c>
      <c r="B2019" s="138">
        <f>'Cap Outlay Deprec 26'!D16</f>
        <v>350916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513028</v>
      </c>
      <c r="C2026" s="2" t="s">
        <v>594</v>
      </c>
      <c r="D2026" s="2" t="str">
        <f t="shared" si="30"/>
        <v>Error?</v>
      </c>
    </row>
    <row r="2027" spans="1:4" x14ac:dyDescent="0.2">
      <c r="A2027" s="5">
        <v>1966</v>
      </c>
      <c r="B2027" s="138">
        <f>'Cap Outlay Deprec 26'!F8</f>
        <v>4780013</v>
      </c>
      <c r="C2027" s="2" t="s">
        <v>594</v>
      </c>
      <c r="D2027" s="2" t="str">
        <f t="shared" si="30"/>
        <v>Error?</v>
      </c>
    </row>
    <row r="2028" spans="1:4" x14ac:dyDescent="0.2">
      <c r="A2028" s="5">
        <v>1967</v>
      </c>
      <c r="B2028" s="138">
        <f>'Cap Outlay Deprec 26'!F10</f>
        <v>1379024</v>
      </c>
      <c r="C2028" s="2" t="s">
        <v>594</v>
      </c>
      <c r="D2028" s="2" t="str">
        <f t="shared" si="30"/>
        <v>Error?</v>
      </c>
    </row>
    <row r="2029" spans="1:4" x14ac:dyDescent="0.2">
      <c r="A2029" s="5">
        <v>1968</v>
      </c>
      <c r="B2029" s="138">
        <f>'Cap Outlay Deprec 26'!F12</f>
        <v>3017702</v>
      </c>
      <c r="C2029" s="2" t="s">
        <v>594</v>
      </c>
      <c r="D2029" s="2" t="str">
        <f t="shared" si="30"/>
        <v>Error?</v>
      </c>
    </row>
    <row r="2030" spans="1:4" x14ac:dyDescent="0.2">
      <c r="A2030" s="5">
        <v>1969</v>
      </c>
      <c r="B2030" s="138">
        <f>'Cap Outlay Deprec 26'!F13</f>
        <v>3175374</v>
      </c>
      <c r="C2030" s="2" t="s">
        <v>594</v>
      </c>
      <c r="D2030" s="2" t="str">
        <f t="shared" si="30"/>
        <v>Error?</v>
      </c>
    </row>
    <row r="2031" spans="1:4" x14ac:dyDescent="0.2">
      <c r="A2031" s="5">
        <v>1970</v>
      </c>
      <c r="B2031" s="138">
        <f>'Cap Outlay Deprec 26'!F16</f>
        <v>12865141</v>
      </c>
      <c r="C2031" s="2" t="s">
        <v>594</v>
      </c>
      <c r="D2031" s="2" t="str">
        <f t="shared" si="30"/>
        <v>Error?</v>
      </c>
    </row>
    <row r="2032" spans="1:4" x14ac:dyDescent="0.2">
      <c r="A2032" s="10">
        <v>1971</v>
      </c>
      <c r="D2032" s="2" t="str">
        <f t="shared" si="30"/>
        <v>OK</v>
      </c>
    </row>
    <row r="2033" spans="1:4" x14ac:dyDescent="0.2">
      <c r="A2033" s="5">
        <v>1972</v>
      </c>
      <c r="B2033" s="138">
        <f>'Cap Outlay Deprec 26'!H8</f>
        <v>879766</v>
      </c>
      <c r="D2033" s="2" t="str">
        <f t="shared" si="30"/>
        <v>Error?</v>
      </c>
    </row>
    <row r="2034" spans="1:4" x14ac:dyDescent="0.2">
      <c r="A2034" s="5">
        <v>1973</v>
      </c>
      <c r="B2034" s="138">
        <f>'Cap Outlay Deprec 26'!H10</f>
        <v>893501</v>
      </c>
      <c r="D2034" s="2" t="str">
        <f t="shared" si="30"/>
        <v>Error?</v>
      </c>
    </row>
    <row r="2035" spans="1:4" x14ac:dyDescent="0.2">
      <c r="A2035" s="5">
        <v>1974</v>
      </c>
      <c r="B2035" s="138">
        <f>'Cap Outlay Deprec 26'!H12</f>
        <v>2489799</v>
      </c>
      <c r="D2035" s="2" t="str">
        <f t="shared" si="30"/>
        <v>Error?</v>
      </c>
    </row>
    <row r="2036" spans="1:4" x14ac:dyDescent="0.2">
      <c r="A2036" s="5">
        <v>1975</v>
      </c>
      <c r="B2036" s="138">
        <f>'Cap Outlay Deprec 26'!H13</f>
        <v>2767280</v>
      </c>
      <c r="D2036" s="2" t="str">
        <f t="shared" si="30"/>
        <v>Error?</v>
      </c>
    </row>
    <row r="2037" spans="1:4" x14ac:dyDescent="0.2">
      <c r="A2037" s="5">
        <v>1976</v>
      </c>
      <c r="B2037" s="138">
        <f>'Cap Outlay Deprec 26'!H16</f>
        <v>7030346</v>
      </c>
      <c r="C2037" s="2" t="s">
        <v>594</v>
      </c>
      <c r="D2037" s="2" t="str">
        <f t="shared" si="30"/>
        <v>Error?</v>
      </c>
    </row>
    <row r="2038" spans="1:4" x14ac:dyDescent="0.2">
      <c r="A2038" s="10">
        <v>1977</v>
      </c>
      <c r="D2038" s="2" t="str">
        <f t="shared" si="30"/>
        <v>OK</v>
      </c>
    </row>
    <row r="2039" spans="1:4" x14ac:dyDescent="0.2">
      <c r="A2039" s="5">
        <v>1978</v>
      </c>
      <c r="B2039" s="138">
        <f>'Cap Outlay Deprec 26'!I8</f>
        <v>95600</v>
      </c>
      <c r="D2039" s="2" t="str">
        <f t="shared" si="30"/>
        <v>Error?</v>
      </c>
    </row>
    <row r="2040" spans="1:4" x14ac:dyDescent="0.2">
      <c r="A2040" s="5">
        <v>1979</v>
      </c>
      <c r="B2040" s="138">
        <f>'Cap Outlay Deprec 26'!I10</f>
        <v>68952</v>
      </c>
      <c r="D2040" s="2" t="str">
        <f t="shared" si="30"/>
        <v>Error?</v>
      </c>
    </row>
    <row r="2041" spans="1:4" x14ac:dyDescent="0.2">
      <c r="A2041" s="5">
        <v>1980</v>
      </c>
      <c r="B2041" s="138">
        <f>'Cap Outlay Deprec 26'!I12</f>
        <v>111875</v>
      </c>
      <c r="D2041" s="2" t="str">
        <f t="shared" si="30"/>
        <v>Error?</v>
      </c>
    </row>
    <row r="2042" spans="1:4" x14ac:dyDescent="0.2">
      <c r="A2042" s="5">
        <v>1981</v>
      </c>
      <c r="B2042" s="138">
        <f>'Cap Outlay Deprec 26'!I13</f>
        <v>54062</v>
      </c>
      <c r="D2042" s="2" t="str">
        <f t="shared" si="30"/>
        <v>Error?</v>
      </c>
    </row>
    <row r="2043" spans="1:4" x14ac:dyDescent="0.2">
      <c r="A2043" s="5">
        <v>1982</v>
      </c>
      <c r="B2043" s="138">
        <f>'Cap Outlay Deprec 26'!I16</f>
        <v>330489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975366</v>
      </c>
      <c r="C2051" s="2" t="s">
        <v>594</v>
      </c>
      <c r="D2051" s="2" t="str">
        <f t="shared" si="31"/>
        <v>Error?</v>
      </c>
    </row>
    <row r="2052" spans="1:4" x14ac:dyDescent="0.2">
      <c r="A2052" s="5">
        <v>1991</v>
      </c>
      <c r="B2052" s="138">
        <f>'Cap Outlay Deprec 26'!K10</f>
        <v>962453</v>
      </c>
      <c r="C2052" s="2" t="s">
        <v>594</v>
      </c>
      <c r="D2052" s="2" t="str">
        <f t="shared" si="31"/>
        <v>Error?</v>
      </c>
    </row>
    <row r="2053" spans="1:4" x14ac:dyDescent="0.2">
      <c r="A2053" s="5">
        <v>1992</v>
      </c>
      <c r="B2053" s="138">
        <f>'Cap Outlay Deprec 26'!K12</f>
        <v>2601674</v>
      </c>
      <c r="C2053" s="2" t="s">
        <v>594</v>
      </c>
      <c r="D2053" s="2" t="str">
        <f t="shared" si="31"/>
        <v>Error?</v>
      </c>
    </row>
    <row r="2054" spans="1:4" x14ac:dyDescent="0.2">
      <c r="A2054" s="5">
        <v>1993</v>
      </c>
      <c r="B2054" s="138">
        <f>'Cap Outlay Deprec 26'!K13</f>
        <v>2821342</v>
      </c>
      <c r="C2054" s="2" t="s">
        <v>594</v>
      </c>
      <c r="D2054" s="2" t="str">
        <f t="shared" si="31"/>
        <v>Error?</v>
      </c>
    </row>
    <row r="2055" spans="1:4" x14ac:dyDescent="0.2">
      <c r="A2055" s="5">
        <v>1994</v>
      </c>
      <c r="B2055" s="138">
        <f>'Cap Outlay Deprec 26'!K16</f>
        <v>7360835</v>
      </c>
      <c r="C2055" s="2" t="s">
        <v>594</v>
      </c>
      <c r="D2055" s="2" t="str">
        <f t="shared" si="31"/>
        <v>Error?</v>
      </c>
    </row>
    <row r="2056" spans="1:4" x14ac:dyDescent="0.2">
      <c r="A2056" s="5">
        <v>1995</v>
      </c>
      <c r="B2056" s="138">
        <f>'Cap Outlay Deprec 26'!L5</f>
        <v>513028</v>
      </c>
      <c r="C2056" s="2" t="s">
        <v>594</v>
      </c>
      <c r="D2056" s="2" t="str">
        <f t="shared" si="31"/>
        <v>Error?</v>
      </c>
    </row>
    <row r="2057" spans="1:4" x14ac:dyDescent="0.2">
      <c r="A2057" s="5">
        <v>1996</v>
      </c>
      <c r="B2057" s="138">
        <f>'Cap Outlay Deprec 26'!L8</f>
        <v>3804647</v>
      </c>
      <c r="C2057" s="2" t="s">
        <v>594</v>
      </c>
      <c r="D2057" s="2" t="str">
        <f t="shared" si="31"/>
        <v>Error?</v>
      </c>
    </row>
    <row r="2058" spans="1:4" x14ac:dyDescent="0.2">
      <c r="A2058" s="5">
        <v>1997</v>
      </c>
      <c r="B2058" s="138">
        <f>'Cap Outlay Deprec 26'!L10</f>
        <v>416571</v>
      </c>
      <c r="C2058" s="2" t="s">
        <v>594</v>
      </c>
      <c r="D2058" s="2" t="str">
        <f t="shared" si="31"/>
        <v>Error?</v>
      </c>
    </row>
    <row r="2059" spans="1:4" x14ac:dyDescent="0.2">
      <c r="A2059" s="5">
        <v>1998</v>
      </c>
      <c r="B2059" s="138">
        <f>'Cap Outlay Deprec 26'!L12</f>
        <v>416028</v>
      </c>
      <c r="C2059" s="2" t="s">
        <v>594</v>
      </c>
      <c r="D2059" s="2" t="str">
        <f t="shared" si="31"/>
        <v>Error?</v>
      </c>
    </row>
    <row r="2060" spans="1:4" x14ac:dyDescent="0.2">
      <c r="A2060" s="5">
        <v>1999</v>
      </c>
      <c r="B2060" s="138">
        <f>'Cap Outlay Deprec 26'!L13</f>
        <v>354032</v>
      </c>
      <c r="C2060" s="2" t="s">
        <v>594</v>
      </c>
      <c r="D2060" s="2" t="str">
        <f t="shared" si="31"/>
        <v>Error?</v>
      </c>
    </row>
    <row r="2061" spans="1:4" x14ac:dyDescent="0.2">
      <c r="A2061" s="5">
        <v>2000</v>
      </c>
      <c r="B2061" s="138">
        <f>'Cap Outlay Deprec 26'!L16</f>
        <v>5504306</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3014508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3014508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8222251</v>
      </c>
      <c r="C2551" s="2" t="s">
        <v>594</v>
      </c>
      <c r="D2551" s="2" t="str">
        <f t="shared" si="38"/>
        <v>Error?</v>
      </c>
    </row>
    <row r="2552" spans="1:4" x14ac:dyDescent="0.2">
      <c r="A2552" s="10">
        <v>2491</v>
      </c>
      <c r="D2552" s="2" t="str">
        <f t="shared" si="38"/>
        <v>OK</v>
      </c>
    </row>
    <row r="2553" spans="1:4" x14ac:dyDescent="0.2">
      <c r="A2553" s="5">
        <v>2492</v>
      </c>
      <c r="B2553" s="138">
        <f>'Acct Summary 7-8'!C6</f>
        <v>1153968</v>
      </c>
      <c r="C2553" s="2" t="s">
        <v>594</v>
      </c>
      <c r="D2553" s="2" t="str">
        <f t="shared" si="38"/>
        <v>Error?</v>
      </c>
    </row>
    <row r="2554" spans="1:4" x14ac:dyDescent="0.2">
      <c r="A2554" s="5">
        <v>2493</v>
      </c>
      <c r="B2554" s="138">
        <f>'Acct Summary 7-8'!C7</f>
        <v>3250087</v>
      </c>
      <c r="C2554" s="2" t="s">
        <v>594</v>
      </c>
      <c r="D2554" s="2" t="str">
        <f t="shared" si="38"/>
        <v>Error?</v>
      </c>
    </row>
    <row r="2555" spans="1:4" x14ac:dyDescent="0.2">
      <c r="A2555" s="5">
        <v>2494</v>
      </c>
      <c r="B2555" s="138">
        <f>'Acct Summary 7-8'!C8</f>
        <v>12626306</v>
      </c>
      <c r="C2555" s="2" t="s">
        <v>594</v>
      </c>
      <c r="D2555" s="2" t="str">
        <f t="shared" si="38"/>
        <v>Error?</v>
      </c>
    </row>
    <row r="2556" spans="1:4" x14ac:dyDescent="0.2">
      <c r="A2556" s="5">
        <v>2495</v>
      </c>
      <c r="B2556" s="138">
        <f>'Acct Summary 7-8'!C12</f>
        <v>4955421</v>
      </c>
      <c r="C2556" s="2" t="s">
        <v>594</v>
      </c>
      <c r="D2556" s="2" t="str">
        <f t="shared" si="38"/>
        <v>Error?</v>
      </c>
    </row>
    <row r="2557" spans="1:4" x14ac:dyDescent="0.2">
      <c r="A2557" s="5">
        <v>2496</v>
      </c>
      <c r="B2557" s="138">
        <f>'Acct Summary 7-8'!C13</f>
        <v>3447332</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3014508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11417261</v>
      </c>
      <c r="C2561" s="2" t="s">
        <v>594</v>
      </c>
      <c r="D2561" s="2" t="str">
        <f t="shared" si="39"/>
        <v>Error?</v>
      </c>
    </row>
    <row r="2562" spans="1:4" x14ac:dyDescent="0.2">
      <c r="A2562" s="5">
        <v>2501</v>
      </c>
      <c r="B2562" s="138">
        <f>'Acct Summary 7-8'!C20</f>
        <v>1209045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513782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513782</v>
      </c>
      <c r="C2568" s="2" t="s">
        <v>594</v>
      </c>
      <c r="D2568" s="2" t="str">
        <f t="shared" si="39"/>
        <v>Error?</v>
      </c>
    </row>
    <row r="2569" spans="1:4" x14ac:dyDescent="0.2">
      <c r="A2569" s="5">
        <v>2508</v>
      </c>
      <c r="B2569" s="138">
        <f>'Acct Summary 7-8'!D13</f>
        <v>346455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346455</v>
      </c>
      <c r="C2573" s="2" t="s">
        <v>594</v>
      </c>
      <c r="D2573" s="2" t="str">
        <f t="shared" si="39"/>
        <v>Error?</v>
      </c>
    </row>
    <row r="2574" spans="1:4" x14ac:dyDescent="0.2">
      <c r="A2574" s="5">
        <v>2513</v>
      </c>
      <c r="B2574" s="138">
        <f>'Acct Summary 7-8'!D20</f>
        <v>167327</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3803573</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3803573</v>
      </c>
      <c r="C2595" s="2" t="s">
        <v>594</v>
      </c>
      <c r="D2595" s="2" t="str">
        <f t="shared" si="39"/>
        <v>Error?</v>
      </c>
    </row>
    <row r="2596" spans="1:4" x14ac:dyDescent="0.2">
      <c r="A2596" s="5">
        <v>2535</v>
      </c>
      <c r="B2596" s="138">
        <f>'Acct Summary 7-8'!F13</f>
        <v>3757227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3757227</v>
      </c>
      <c r="C2600" s="2" t="s">
        <v>594</v>
      </c>
      <c r="D2600" s="2" t="str">
        <f t="shared" si="39"/>
        <v>Error?</v>
      </c>
    </row>
    <row r="2601" spans="1:4" x14ac:dyDescent="0.2">
      <c r="A2601" s="5">
        <v>2540</v>
      </c>
      <c r="B2601" s="138">
        <f>'Acct Summary 7-8'!F20</f>
        <v>46346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0</v>
      </c>
      <c r="C2606" s="2" t="s">
        <v>594</v>
      </c>
      <c r="D2606" s="2" t="str">
        <f t="shared" si="39"/>
        <v>Error?</v>
      </c>
    </row>
    <row r="2607" spans="1:4" x14ac:dyDescent="0.2">
      <c r="A2607" s="5">
        <v>2546</v>
      </c>
      <c r="B2607" s="138">
        <f>'Acct Summary 7-8'!G12</f>
        <v>0</v>
      </c>
      <c r="C2607" s="2" t="s">
        <v>594</v>
      </c>
      <c r="D2607" s="2" t="str">
        <f t="shared" si="39"/>
        <v>Error?</v>
      </c>
    </row>
    <row r="2608" spans="1:4" x14ac:dyDescent="0.2">
      <c r="A2608" s="5">
        <v>2547</v>
      </c>
      <c r="B2608" s="138">
        <f>'Acct Summary 7-8'!G13</f>
        <v>0</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0</v>
      </c>
      <c r="C2612" s="2" t="s">
        <v>594</v>
      </c>
      <c r="D2612" s="2" t="str">
        <f t="shared" si="39"/>
        <v>Error?</v>
      </c>
    </row>
    <row r="2613" spans="1:4" x14ac:dyDescent="0.2">
      <c r="A2613" s="5">
        <v>2552</v>
      </c>
      <c r="B2613" s="138">
        <f>'Acct Summary 7-8'!G20</f>
        <v>0</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191420</v>
      </c>
      <c r="C2634" s="2" t="s">
        <v>594</v>
      </c>
      <c r="D2634" s="2" t="str">
        <f t="shared" si="40"/>
        <v>Error?</v>
      </c>
    </row>
    <row r="2635" spans="1:4" x14ac:dyDescent="0.2">
      <c r="A2635" s="5">
        <v>2574</v>
      </c>
      <c r="B2635" s="138">
        <f>'Acct Summary 7-8'!E17</f>
        <v>191420</v>
      </c>
      <c r="C2635" s="2" t="s">
        <v>594</v>
      </c>
      <c r="D2635" s="2" t="str">
        <f t="shared" si="40"/>
        <v>Error?</v>
      </c>
    </row>
    <row r="2636" spans="1:4" x14ac:dyDescent="0.2">
      <c r="A2636" s="5">
        <v>2575</v>
      </c>
      <c r="B2636" s="138">
        <f>'Acct Summary 7-8'!E20</f>
        <v>-191420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138883</v>
      </c>
      <c r="D2718" s="2" t="str">
        <f t="shared" si="41"/>
        <v>Error?</v>
      </c>
    </row>
    <row r="2719" spans="1:4" x14ac:dyDescent="0.2">
      <c r="A2719" s="5">
        <v>2658</v>
      </c>
      <c r="B2719" s="138">
        <f>'Expenditures 15-22'!D51</f>
        <v>40621</v>
      </c>
      <c r="D2719" s="2" t="str">
        <f t="shared" si="41"/>
        <v>Error?</v>
      </c>
    </row>
    <row r="2720" spans="1:4" x14ac:dyDescent="0.2">
      <c r="A2720" s="5">
        <v>2659</v>
      </c>
      <c r="B2720" s="138">
        <f>'Expenditures 15-22'!E51</f>
        <v>2015</v>
      </c>
      <c r="D2720" s="2" t="str">
        <f t="shared" si="41"/>
        <v>Error?</v>
      </c>
    </row>
    <row r="2721" spans="1:4" x14ac:dyDescent="0.2">
      <c r="A2721" s="5">
        <v>2660</v>
      </c>
      <c r="B2721" s="138">
        <f>'Expenditures 15-22'!F51</f>
        <v>116</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181635</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26174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26174</v>
      </c>
      <c r="D2914" s="2" t="str">
        <f t="shared" si="44"/>
        <v>Error?</v>
      </c>
    </row>
    <row r="2915" spans="1:4" x14ac:dyDescent="0.2">
      <c r="A2915" s="10">
        <v>2854</v>
      </c>
      <c r="D2915" s="2" t="str">
        <f t="shared" si="44"/>
        <v>OK</v>
      </c>
    </row>
    <row r="2916" spans="1:4" x14ac:dyDescent="0.2">
      <c r="A2916" s="5">
        <v>2855</v>
      </c>
      <c r="B2916" s="138">
        <f>'Assets-Liab 5-6'!L34</f>
        <v>26174</v>
      </c>
      <c r="C2916" s="2" t="s">
        <v>594</v>
      </c>
      <c r="D2916" s="2" t="str">
        <f t="shared" si="44"/>
        <v>Error?</v>
      </c>
    </row>
    <row r="2917" spans="1:4" x14ac:dyDescent="0.2">
      <c r="A2917" s="5">
        <v>2856</v>
      </c>
      <c r="B2917" s="138">
        <f>'Assets-Liab 5-6'!L41</f>
        <v>26174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3014508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3014508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1209045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191420</v>
      </c>
      <c r="C3237" s="2" t="s">
        <v>594</v>
      </c>
      <c r="D3237" s="2" t="str">
        <f t="shared" si="49"/>
        <v>Error?</v>
      </c>
    </row>
    <row r="3238" spans="1:4" x14ac:dyDescent="0.2">
      <c r="A3238" s="5">
        <v>3177</v>
      </c>
      <c r="B3238" s="138">
        <f>'Acct Summary 7-8'!D77</f>
        <v>-191420</v>
      </c>
      <c r="C3238" s="2" t="s">
        <v>594</v>
      </c>
      <c r="D3238" s="2" t="str">
        <f t="shared" si="49"/>
        <v>Error?</v>
      </c>
    </row>
    <row r="3239" spans="1:4" x14ac:dyDescent="0.2">
      <c r="A3239" s="5">
        <v>3178</v>
      </c>
      <c r="B3239" s="138">
        <f>'Acct Summary 7-8'!D78</f>
        <v>-24093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46346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0</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191420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191420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3361268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1086755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193772</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70561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21093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150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4733599</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3188266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187967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285035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26174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2762355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15388661</v>
      </c>
      <c r="C4122" s="2" t="s">
        <v>594</v>
      </c>
      <c r="D4122" s="2" t="str">
        <f t="shared" si="63"/>
        <v>Error?</v>
      </c>
    </row>
    <row r="4123" spans="1:4" x14ac:dyDescent="0.2">
      <c r="A4123" s="5">
        <v>4062</v>
      </c>
      <c r="B4123" s="138">
        <f>'Acct Summary 7-8'!D10</f>
        <v>513782</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3803573</v>
      </c>
      <c r="C4125" s="2" t="s">
        <v>594</v>
      </c>
      <c r="D4125" s="2" t="str">
        <f t="shared" si="63"/>
        <v>Error?</v>
      </c>
    </row>
    <row r="4126" spans="1:4" x14ac:dyDescent="0.2">
      <c r="A4126" s="5">
        <v>4065</v>
      </c>
      <c r="B4126" s="138">
        <f>'Acct Summary 7-8'!G10</f>
        <v>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2762355</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14179616</v>
      </c>
      <c r="C4136" s="2" t="s">
        <v>594</v>
      </c>
      <c r="D4136" s="2" t="str">
        <f t="shared" si="63"/>
        <v>Error?</v>
      </c>
    </row>
    <row r="4137" spans="1:4" x14ac:dyDescent="0.2">
      <c r="A4137" s="5">
        <v>4076</v>
      </c>
      <c r="B4137" s="138">
        <f>'Acct Summary 7-8'!D19</f>
        <v>346455</v>
      </c>
      <c r="C4137" s="2" t="s">
        <v>594</v>
      </c>
      <c r="D4137" s="2" t="str">
        <f t="shared" si="63"/>
        <v>Error?</v>
      </c>
    </row>
    <row r="4138" spans="1:4" x14ac:dyDescent="0.2">
      <c r="A4138" s="5">
        <v>4077</v>
      </c>
      <c r="B4138" s="138">
        <f>'Acct Summary 7-8'!E19</f>
        <v>191420</v>
      </c>
      <c r="C4138" s="2" t="s">
        <v>594</v>
      </c>
      <c r="D4138" s="2" t="str">
        <f t="shared" si="63"/>
        <v>Error?</v>
      </c>
    </row>
    <row r="4139" spans="1:4" x14ac:dyDescent="0.2">
      <c r="A4139" s="5">
        <v>4078</v>
      </c>
      <c r="B4139" s="138">
        <f>'Acct Summary 7-8'!F19</f>
        <v>3757227</v>
      </c>
      <c r="C4139" s="2" t="s">
        <v>594</v>
      </c>
      <c r="D4139" s="2" t="str">
        <f t="shared" si="63"/>
        <v>Error?</v>
      </c>
    </row>
    <row r="4140" spans="1:4" x14ac:dyDescent="0.2">
      <c r="A4140" s="5">
        <v>4079</v>
      </c>
      <c r="B4140" s="138">
        <f>'Acct Summary 7-8'!G19</f>
        <v>0</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510000</v>
      </c>
      <c r="C4171" s="2" t="s">
        <v>594</v>
      </c>
      <c r="D4171" s="2" t="str">
        <f t="shared" si="64"/>
        <v>Error?</v>
      </c>
    </row>
    <row r="4172" spans="1:4" x14ac:dyDescent="0.2">
      <c r="A4172" s="5">
        <v>4111</v>
      </c>
      <c r="B4172" s="138">
        <f>'Short-Term Long-Term Debt 24'!J49</f>
        <v>510000</v>
      </c>
      <c r="C4172" s="2" t="s">
        <v>594</v>
      </c>
      <c r="D4172" s="2" t="str">
        <f t="shared" si="64"/>
        <v>Error?</v>
      </c>
    </row>
    <row r="4173" spans="1:4" x14ac:dyDescent="0.2">
      <c r="A4173" s="5">
        <v>4112</v>
      </c>
      <c r="B4173" s="138">
        <f>'Short-Term Long-Term Debt 24'!H49</f>
        <v>155000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3661268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25254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510000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3802267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8187086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8187086</v>
      </c>
      <c r="C5087" s="2" t="s">
        <v>594</v>
      </c>
      <c r="D5087" s="2" t="str">
        <f t="shared" si="78"/>
        <v>Error?</v>
      </c>
    </row>
    <row r="5088" spans="1:4" x14ac:dyDescent="0.2">
      <c r="A5088" s="5">
        <v>5027</v>
      </c>
      <c r="B5088" s="138">
        <f>'Revenues 9-14'!C65</f>
        <v>8284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8284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4913</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21968</v>
      </c>
      <c r="D5119" s="2" t="str">
        <f t="shared" ref="D5119:D5182" si="79">IF(ISBLANK(B5119),"OK",IF(A5119-B5119=0,"OK","Error?"))</f>
        <v>Error?</v>
      </c>
    </row>
    <row r="5120" spans="1:4" x14ac:dyDescent="0.2">
      <c r="A5120" s="5">
        <v>5059</v>
      </c>
      <c r="B5120" s="138">
        <f>'Revenues 9-14'!C108</f>
        <v>21968</v>
      </c>
      <c r="C5120" s="2" t="s">
        <v>594</v>
      </c>
      <c r="D5120" s="2" t="str">
        <f t="shared" si="79"/>
        <v>Error?</v>
      </c>
    </row>
    <row r="5121" spans="1:4" x14ac:dyDescent="0.2">
      <c r="A5121" s="5">
        <v>5060</v>
      </c>
      <c r="B5121" s="138">
        <f>'Revenues 9-14'!C109</f>
        <v>8222251</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0</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1153968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1153968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1153968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1153968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104165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3120668</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3224833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3250087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3250087</v>
      </c>
      <c r="C5326" s="2" t="s">
        <v>594</v>
      </c>
      <c r="D5326" s="2" t="str">
        <f t="shared" si="82"/>
        <v>Error?</v>
      </c>
    </row>
    <row r="5327" spans="1:4" x14ac:dyDescent="0.2">
      <c r="A5327" s="5">
        <v>5266</v>
      </c>
      <c r="B5327" s="138">
        <f>'Revenues 9-14'!C275</f>
        <v>12626306</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478</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478</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503900</v>
      </c>
      <c r="D5353" s="2" t="str">
        <f t="shared" si="82"/>
        <v>Error?</v>
      </c>
    </row>
    <row r="5354" spans="1:4" x14ac:dyDescent="0.2">
      <c r="A5354" s="5">
        <v>5293</v>
      </c>
      <c r="B5354" s="138">
        <f>'Revenues 9-14'!D107</f>
        <v>9404</v>
      </c>
      <c r="D5354" s="2" t="str">
        <f t="shared" si="82"/>
        <v>Error?</v>
      </c>
    </row>
    <row r="5355" spans="1:4" x14ac:dyDescent="0.2">
      <c r="A5355" s="5">
        <v>5294</v>
      </c>
      <c r="B5355" s="138">
        <f>'Revenues 9-14'!D108</f>
        <v>513304</v>
      </c>
      <c r="C5355" s="2" t="s">
        <v>594</v>
      </c>
      <c r="D5355" s="2" t="str">
        <f t="shared" si="82"/>
        <v>Error?</v>
      </c>
    </row>
    <row r="5356" spans="1:4" x14ac:dyDescent="0.2">
      <c r="A5356" s="5">
        <v>5295</v>
      </c>
      <c r="B5356" s="138">
        <f>'Revenues 9-14'!D109</f>
        <v>513782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513782</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1306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1306</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3802267</v>
      </c>
      <c r="C5587" s="2" t="s">
        <v>594</v>
      </c>
      <c r="D5587" s="2" t="str">
        <f t="shared" si="86"/>
        <v>Error?</v>
      </c>
    </row>
    <row r="5588" spans="1:4" x14ac:dyDescent="0.2">
      <c r="A5588" s="5">
        <v>5527</v>
      </c>
      <c r="B5588" s="138">
        <f>'Revenues 9-14'!F109</f>
        <v>3803573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3803573</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4913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1209045</v>
      </c>
      <c r="D6267" s="2" t="str">
        <f t="shared" si="96"/>
        <v>Error?</v>
      </c>
      <c r="E6267" s="2" t="s">
        <v>199</v>
      </c>
    </row>
    <row r="6268" spans="1:5" x14ac:dyDescent="0.2">
      <c r="A6268">
        <v>6207</v>
      </c>
      <c r="B6268" s="138">
        <f>'Acct Summary 7-8'!D82</f>
        <v>-24093</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46346</v>
      </c>
      <c r="D6270" s="2" t="str">
        <f t="shared" si="96"/>
        <v>Error?</v>
      </c>
      <c r="E6270" s="2" t="s">
        <v>199</v>
      </c>
    </row>
    <row r="6271" spans="1:5" x14ac:dyDescent="0.2">
      <c r="A6271">
        <v>6210</v>
      </c>
      <c r="B6271" s="138">
        <f>'Acct Summary 7-8'!G82</f>
        <v>0</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0.37921710421903315</v>
      </c>
      <c r="D6276" s="2" t="str">
        <f t="shared" si="97"/>
        <v>Error?</v>
      </c>
      <c r="E6276" s="2" t="s">
        <v>199</v>
      </c>
    </row>
    <row r="6277" spans="1:5" x14ac:dyDescent="0.2">
      <c r="A6277">
        <v>6216</v>
      </c>
      <c r="B6277" s="138">
        <f>'Acct Summary 7-8'!D83</f>
        <v>-0.12817675443029894</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0.16259757573631309</v>
      </c>
      <c r="D6279" s="2" t="str">
        <f t="shared" si="97"/>
        <v>Error?</v>
      </c>
      <c r="E6279" s="2" t="s">
        <v>199</v>
      </c>
    </row>
    <row r="6280" spans="1:5" x14ac:dyDescent="0.2">
      <c r="A6280">
        <v>6219</v>
      </c>
      <c r="B6280" s="138" t="e">
        <f>'Acct Summary 7-8'!G83</f>
        <v>#DIV/0!</v>
      </c>
      <c r="D6280" s="2" t="e">
        <f t="shared" si="97"/>
        <v>#DIV/0!</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155000</v>
      </c>
      <c r="D6287" s="2" t="str">
        <f t="shared" si="97"/>
        <v>Error?</v>
      </c>
      <c r="E6287" s="2" t="s">
        <v>199</v>
      </c>
    </row>
    <row r="6288" spans="1:5" x14ac:dyDescent="0.2">
      <c r="A6288">
        <v>6227</v>
      </c>
      <c r="B6288" s="138">
        <f>'Acct Summary 7-8'!E40</f>
        <v>36420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330489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155000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36420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534571</v>
      </c>
      <c r="D7797" s="2" t="str">
        <f t="shared" si="127"/>
        <v>Error?</v>
      </c>
      <c r="E7797" s="4" t="s">
        <v>2017</v>
      </c>
    </row>
    <row r="7798" spans="1:5" x14ac:dyDescent="0.2">
      <c r="A7798">
        <v>7737</v>
      </c>
      <c r="B7798" s="138">
        <f>'Contracts Paid in CY 29'!F141</f>
        <v>125000</v>
      </c>
      <c r="D7798" s="2" t="str">
        <f t="shared" si="127"/>
        <v>Error?</v>
      </c>
      <c r="E7798" s="4" t="s">
        <v>2017</v>
      </c>
    </row>
    <row r="7799" spans="1:5" x14ac:dyDescent="0.2">
      <c r="A7799">
        <v>7738</v>
      </c>
      <c r="B7799" s="138">
        <f>'Contracts Paid in CY 29'!G141</f>
        <v>409571</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7" t="s">
        <v>1253</v>
      </c>
      <c r="B2" s="2427"/>
      <c r="C2" s="2427"/>
      <c r="D2" s="2427"/>
      <c r="E2" s="2427"/>
      <c r="F2" s="2427"/>
      <c r="G2" s="2427"/>
      <c r="H2" s="2427"/>
      <c r="I2" s="2427"/>
      <c r="J2" s="2427"/>
      <c r="K2" s="2427"/>
      <c r="L2" s="2427"/>
    </row>
    <row r="3" spans="1:29" ht="13.5" customHeight="1" x14ac:dyDescent="0.2">
      <c r="A3" s="2413" t="s">
        <v>1252</v>
      </c>
      <c r="B3" s="2413"/>
      <c r="C3" s="2413"/>
      <c r="D3" s="2413"/>
      <c r="E3" s="2413"/>
      <c r="F3" s="2413"/>
      <c r="G3" s="2413"/>
      <c r="H3" s="2413"/>
      <c r="I3" s="2413"/>
      <c r="J3" s="2413"/>
      <c r="K3" s="2413"/>
      <c r="L3" s="2413"/>
    </row>
    <row r="4" spans="1:29" ht="13.5" customHeight="1" x14ac:dyDescent="0.2">
      <c r="A4" s="2427" t="s">
        <v>1799</v>
      </c>
      <c r="B4" s="2444"/>
      <c r="C4" s="2444"/>
      <c r="D4" s="2444"/>
      <c r="E4" s="2444"/>
      <c r="F4" s="2444"/>
      <c r="G4" s="2444"/>
      <c r="H4" s="2444"/>
      <c r="I4" s="2444"/>
      <c r="J4" s="2444"/>
      <c r="K4" s="2444"/>
      <c r="L4" s="2444"/>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7" t="str">
        <f>COVER!A17</f>
        <v>Lincoln-Way Area SpEd Dist</v>
      </c>
      <c r="B7" s="2408"/>
      <c r="C7" s="2408"/>
      <c r="D7" s="2445"/>
      <c r="E7" s="2446">
        <f>COVER!A13</f>
        <v>56099843060</v>
      </c>
      <c r="F7" s="2447"/>
      <c r="G7" s="2414" t="str">
        <f>COVER!T23</f>
        <v>060-003973</v>
      </c>
      <c r="H7" s="2415"/>
      <c r="I7" s="2415"/>
      <c r="J7" s="2415"/>
      <c r="K7" s="2415"/>
      <c r="L7" s="2416"/>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7"/>
      <c r="B9" s="2418"/>
      <c r="C9" s="2418"/>
      <c r="D9" s="2418"/>
      <c r="E9" s="2418"/>
      <c r="F9" s="2419"/>
      <c r="G9" s="2420" t="str">
        <f>COVER!T13</f>
        <v>Evans, Marshall and Pease, PC</v>
      </c>
      <c r="H9" s="2421"/>
      <c r="I9" s="2421"/>
      <c r="J9" s="2421"/>
      <c r="K9" s="2421"/>
      <c r="L9" s="2422"/>
    </row>
    <row r="10" spans="1:29" ht="13.5" customHeight="1" x14ac:dyDescent="0.2">
      <c r="A10" s="2404">
        <f>COVER!A38</f>
        <v>0</v>
      </c>
      <c r="B10" s="2405"/>
      <c r="C10" s="2405"/>
      <c r="D10" s="2405"/>
      <c r="E10" s="2405"/>
      <c r="F10" s="2406"/>
      <c r="G10" s="2420" t="str">
        <f>COVER!T17</f>
        <v>1875 Hicks Road</v>
      </c>
      <c r="H10" s="2433"/>
      <c r="I10" s="2433"/>
      <c r="J10" s="2433"/>
      <c r="K10" s="2433"/>
      <c r="L10" s="2434"/>
    </row>
    <row r="11" spans="1:29" ht="13.5" customHeight="1" x14ac:dyDescent="0.2">
      <c r="A11" s="1185" t="s">
        <v>1599</v>
      </c>
      <c r="B11" s="1186"/>
      <c r="C11" s="1187"/>
      <c r="D11" s="1192"/>
      <c r="E11" s="1187"/>
      <c r="F11" s="1191"/>
      <c r="G11" s="2420" t="str">
        <f>COVER!T19</f>
        <v>Rolling Meadows</v>
      </c>
      <c r="H11" s="2433"/>
      <c r="I11" s="2433"/>
      <c r="J11" s="2433"/>
      <c r="K11" s="2433"/>
      <c r="L11" s="2434"/>
    </row>
    <row r="12" spans="1:29" ht="13.5" customHeight="1" x14ac:dyDescent="0.2">
      <c r="A12" s="2438" t="s">
        <v>1598</v>
      </c>
      <c r="B12" s="2439"/>
      <c r="C12" s="2439"/>
      <c r="D12" s="2439"/>
      <c r="E12" s="2439"/>
      <c r="F12" s="2440"/>
      <c r="G12" s="2435"/>
      <c r="H12" s="2436"/>
      <c r="I12" s="2436"/>
      <c r="J12" s="2436"/>
      <c r="K12" s="2436"/>
      <c r="L12" s="2437"/>
    </row>
    <row r="13" spans="1:29" ht="13.5" customHeight="1" x14ac:dyDescent="0.2">
      <c r="A13" s="2420"/>
      <c r="B13" s="2433"/>
      <c r="C13" s="2433"/>
      <c r="D13" s="2433"/>
      <c r="E13" s="2433"/>
      <c r="F13" s="2434"/>
      <c r="G13" s="2428" t="s">
        <v>1600</v>
      </c>
      <c r="H13" s="2429"/>
      <c r="I13" s="2441" t="str">
        <f>COVER!T25</f>
        <v>jeff@empcpa.com</v>
      </c>
      <c r="J13" s="2442"/>
      <c r="K13" s="2442"/>
      <c r="L13" s="2443"/>
    </row>
    <row r="14" spans="1:29" ht="13.5" customHeight="1" x14ac:dyDescent="0.2">
      <c r="A14" s="2420" t="str">
        <f>COVER!A19</f>
        <v>601 Willow St.</v>
      </c>
      <c r="B14" s="2433"/>
      <c r="C14" s="2433"/>
      <c r="D14" s="2433"/>
      <c r="E14" s="2433"/>
      <c r="F14" s="2434"/>
      <c r="G14" s="1196" t="s">
        <v>1247</v>
      </c>
      <c r="H14" s="1194"/>
      <c r="I14" s="1194"/>
      <c r="J14" s="1194"/>
      <c r="K14" s="1194"/>
      <c r="L14" s="1195"/>
    </row>
    <row r="15" spans="1:29" ht="13.5" customHeight="1" x14ac:dyDescent="0.2">
      <c r="A15" s="2420" t="str">
        <f>COVER!A21</f>
        <v>Frankfort</v>
      </c>
      <c r="B15" s="2433"/>
      <c r="C15" s="2433"/>
      <c r="D15" s="2433"/>
      <c r="E15" s="2433"/>
      <c r="F15" s="2434"/>
      <c r="G15" s="2430" t="str">
        <f>COVER!T15</f>
        <v>Jeffery M. Rollefson, CPA</v>
      </c>
      <c r="H15" s="2431"/>
      <c r="I15" s="2431"/>
      <c r="J15" s="2431"/>
      <c r="K15" s="2431"/>
      <c r="L15" s="2432"/>
    </row>
    <row r="16" spans="1:29" ht="12.2" customHeight="1" x14ac:dyDescent="0.2">
      <c r="A16" s="2410">
        <f>COVER!A25</f>
        <v>60423</v>
      </c>
      <c r="B16" s="2411"/>
      <c r="C16" s="2411"/>
      <c r="D16" s="2411"/>
      <c r="E16" s="2411"/>
      <c r="F16" s="2412"/>
      <c r="G16" s="2423"/>
      <c r="H16" s="2424"/>
      <c r="I16" s="2424"/>
      <c r="J16" s="2424"/>
      <c r="K16" s="2424"/>
      <c r="L16" s="2425"/>
    </row>
    <row r="17" spans="1:13" ht="12.2" customHeight="1" x14ac:dyDescent="0.2">
      <c r="A17" s="2426"/>
      <c r="B17" s="2411"/>
      <c r="C17" s="2411"/>
      <c r="D17" s="2411"/>
      <c r="E17" s="2411"/>
      <c r="F17" s="2412"/>
      <c r="G17" s="1196" t="s">
        <v>1246</v>
      </c>
      <c r="H17" s="1194"/>
      <c r="I17" s="1194"/>
      <c r="J17" s="1194"/>
      <c r="K17" s="1198" t="s">
        <v>1245</v>
      </c>
      <c r="L17" s="1191"/>
      <c r="M17" s="1184"/>
    </row>
    <row r="18" spans="1:13" ht="12.2" customHeight="1" x14ac:dyDescent="0.2">
      <c r="A18" s="2404"/>
      <c r="B18" s="2405"/>
      <c r="C18" s="2405"/>
      <c r="D18" s="2405"/>
      <c r="E18" s="2405"/>
      <c r="F18" s="2406"/>
      <c r="G18" s="2407" t="str">
        <f>COVER!T21</f>
        <v>847-221-5700</v>
      </c>
      <c r="H18" s="2408"/>
      <c r="I18" s="2408"/>
      <c r="J18" s="2408"/>
      <c r="K18" s="2407" t="str">
        <f>COVER!X21</f>
        <v>847-221-5701</v>
      </c>
      <c r="L18" s="2409"/>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8" t="str">
        <f>'Single Audit Cover'!A7</f>
        <v>Lincoln-Way Area SpEd Dist</v>
      </c>
      <c r="B1" s="2444"/>
      <c r="C1" s="2444"/>
      <c r="D1" s="2444"/>
    </row>
    <row r="2" spans="1:11" s="1215" customFormat="1" ht="12.75" x14ac:dyDescent="0.2">
      <c r="A2" s="2449">
        <f>'Single Audit Cover'!E7</f>
        <v>56099843060</v>
      </c>
      <c r="B2" s="2450"/>
      <c r="C2" s="2450"/>
      <c r="D2" s="2450"/>
    </row>
    <row r="3" spans="1:11" s="1215" customFormat="1" ht="12.75" x14ac:dyDescent="0.2">
      <c r="A3" s="2448" t="s">
        <v>1593</v>
      </c>
      <c r="B3" s="2444"/>
      <c r="C3" s="2444"/>
      <c r="D3" s="2444"/>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52" t="str">
        <f>'Single Audit Cover'!A7</f>
        <v>Lincoln-Way Area SpEd Dist</v>
      </c>
      <c r="B1" s="2452"/>
      <c r="C1" s="2452"/>
      <c r="D1" s="2452"/>
      <c r="E1" s="2452"/>
    </row>
    <row r="2" spans="1:5" x14ac:dyDescent="0.2">
      <c r="A2" s="2453">
        <f>'Single Audit Cover'!E7</f>
        <v>56099843060</v>
      </c>
      <c r="B2" s="2453"/>
      <c r="C2" s="2453"/>
      <c r="D2" s="2453"/>
      <c r="E2" s="2453"/>
    </row>
    <row r="3" spans="1:5" ht="4.5" customHeight="1" x14ac:dyDescent="0.2"/>
    <row r="4" spans="1:5" x14ac:dyDescent="0.2">
      <c r="A4" s="2452" t="s">
        <v>1307</v>
      </c>
      <c r="B4" s="2452"/>
      <c r="C4" s="2452"/>
      <c r="D4" s="2452"/>
      <c r="E4" s="2452"/>
    </row>
    <row r="5" spans="1:5" x14ac:dyDescent="0.2">
      <c r="A5" s="2455" t="str">
        <f>'Single Audit Cover'!A4</f>
        <v>Year Ending June 30, 2018</v>
      </c>
      <c r="B5" s="2455"/>
      <c r="C5" s="2455"/>
      <c r="D5" s="2455"/>
      <c r="E5" s="2455"/>
    </row>
    <row r="6" spans="1:5" x14ac:dyDescent="0.2">
      <c r="A6" s="2452" t="s">
        <v>1306</v>
      </c>
      <c r="B6" s="2452"/>
      <c r="C6" s="2452"/>
      <c r="D6" s="2452"/>
      <c r="E6" s="2452"/>
    </row>
    <row r="8" spans="1:5" x14ac:dyDescent="0.2">
      <c r="A8" s="1260" t="s">
        <v>1305</v>
      </c>
    </row>
    <row r="10" spans="1:5" x14ac:dyDescent="0.2">
      <c r="A10" s="1261" t="s">
        <v>1304</v>
      </c>
      <c r="B10" s="1262" t="s">
        <v>1303</v>
      </c>
      <c r="C10" s="1262"/>
      <c r="D10" s="1263">
        <f>SUM('Acct Summary 7-8'!C7:K7)</f>
        <v>3250087</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3250087</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54"/>
      <c r="B24" s="2454"/>
      <c r="D24" s="1268"/>
    </row>
    <row r="25" spans="1:4" x14ac:dyDescent="0.2">
      <c r="A25" s="2451"/>
      <c r="B25" s="2451"/>
      <c r="D25" s="1268"/>
    </row>
    <row r="26" spans="1:4" x14ac:dyDescent="0.2">
      <c r="A26" s="2451"/>
      <c r="B26" s="2451"/>
      <c r="D26" s="1268"/>
    </row>
    <row r="27" spans="1:4" x14ac:dyDescent="0.2">
      <c r="A27" s="2451"/>
      <c r="B27" s="2451"/>
      <c r="D27" s="1268"/>
    </row>
    <row r="28" spans="1:4" x14ac:dyDescent="0.2">
      <c r="A28" s="2451"/>
      <c r="B28" s="2451"/>
      <c r="D28" s="1268"/>
    </row>
    <row r="29" spans="1:4" x14ac:dyDescent="0.2">
      <c r="A29" s="2451"/>
      <c r="B29" s="2451"/>
      <c r="D29" s="1268"/>
    </row>
    <row r="30" spans="1:4" x14ac:dyDescent="0.2">
      <c r="A30" s="2451"/>
      <c r="B30" s="2451"/>
      <c r="D30" s="1268"/>
    </row>
    <row r="32" spans="1:4" x14ac:dyDescent="0.2">
      <c r="A32" s="1260" t="s">
        <v>1295</v>
      </c>
      <c r="D32" s="1263">
        <f>SUM(D19:D30)</f>
        <v>3250087</v>
      </c>
    </row>
    <row r="33" spans="1:4" x14ac:dyDescent="0.2">
      <c r="D33" s="1269"/>
    </row>
    <row r="34" spans="1:4" x14ac:dyDescent="0.2">
      <c r="A34" s="317" t="s">
        <v>1294</v>
      </c>
    </row>
    <row r="35" spans="1:4" x14ac:dyDescent="0.2">
      <c r="A35" s="317" t="s">
        <v>1293</v>
      </c>
      <c r="B35" s="1258" t="s">
        <v>1292</v>
      </c>
      <c r="D35" s="1270">
        <v>3250087</v>
      </c>
    </row>
    <row r="37" spans="1:4" x14ac:dyDescent="0.2">
      <c r="A37" s="1260" t="s">
        <v>1291</v>
      </c>
    </row>
    <row r="39" spans="1:4" ht="13.35" customHeight="1" x14ac:dyDescent="0.2">
      <c r="A39" s="1267" t="s">
        <v>1290</v>
      </c>
    </row>
    <row r="40" spans="1:4" x14ac:dyDescent="0.2">
      <c r="A40" s="2451"/>
      <c r="B40" s="2451"/>
      <c r="D40" s="1268"/>
    </row>
    <row r="41" spans="1:4" x14ac:dyDescent="0.2">
      <c r="A41" s="2451"/>
      <c r="B41" s="2451"/>
      <c r="D41" s="1271"/>
    </row>
    <row r="42" spans="1:4" x14ac:dyDescent="0.2">
      <c r="A42" s="2451"/>
      <c r="B42" s="2451"/>
      <c r="D42" s="1271"/>
    </row>
    <row r="43" spans="1:4" x14ac:dyDescent="0.2">
      <c r="A43" s="2451"/>
      <c r="B43" s="2451"/>
      <c r="D43" s="1271"/>
    </row>
    <row r="44" spans="1:4" x14ac:dyDescent="0.2">
      <c r="A44" s="2451"/>
      <c r="B44" s="2451"/>
      <c r="D44" s="1271"/>
    </row>
    <row r="45" spans="1:4" x14ac:dyDescent="0.2">
      <c r="A45" s="2451"/>
      <c r="B45" s="2451"/>
      <c r="D45" s="1271"/>
    </row>
    <row r="47" spans="1:4" x14ac:dyDescent="0.2">
      <c r="B47" s="1272" t="s">
        <v>1289</v>
      </c>
      <c r="C47" s="1272"/>
      <c r="D47" s="1273">
        <f>SUM(D35:D45)</f>
        <v>3250087</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32" zoomScale="120" zoomScaleNormal="120" workbookViewId="0">
      <selection activeCell="I28" sqref="I28"/>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7" t="str">
        <f>'Single Audit Cover'!A7</f>
        <v>Lincoln-Way Area SpEd Dist</v>
      </c>
      <c r="B1" s="2457"/>
      <c r="C1" s="2457"/>
      <c r="D1" s="2457"/>
      <c r="E1" s="2457"/>
      <c r="F1" s="2457"/>
    </row>
    <row r="2" spans="1:7" ht="13.5" customHeight="1" x14ac:dyDescent="0.2">
      <c r="A2" s="2458">
        <f>'Single Audit Cover'!E7</f>
        <v>56099843060</v>
      </c>
      <c r="B2" s="2458"/>
      <c r="C2" s="2458"/>
      <c r="D2" s="2458"/>
      <c r="E2" s="2458"/>
      <c r="F2" s="2458"/>
      <c r="G2" s="1275"/>
    </row>
    <row r="3" spans="1:7" ht="15.75" customHeight="1" x14ac:dyDescent="0.2">
      <c r="A3" s="2459" t="s">
        <v>1333</v>
      </c>
      <c r="B3" s="2459"/>
      <c r="C3" s="2459"/>
      <c r="D3" s="2459"/>
      <c r="E3" s="2459"/>
      <c r="F3" s="2459"/>
    </row>
    <row r="4" spans="1:7" ht="13.5" customHeight="1" x14ac:dyDescent="0.2">
      <c r="A4" s="2460" t="str">
        <f>'Single Audit Cover'!A4</f>
        <v>Year Ending June 30, 2018</v>
      </c>
      <c r="B4" s="2460"/>
      <c r="C4" s="2460"/>
      <c r="D4" s="2460"/>
      <c r="E4" s="2460"/>
      <c r="F4" s="2460"/>
    </row>
    <row r="5" spans="1:7" ht="8.25" customHeight="1" x14ac:dyDescent="0.2">
      <c r="C5" s="317"/>
      <c r="D5" s="317"/>
    </row>
    <row r="6" spans="1:7" ht="13.5" customHeight="1" x14ac:dyDescent="0.2">
      <c r="A6" s="1276" t="s">
        <v>1831</v>
      </c>
      <c r="C6" s="317"/>
      <c r="D6" s="317"/>
    </row>
    <row r="7" spans="1:7" ht="60.95" customHeight="1" x14ac:dyDescent="0.2">
      <c r="A7" s="2456" t="s">
        <v>2087</v>
      </c>
      <c r="B7" s="2456"/>
      <c r="C7" s="2456"/>
      <c r="D7" s="2456"/>
      <c r="E7" s="2456"/>
      <c r="F7" s="2456"/>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2074</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56" t="s">
        <v>2088</v>
      </c>
      <c r="B13" s="2456"/>
      <c r="C13" s="2456"/>
      <c r="D13" s="2456"/>
      <c r="E13" s="2456"/>
      <c r="F13" s="2456"/>
    </row>
    <row r="14" spans="1:7" ht="9.75" customHeight="1" x14ac:dyDescent="0.2">
      <c r="C14" s="1260"/>
      <c r="D14" s="1260"/>
    </row>
    <row r="15" spans="1:7" ht="13.5" customHeight="1" x14ac:dyDescent="0.2">
      <c r="C15" s="1871" t="s">
        <v>1332</v>
      </c>
      <c r="D15" s="2462" t="s">
        <v>1331</v>
      </c>
      <c r="E15" s="2462"/>
      <c r="F15" s="2462"/>
    </row>
    <row r="16" spans="1:7" ht="13.5" customHeight="1" x14ac:dyDescent="0.2">
      <c r="A16" s="1282"/>
      <c r="B16" s="1276" t="s">
        <v>1330</v>
      </c>
      <c r="C16" s="1871" t="s">
        <v>1329</v>
      </c>
      <c r="D16" s="2463" t="s">
        <v>1670</v>
      </c>
      <c r="E16" s="2463"/>
      <c r="F16" s="2463"/>
    </row>
    <row r="17" spans="1:6" ht="20.45" customHeight="1" x14ac:dyDescent="0.2">
      <c r="A17" s="1283"/>
      <c r="B17" s="1284" t="s">
        <v>2089</v>
      </c>
      <c r="C17" s="1285">
        <v>84.027000000000001</v>
      </c>
      <c r="D17" s="2461"/>
      <c r="E17" s="2461"/>
      <c r="F17" s="2461"/>
    </row>
    <row r="18" spans="1:6" ht="20.65" customHeight="1" x14ac:dyDescent="0.2">
      <c r="A18" s="1283"/>
      <c r="B18" s="1284" t="s">
        <v>2090</v>
      </c>
      <c r="C18" s="1285"/>
      <c r="D18" s="2461">
        <v>389238</v>
      </c>
      <c r="E18" s="2461"/>
      <c r="F18" s="2461"/>
    </row>
    <row r="19" spans="1:6" ht="20.65" customHeight="1" x14ac:dyDescent="0.2">
      <c r="A19" s="1283"/>
      <c r="B19" s="1284" t="s">
        <v>2091</v>
      </c>
      <c r="C19" s="1285"/>
      <c r="D19" s="2461">
        <v>261391</v>
      </c>
      <c r="E19" s="2461"/>
      <c r="F19" s="2461"/>
    </row>
    <row r="20" spans="1:6" ht="20.65" customHeight="1" x14ac:dyDescent="0.2">
      <c r="A20" s="1283"/>
      <c r="B20" s="1284" t="s">
        <v>2092</v>
      </c>
      <c r="C20" s="1285"/>
      <c r="D20" s="2461">
        <v>416154</v>
      </c>
      <c r="E20" s="2461"/>
      <c r="F20" s="2461"/>
    </row>
    <row r="21" spans="1:6" ht="20.65" customHeight="1" x14ac:dyDescent="0.2">
      <c r="A21" s="1283"/>
      <c r="B21" s="1284" t="s">
        <v>2093</v>
      </c>
      <c r="C21" s="1285"/>
      <c r="D21" s="2461">
        <v>595434</v>
      </c>
      <c r="E21" s="2461"/>
      <c r="F21" s="2461"/>
    </row>
    <row r="22" spans="1:6" ht="20.65" customHeight="1" x14ac:dyDescent="0.2">
      <c r="A22" s="1283"/>
      <c r="B22" s="1284" t="s">
        <v>2094</v>
      </c>
      <c r="C22" s="1285"/>
      <c r="D22" s="2461">
        <v>881961</v>
      </c>
      <c r="E22" s="2461"/>
      <c r="F22" s="2461"/>
    </row>
    <row r="23" spans="1:6" ht="20.65" customHeight="1" x14ac:dyDescent="0.2">
      <c r="A23" s="1283"/>
      <c r="B23" s="1284"/>
      <c r="C23" s="1285"/>
      <c r="D23" s="2461"/>
      <c r="E23" s="2461"/>
      <c r="F23" s="2461"/>
    </row>
    <row r="24" spans="1:6" ht="20.65" customHeight="1" x14ac:dyDescent="0.2">
      <c r="A24" s="1283"/>
      <c r="B24" s="1284" t="s">
        <v>2095</v>
      </c>
      <c r="C24" s="1285">
        <v>84.173000000000002</v>
      </c>
      <c r="D24" s="2461"/>
      <c r="E24" s="2461"/>
      <c r="F24" s="2461"/>
    </row>
    <row r="25" spans="1:6" ht="20.65" customHeight="1" x14ac:dyDescent="0.2">
      <c r="A25" s="1283"/>
      <c r="B25" s="1284" t="s">
        <v>2091</v>
      </c>
      <c r="C25" s="1285"/>
      <c r="D25" s="2461">
        <v>9657</v>
      </c>
      <c r="E25" s="2461"/>
      <c r="F25" s="2461"/>
    </row>
    <row r="26" spans="1:6" ht="20.65" customHeight="1" x14ac:dyDescent="0.2">
      <c r="A26" s="1283"/>
      <c r="B26" s="1284" t="s">
        <v>2096</v>
      </c>
      <c r="C26" s="1285"/>
      <c r="D26" s="2461">
        <v>30341</v>
      </c>
      <c r="E26" s="2461"/>
      <c r="F26" s="2461"/>
    </row>
    <row r="27" spans="1:6" ht="20.65" customHeight="1" x14ac:dyDescent="0.2">
      <c r="A27" s="1283"/>
      <c r="B27" s="1284" t="s">
        <v>2090</v>
      </c>
      <c r="C27" s="1285"/>
      <c r="D27" s="2461">
        <v>22197</v>
      </c>
      <c r="E27" s="2461"/>
      <c r="F27" s="2461"/>
    </row>
    <row r="28" spans="1:6" ht="20.65" customHeight="1" x14ac:dyDescent="0.2">
      <c r="A28" s="1283"/>
      <c r="B28" s="1284" t="s">
        <v>2092</v>
      </c>
      <c r="C28" s="1285"/>
      <c r="D28" s="2461">
        <v>10879</v>
      </c>
      <c r="E28" s="2461"/>
      <c r="F28" s="2461"/>
    </row>
    <row r="29" spans="1:6" ht="20.65" customHeight="1" x14ac:dyDescent="0.2">
      <c r="A29" s="1283"/>
      <c r="B29" s="1284"/>
      <c r="C29" s="1285"/>
      <c r="D29" s="2461"/>
      <c r="E29" s="2461"/>
      <c r="F29" s="2461"/>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65" t="s">
        <v>2097</v>
      </c>
      <c r="B32" s="2465"/>
      <c r="C32" s="2465"/>
      <c r="D32" s="2465"/>
      <c r="E32" s="2465"/>
      <c r="F32" s="2465"/>
    </row>
    <row r="33" spans="1:6" ht="13.5" customHeight="1" x14ac:dyDescent="0.2">
      <c r="A33" s="328" t="s">
        <v>1509</v>
      </c>
      <c r="B33" s="328"/>
      <c r="C33" s="1288">
        <v>0</v>
      </c>
      <c r="D33" s="1928"/>
      <c r="E33" s="1286"/>
    </row>
    <row r="34" spans="1:6" ht="13.5" customHeight="1" x14ac:dyDescent="0.2">
      <c r="A34" s="328" t="s">
        <v>1946</v>
      </c>
      <c r="B34" s="328"/>
      <c r="C34" s="1289">
        <v>0</v>
      </c>
      <c r="D34" s="1928" t="s">
        <v>1671</v>
      </c>
      <c r="E34" s="2466">
        <f>+C33+C34</f>
        <v>0</v>
      </c>
      <c r="F34" s="2467"/>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v>0</v>
      </c>
      <c r="D38" s="1928"/>
      <c r="E38" s="1286"/>
    </row>
    <row r="39" spans="1:6" ht="14.25" customHeight="1" x14ac:dyDescent="0.2">
      <c r="A39" s="328"/>
      <c r="B39" s="328" t="s">
        <v>1511</v>
      </c>
      <c r="C39" s="1292">
        <v>0</v>
      </c>
      <c r="D39" s="1928"/>
      <c r="E39" s="1286"/>
    </row>
    <row r="40" spans="1:6" ht="14.25" customHeight="1" x14ac:dyDescent="0.2">
      <c r="A40" s="328"/>
      <c r="B40" s="328" t="s">
        <v>1512</v>
      </c>
      <c r="C40" s="1292">
        <v>0</v>
      </c>
      <c r="D40" s="1928"/>
      <c r="E40" s="1286"/>
    </row>
    <row r="41" spans="1:6" ht="14.25" customHeight="1" x14ac:dyDescent="0.2">
      <c r="A41" s="328"/>
      <c r="B41" s="328" t="s">
        <v>1513</v>
      </c>
      <c r="C41" s="1292">
        <v>0</v>
      </c>
      <c r="D41" s="1928"/>
      <c r="E41" s="1286"/>
    </row>
    <row r="42" spans="1:6" ht="14.25" customHeight="1" x14ac:dyDescent="0.2">
      <c r="A42" s="328" t="s">
        <v>1514</v>
      </c>
      <c r="B42" s="328"/>
      <c r="C42" s="1926">
        <v>0</v>
      </c>
      <c r="D42" s="1928"/>
      <c r="E42" s="1286"/>
    </row>
    <row r="43" spans="1:6" ht="14.25" customHeight="1" x14ac:dyDescent="0.2">
      <c r="A43" s="328" t="s">
        <v>1515</v>
      </c>
      <c r="B43" s="328"/>
      <c r="C43" s="1293" t="s">
        <v>2098</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8" t="s">
        <v>1672</v>
      </c>
      <c r="C49" s="2468"/>
      <c r="D49" s="2468"/>
      <c r="E49" s="1399"/>
    </row>
    <row r="50" spans="1:5" s="1300" customFormat="1" ht="3.75" customHeight="1" x14ac:dyDescent="0.2">
      <c r="A50" s="1299"/>
      <c r="B50" s="1870"/>
      <c r="C50" s="1870"/>
      <c r="D50" s="1870"/>
      <c r="E50" s="1399"/>
    </row>
    <row r="51" spans="1:5" s="1300" customFormat="1" ht="20.25" customHeight="1" x14ac:dyDescent="0.2">
      <c r="A51" s="1301">
        <v>6</v>
      </c>
      <c r="B51" s="2464" t="s">
        <v>1632</v>
      </c>
      <c r="C51" s="2464"/>
      <c r="D51" s="2464"/>
    </row>
    <row r="52" spans="1:5" ht="14.25" customHeight="1" x14ac:dyDescent="0.2">
      <c r="A52" s="1301"/>
      <c r="B52" s="2464"/>
      <c r="C52" s="2464"/>
      <c r="D52" s="2464"/>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7" zoomScaleNormal="100" workbookViewId="0">
      <selection activeCell="C20" sqref="C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Lincoln-Way Area SpEd Dist</v>
      </c>
      <c r="C1" s="2469"/>
      <c r="D1" s="2469"/>
      <c r="E1" s="2469"/>
      <c r="F1" s="2469"/>
      <c r="G1" s="2469"/>
      <c r="H1" s="2469"/>
      <c r="I1" s="2469"/>
      <c r="J1" s="2469"/>
      <c r="K1" s="2469"/>
      <c r="L1" s="2469"/>
      <c r="M1" s="2469"/>
    </row>
    <row r="2" spans="2:14" ht="15" x14ac:dyDescent="0.2">
      <c r="B2" s="2458">
        <f>'Single Audit Cover'!E7</f>
        <v>56099843060</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6" t="s">
        <v>2099</v>
      </c>
      <c r="C11" s="1338"/>
      <c r="D11" s="1339"/>
      <c r="E11" s="1340"/>
      <c r="F11" s="1340"/>
      <c r="G11" s="1340"/>
      <c r="H11" s="1340"/>
      <c r="I11" s="1340"/>
      <c r="J11" s="1340"/>
      <c r="K11" s="1340"/>
      <c r="L11" s="1340"/>
      <c r="M11" s="1340"/>
    </row>
    <row r="12" spans="2:14" ht="20.100000000000001" customHeight="1" x14ac:dyDescent="0.2">
      <c r="B12" s="1957" t="s">
        <v>2100</v>
      </c>
      <c r="C12" s="1341"/>
      <c r="D12" s="1342"/>
      <c r="E12" s="1343"/>
      <c r="F12" s="1343"/>
      <c r="G12" s="1343"/>
      <c r="H12" s="1343"/>
      <c r="I12" s="1343"/>
      <c r="J12" s="1343"/>
      <c r="K12" s="1343"/>
      <c r="L12" s="1340"/>
      <c r="M12" s="1343"/>
    </row>
    <row r="13" spans="2:14" ht="20.100000000000001" customHeight="1" x14ac:dyDescent="0.2">
      <c r="B13" s="1337" t="s">
        <v>2101</v>
      </c>
      <c r="C13" s="1341">
        <v>84.173000000000002</v>
      </c>
      <c r="D13" s="1342" t="s">
        <v>2105</v>
      </c>
      <c r="E13" s="1343">
        <v>23147</v>
      </c>
      <c r="F13" s="1343">
        <v>32582</v>
      </c>
      <c r="G13" s="1343">
        <v>23147</v>
      </c>
      <c r="H13" s="1343"/>
      <c r="I13" s="1343">
        <v>32582</v>
      </c>
      <c r="J13" s="1343"/>
      <c r="K13" s="1343"/>
      <c r="L13" s="1340">
        <f t="shared" ref="L13" si="0">+G13+I13+K13</f>
        <v>55729</v>
      </c>
      <c r="M13" s="1343">
        <v>82894</v>
      </c>
    </row>
    <row r="14" spans="2:14" ht="20.100000000000001" customHeight="1" x14ac:dyDescent="0.2">
      <c r="B14" s="1337" t="s">
        <v>2103</v>
      </c>
      <c r="C14" s="1341"/>
      <c r="D14" s="1342"/>
      <c r="E14" s="1343"/>
      <c r="F14" s="1343"/>
      <c r="G14" s="1343"/>
      <c r="H14" s="1343">
        <v>10505</v>
      </c>
      <c r="I14" s="1343"/>
      <c r="J14" s="1343"/>
      <c r="K14" s="1343"/>
      <c r="L14" s="1340"/>
      <c r="M14" s="1343"/>
    </row>
    <row r="15" spans="2:14" ht="20.100000000000001" customHeight="1" x14ac:dyDescent="0.2">
      <c r="B15" s="1337" t="s">
        <v>2104</v>
      </c>
      <c r="C15" s="1341"/>
      <c r="D15" s="1342"/>
      <c r="E15" s="1343"/>
      <c r="F15" s="1343"/>
      <c r="G15" s="1343"/>
      <c r="H15" s="1343">
        <v>12642</v>
      </c>
      <c r="I15" s="1343"/>
      <c r="J15" s="1343"/>
      <c r="K15" s="1343"/>
      <c r="L15" s="1340"/>
      <c r="M15" s="1343"/>
    </row>
    <row r="16" spans="2:14" ht="20.100000000000001" customHeight="1" x14ac:dyDescent="0.2">
      <c r="B16" s="1337" t="s">
        <v>2106</v>
      </c>
      <c r="C16" s="1341"/>
      <c r="D16" s="1342"/>
      <c r="E16" s="1343"/>
      <c r="F16" s="1343"/>
      <c r="G16" s="1343"/>
      <c r="H16" s="1343"/>
      <c r="I16" s="1343"/>
      <c r="J16" s="1343">
        <v>10649</v>
      </c>
      <c r="K16" s="1343"/>
      <c r="L16" s="1340"/>
      <c r="M16" s="1343"/>
    </row>
    <row r="17" spans="2:14" ht="20.100000000000001" customHeight="1" x14ac:dyDescent="0.2">
      <c r="B17" s="1337" t="s">
        <v>2102</v>
      </c>
      <c r="C17" s="1341"/>
      <c r="D17" s="1342"/>
      <c r="E17" s="1343"/>
      <c r="F17" s="1343"/>
      <c r="G17" s="1343"/>
      <c r="H17" s="1343"/>
      <c r="I17" s="1343"/>
      <c r="J17" s="1343">
        <v>21933</v>
      </c>
      <c r="K17" s="1343"/>
      <c r="L17" s="1340"/>
      <c r="M17" s="1343"/>
    </row>
    <row r="18" spans="2:14" ht="20.100000000000001" customHeight="1" x14ac:dyDescent="0.2">
      <c r="B18" s="1337"/>
      <c r="C18" s="1341"/>
      <c r="D18" s="1342"/>
      <c r="E18" s="1343"/>
      <c r="F18" s="1343"/>
      <c r="G18" s="1343"/>
      <c r="H18" s="1343"/>
      <c r="I18" s="1343"/>
      <c r="J18" s="1343"/>
      <c r="K18" s="1343"/>
      <c r="L18" s="1340"/>
      <c r="M18" s="1343"/>
    </row>
    <row r="19" spans="2:14" ht="20.100000000000001" customHeight="1" x14ac:dyDescent="0.2">
      <c r="B19" s="1337" t="s">
        <v>2101</v>
      </c>
      <c r="C19" s="1341">
        <v>84.173000000000002</v>
      </c>
      <c r="D19" s="1342" t="s">
        <v>2107</v>
      </c>
      <c r="E19" s="1343"/>
      <c r="F19" s="1343">
        <v>71583</v>
      </c>
      <c r="G19" s="1343"/>
      <c r="H19" s="1343"/>
      <c r="I19" s="1343">
        <v>73074</v>
      </c>
      <c r="J19" s="1343"/>
      <c r="K19" s="1343">
        <v>6762</v>
      </c>
      <c r="L19" s="1340">
        <f>+G19+I19+K19</f>
        <v>79836</v>
      </c>
      <c r="M19" s="1343">
        <v>91907</v>
      </c>
    </row>
    <row r="20" spans="2:14" ht="20.100000000000001" customHeight="1" x14ac:dyDescent="0.2">
      <c r="B20" s="1337" t="s">
        <v>2102</v>
      </c>
      <c r="C20" s="1341"/>
      <c r="D20" s="1342"/>
      <c r="E20" s="1343"/>
      <c r="F20" s="1343"/>
      <c r="G20" s="1343"/>
      <c r="H20" s="1343"/>
      <c r="I20" s="1343"/>
      <c r="J20" s="1343">
        <v>22197</v>
      </c>
      <c r="K20" s="1343"/>
      <c r="L20" s="1340"/>
      <c r="M20" s="1343"/>
    </row>
    <row r="21" spans="2:14" ht="20.100000000000001" customHeight="1" x14ac:dyDescent="0.2">
      <c r="B21" s="1337" t="s">
        <v>2103</v>
      </c>
      <c r="C21" s="1341"/>
      <c r="D21" s="1342"/>
      <c r="E21" s="1343"/>
      <c r="F21" s="1343"/>
      <c r="G21" s="1343"/>
      <c r="H21" s="1343"/>
      <c r="I21" s="1343"/>
      <c r="J21" s="1343">
        <v>9657</v>
      </c>
      <c r="K21" s="1343"/>
      <c r="L21" s="1340"/>
      <c r="M21" s="1343"/>
    </row>
    <row r="22" spans="2:14" ht="20.100000000000001" customHeight="1" x14ac:dyDescent="0.2">
      <c r="B22" s="1337" t="s">
        <v>2106</v>
      </c>
      <c r="C22" s="1341"/>
      <c r="D22" s="1342"/>
      <c r="E22" s="1343"/>
      <c r="F22" s="1343"/>
      <c r="G22" s="1343"/>
      <c r="H22" s="1343"/>
      <c r="I22" s="1343"/>
      <c r="J22" s="1343">
        <v>10879</v>
      </c>
      <c r="K22" s="1343"/>
      <c r="L22" s="1340"/>
      <c r="M22" s="1343"/>
    </row>
    <row r="23" spans="2:14" ht="20.100000000000001" customHeight="1" x14ac:dyDescent="0.2">
      <c r="B23" s="1337" t="s">
        <v>2104</v>
      </c>
      <c r="C23" s="1341"/>
      <c r="D23" s="1342"/>
      <c r="E23" s="1343"/>
      <c r="F23" s="1343"/>
      <c r="G23" s="1343"/>
      <c r="H23" s="1343"/>
      <c r="I23" s="1343"/>
      <c r="J23" s="1343">
        <v>30341</v>
      </c>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3 L19"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7" t="s">
        <v>1230</v>
      </c>
      <c r="B2" s="2077"/>
      <c r="C2" s="2077"/>
      <c r="D2" s="2077"/>
      <c r="E2" s="2077"/>
      <c r="F2" s="2077"/>
      <c r="G2" s="2077"/>
      <c r="H2" s="2077"/>
      <c r="I2" s="2077"/>
      <c r="J2" s="207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91" t="s">
        <v>1731</v>
      </c>
      <c r="B35" s="2092"/>
      <c r="C35" s="2092"/>
      <c r="D35" s="2092"/>
      <c r="E35" s="2093"/>
      <c r="F35" s="2093"/>
      <c r="G35" s="2093"/>
      <c r="H35" s="2093"/>
      <c r="I35" s="209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91" t="s">
        <v>331</v>
      </c>
      <c r="B47" s="2094"/>
      <c r="C47" s="2094"/>
      <c r="D47" s="2094"/>
      <c r="E47" s="2095"/>
      <c r="F47" s="2095"/>
      <c r="G47" s="2095"/>
      <c r="H47" s="2095"/>
      <c r="I47" s="209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8"/>
      <c r="C57" s="2099"/>
      <c r="D57" s="2099"/>
      <c r="E57" s="2099"/>
      <c r="F57" s="2099"/>
      <c r="G57" s="2099"/>
      <c r="H57" s="2099"/>
      <c r="I57" s="2099"/>
      <c r="J57" s="2100"/>
    </row>
    <row r="58" spans="1:10" s="181" customFormat="1" x14ac:dyDescent="0.2">
      <c r="A58" s="253"/>
      <c r="B58" s="2101"/>
      <c r="C58" s="2102"/>
      <c r="D58" s="2102"/>
      <c r="E58" s="2102"/>
      <c r="F58" s="2102"/>
      <c r="G58" s="2102"/>
      <c r="H58" s="2102"/>
      <c r="I58" s="2102"/>
      <c r="J58" s="2103"/>
    </row>
    <row r="59" spans="1:10" s="181" customFormat="1" x14ac:dyDescent="0.2">
      <c r="A59" s="253"/>
      <c r="B59" s="2101"/>
      <c r="C59" s="2102"/>
      <c r="D59" s="2102"/>
      <c r="E59" s="2102"/>
      <c r="F59" s="2102"/>
      <c r="G59" s="2102"/>
      <c r="H59" s="2102"/>
      <c r="I59" s="2102"/>
      <c r="J59" s="2103"/>
    </row>
    <row r="60" spans="1:10" s="181" customFormat="1" x14ac:dyDescent="0.2">
      <c r="A60" s="253"/>
      <c r="B60" s="2101"/>
      <c r="C60" s="2102"/>
      <c r="D60" s="2102"/>
      <c r="E60" s="2102"/>
      <c r="F60" s="2102"/>
      <c r="G60" s="2102"/>
      <c r="H60" s="2102"/>
      <c r="I60" s="2102"/>
      <c r="J60" s="2103"/>
    </row>
    <row r="61" spans="1:10" s="181" customFormat="1" x14ac:dyDescent="0.2">
      <c r="A61" s="253"/>
      <c r="B61" s="2101"/>
      <c r="C61" s="2102"/>
      <c r="D61" s="2102"/>
      <c r="E61" s="2102"/>
      <c r="F61" s="2102"/>
      <c r="G61" s="2102"/>
      <c r="H61" s="2102"/>
      <c r="I61" s="2102"/>
      <c r="J61" s="2103"/>
    </row>
    <row r="62" spans="1:10" s="181" customFormat="1" x14ac:dyDescent="0.2">
      <c r="A62" s="253"/>
      <c r="B62" s="2101"/>
      <c r="C62" s="2102"/>
      <c r="D62" s="2102"/>
      <c r="E62" s="2102"/>
      <c r="F62" s="2102"/>
      <c r="G62" s="2102"/>
      <c r="H62" s="2102"/>
      <c r="I62" s="2102"/>
      <c r="J62" s="2103"/>
    </row>
    <row r="63" spans="1:10" s="181" customFormat="1" x14ac:dyDescent="0.2">
      <c r="A63" s="253"/>
      <c r="B63" s="2101"/>
      <c r="C63" s="2102"/>
      <c r="D63" s="2102"/>
      <c r="E63" s="2102"/>
      <c r="F63" s="2102"/>
      <c r="G63" s="2102"/>
      <c r="H63" s="2102"/>
      <c r="I63" s="2102"/>
      <c r="J63" s="2103"/>
    </row>
    <row r="64" spans="1:10" s="181" customFormat="1" x14ac:dyDescent="0.2">
      <c r="A64" s="253"/>
      <c r="B64" s="2101"/>
      <c r="C64" s="2102"/>
      <c r="D64" s="2102"/>
      <c r="E64" s="2102"/>
      <c r="F64" s="2102"/>
      <c r="G64" s="2102"/>
      <c r="H64" s="2102"/>
      <c r="I64" s="2102"/>
      <c r="J64" s="2103"/>
    </row>
    <row r="65" spans="1:10" s="181" customFormat="1" x14ac:dyDescent="0.2">
      <c r="A65" s="253"/>
      <c r="B65" s="2101"/>
      <c r="C65" s="2102"/>
      <c r="D65" s="2102"/>
      <c r="E65" s="2102"/>
      <c r="F65" s="2102"/>
      <c r="G65" s="2102"/>
      <c r="H65" s="2102"/>
      <c r="I65" s="2102"/>
      <c r="J65" s="2103"/>
    </row>
    <row r="66" spans="1:10" s="181" customFormat="1" x14ac:dyDescent="0.2">
      <c r="A66" s="253"/>
      <c r="B66" s="2101"/>
      <c r="C66" s="2102"/>
      <c r="D66" s="2102"/>
      <c r="E66" s="2102"/>
      <c r="F66" s="2102"/>
      <c r="G66" s="2102"/>
      <c r="H66" s="2102"/>
      <c r="I66" s="2102"/>
      <c r="J66" s="2103"/>
    </row>
    <row r="67" spans="1:10" s="181" customFormat="1" ht="9" customHeight="1" x14ac:dyDescent="0.2">
      <c r="A67" s="254"/>
      <c r="B67" s="2104"/>
      <c r="C67" s="2105"/>
      <c r="D67" s="2105"/>
      <c r="E67" s="2105"/>
      <c r="F67" s="2105"/>
      <c r="G67" s="2105"/>
      <c r="H67" s="2105"/>
      <c r="I67" s="2105"/>
      <c r="J67" s="210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91" t="s">
        <v>1390</v>
      </c>
      <c r="B70" s="2094"/>
      <c r="C70" s="2094"/>
      <c r="D70" s="2094"/>
      <c r="E70" s="2095"/>
      <c r="F70" s="2095"/>
      <c r="G70" s="2095"/>
      <c r="H70" s="2095"/>
      <c r="I70" s="209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6" t="s">
        <v>1387</v>
      </c>
      <c r="B83" s="2096"/>
      <c r="C83" s="2096"/>
      <c r="D83" s="209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8"/>
      <c r="C102" s="2079"/>
      <c r="D102" s="2079"/>
      <c r="E102" s="2079"/>
      <c r="F102" s="2079"/>
      <c r="G102" s="2079"/>
      <c r="H102" s="2079"/>
      <c r="I102" s="2080"/>
    </row>
    <row r="103" spans="1:9" s="181" customFormat="1" ht="11.25" customHeight="1" x14ac:dyDescent="0.2">
      <c r="A103" s="316"/>
      <c r="B103" s="2081"/>
      <c r="C103" s="2082"/>
      <c r="D103" s="2082"/>
      <c r="E103" s="2082"/>
      <c r="F103" s="2082"/>
      <c r="G103" s="2082"/>
      <c r="H103" s="2082"/>
      <c r="I103" s="2083"/>
    </row>
    <row r="104" spans="1:9" s="181" customFormat="1" ht="11.25" customHeight="1" x14ac:dyDescent="0.2">
      <c r="A104" s="316"/>
      <c r="B104" s="2081"/>
      <c r="C104" s="2082"/>
      <c r="D104" s="2082"/>
      <c r="E104" s="2082"/>
      <c r="F104" s="2082"/>
      <c r="G104" s="2082"/>
      <c r="H104" s="2082"/>
      <c r="I104" s="2083"/>
    </row>
    <row r="105" spans="1:9" s="181" customFormat="1" x14ac:dyDescent="0.2">
      <c r="A105" s="316"/>
      <c r="B105" s="2081"/>
      <c r="C105" s="2082"/>
      <c r="D105" s="2082"/>
      <c r="E105" s="2082"/>
      <c r="F105" s="2082"/>
      <c r="G105" s="2082"/>
      <c r="H105" s="2082"/>
      <c r="I105" s="2083"/>
    </row>
    <row r="106" spans="1:9" s="181" customFormat="1" ht="11.25" customHeight="1" x14ac:dyDescent="0.2">
      <c r="A106" s="316"/>
      <c r="B106" s="2081"/>
      <c r="C106" s="2082"/>
      <c r="D106" s="2082"/>
      <c r="E106" s="2082"/>
      <c r="F106" s="2082"/>
      <c r="G106" s="2082"/>
      <c r="H106" s="2082"/>
      <c r="I106" s="2083"/>
    </row>
    <row r="107" spans="1:9" s="181" customFormat="1" ht="11.25" customHeight="1" x14ac:dyDescent="0.2">
      <c r="A107" s="316"/>
      <c r="B107" s="2081"/>
      <c r="C107" s="2082"/>
      <c r="D107" s="2082"/>
      <c r="E107" s="2082"/>
      <c r="F107" s="2082"/>
      <c r="G107" s="2082"/>
      <c r="H107" s="2082"/>
      <c r="I107" s="2083"/>
    </row>
    <row r="108" spans="1:9" s="181" customFormat="1" ht="11.25" customHeight="1" x14ac:dyDescent="0.2">
      <c r="A108" s="316"/>
      <c r="B108" s="2081"/>
      <c r="C108" s="2082"/>
      <c r="D108" s="2082"/>
      <c r="E108" s="2082"/>
      <c r="F108" s="2082"/>
      <c r="G108" s="2082"/>
      <c r="H108" s="2082"/>
      <c r="I108" s="2083"/>
    </row>
    <row r="109" spans="1:9" s="181" customFormat="1" ht="11.25" customHeight="1" x14ac:dyDescent="0.2">
      <c r="A109" s="316"/>
      <c r="B109" s="2081"/>
      <c r="C109" s="2082"/>
      <c r="D109" s="2082"/>
      <c r="E109" s="2082"/>
      <c r="F109" s="2082"/>
      <c r="G109" s="2082"/>
      <c r="H109" s="2082"/>
      <c r="I109" s="2083"/>
    </row>
    <row r="110" spans="1:9" s="181" customFormat="1" ht="11.25" customHeight="1" x14ac:dyDescent="0.2">
      <c r="A110" s="316"/>
      <c r="B110" s="2081"/>
      <c r="C110" s="2082"/>
      <c r="D110" s="2082"/>
      <c r="E110" s="2082"/>
      <c r="F110" s="2082"/>
      <c r="G110" s="2082"/>
      <c r="H110" s="2082"/>
      <c r="I110" s="2083"/>
    </row>
    <row r="111" spans="1:9" s="181" customFormat="1" ht="11.25" customHeight="1" x14ac:dyDescent="0.2">
      <c r="A111" s="316"/>
      <c r="B111" s="2081"/>
      <c r="C111" s="2082"/>
      <c r="D111" s="2082"/>
      <c r="E111" s="2082"/>
      <c r="F111" s="2082"/>
      <c r="G111" s="2082"/>
      <c r="H111" s="2082"/>
      <c r="I111" s="2083"/>
    </row>
    <row r="112" spans="1:9" s="181" customFormat="1" ht="11.25" customHeight="1" x14ac:dyDescent="0.2">
      <c r="A112" s="316"/>
      <c r="B112" s="2084"/>
      <c r="C112" s="2085"/>
      <c r="D112" s="2085"/>
      <c r="E112" s="2085"/>
      <c r="F112" s="2085"/>
      <c r="G112" s="2085"/>
      <c r="H112" s="2085"/>
      <c r="I112" s="208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7" t="s">
        <v>2126</v>
      </c>
      <c r="D114" s="208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8" t="s">
        <v>1397</v>
      </c>
      <c r="D117" s="2089"/>
      <c r="E117" s="2090"/>
      <c r="F117" s="2090"/>
      <c r="G117" s="2090"/>
      <c r="H117" s="209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21" sqref="B21"/>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Lincoln-Way Area SpEd Dist</v>
      </c>
      <c r="C1" s="2469"/>
      <c r="D1" s="2469"/>
      <c r="E1" s="2469"/>
      <c r="F1" s="2469"/>
      <c r="G1" s="2469"/>
      <c r="H1" s="2469"/>
      <c r="I1" s="2469"/>
      <c r="J1" s="2469"/>
      <c r="K1" s="2469"/>
      <c r="L1" s="2469"/>
      <c r="M1" s="2469"/>
    </row>
    <row r="2" spans="2:14" ht="15" x14ac:dyDescent="0.2">
      <c r="B2" s="2458">
        <f>'Single Audit Cover'!E7</f>
        <v>56099843060</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2108</v>
      </c>
      <c r="C11" s="1338">
        <v>84.027000000000001</v>
      </c>
      <c r="D11" s="1339" t="s">
        <v>2110</v>
      </c>
      <c r="E11" s="1340">
        <v>2343061</v>
      </c>
      <c r="F11" s="1340">
        <v>364674</v>
      </c>
      <c r="G11" s="1340">
        <v>2343061</v>
      </c>
      <c r="H11" s="1340"/>
      <c r="I11" s="1340">
        <v>364674</v>
      </c>
      <c r="J11" s="1340"/>
      <c r="K11" s="1340"/>
      <c r="L11" s="1340">
        <f>+G11+I11+K11</f>
        <v>2707735</v>
      </c>
      <c r="M11" s="1340">
        <v>3024708</v>
      </c>
    </row>
    <row r="12" spans="2:14" ht="20.100000000000001" customHeight="1" x14ac:dyDescent="0.2">
      <c r="B12" s="1337" t="s">
        <v>2102</v>
      </c>
      <c r="C12" s="1341"/>
      <c r="D12" s="1342"/>
      <c r="E12" s="1343"/>
      <c r="F12" s="1343"/>
      <c r="G12" s="1343"/>
      <c r="H12" s="1343">
        <v>376284</v>
      </c>
      <c r="I12" s="1343"/>
      <c r="J12" s="1343">
        <v>57523</v>
      </c>
      <c r="K12" s="1343"/>
      <c r="L12" s="1340"/>
      <c r="M12" s="1343"/>
    </row>
    <row r="13" spans="2:14" ht="20.100000000000001" customHeight="1" x14ac:dyDescent="0.2">
      <c r="B13" s="1337" t="s">
        <v>2103</v>
      </c>
      <c r="C13" s="1341"/>
      <c r="D13" s="1342"/>
      <c r="E13" s="1343"/>
      <c r="F13" s="1343"/>
      <c r="G13" s="1343"/>
      <c r="H13" s="1343">
        <v>238847</v>
      </c>
      <c r="I13" s="1343"/>
      <c r="J13" s="1343">
        <v>12977</v>
      </c>
      <c r="K13" s="1343"/>
      <c r="L13" s="1340"/>
      <c r="M13" s="1343"/>
    </row>
    <row r="14" spans="2:14" ht="20.100000000000001" customHeight="1" x14ac:dyDescent="0.2">
      <c r="B14" s="1337" t="s">
        <v>2106</v>
      </c>
      <c r="C14" s="1341"/>
      <c r="D14" s="1342"/>
      <c r="E14" s="1343"/>
      <c r="F14" s="1343"/>
      <c r="G14" s="1343"/>
      <c r="H14" s="1343">
        <v>400413</v>
      </c>
      <c r="I14" s="1343"/>
      <c r="J14" s="1343">
        <v>8350</v>
      </c>
      <c r="K14" s="1343"/>
      <c r="L14" s="1340"/>
      <c r="M14" s="1343"/>
    </row>
    <row r="15" spans="2:14" ht="20.100000000000001" customHeight="1" x14ac:dyDescent="0.2">
      <c r="B15" s="1337" t="s">
        <v>2104</v>
      </c>
      <c r="C15" s="1341"/>
      <c r="D15" s="1342"/>
      <c r="E15" s="1343"/>
      <c r="F15" s="1343"/>
      <c r="G15" s="1343"/>
      <c r="H15" s="1343">
        <v>446120</v>
      </c>
      <c r="I15" s="1343"/>
      <c r="J15" s="1343"/>
      <c r="K15" s="1343"/>
      <c r="L15" s="1340"/>
      <c r="M15" s="1343"/>
    </row>
    <row r="16" spans="2:14" ht="20.100000000000001" customHeight="1" x14ac:dyDescent="0.2">
      <c r="B16" s="1337" t="s">
        <v>2109</v>
      </c>
      <c r="C16" s="1341"/>
      <c r="D16" s="1342"/>
      <c r="E16" s="1343"/>
      <c r="F16" s="1343"/>
      <c r="G16" s="1343"/>
      <c r="H16" s="1343">
        <v>881397</v>
      </c>
      <c r="I16" s="1343"/>
      <c r="J16" s="1343">
        <v>285824</v>
      </c>
      <c r="K16" s="1343"/>
      <c r="L16" s="1340"/>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2108</v>
      </c>
      <c r="C18" s="1341">
        <v>84.027000000000001</v>
      </c>
      <c r="D18" s="1342" t="s">
        <v>2111</v>
      </c>
      <c r="E18" s="1343"/>
      <c r="F18" s="1343">
        <v>2755994</v>
      </c>
      <c r="G18" s="1343"/>
      <c r="H18" s="1343"/>
      <c r="I18" s="1343">
        <v>2544178</v>
      </c>
      <c r="J18" s="1343"/>
      <c r="K18" s="1343">
        <v>411083</v>
      </c>
      <c r="L18" s="1340">
        <f t="shared" ref="L18" si="0">+G18+I18+K18</f>
        <v>2955261</v>
      </c>
      <c r="M18" s="1343">
        <v>3188098</v>
      </c>
    </row>
    <row r="19" spans="2:14" ht="20.100000000000001" customHeight="1" x14ac:dyDescent="0.2">
      <c r="B19" s="1337" t="s">
        <v>2102</v>
      </c>
      <c r="C19" s="1341"/>
      <c r="D19" s="1342"/>
      <c r="E19" s="1343"/>
      <c r="F19" s="1343"/>
      <c r="G19" s="1343"/>
      <c r="H19" s="1343"/>
      <c r="I19" s="1343"/>
      <c r="J19" s="1343">
        <v>389238</v>
      </c>
      <c r="K19" s="1343"/>
      <c r="L19" s="1340"/>
      <c r="M19" s="1343"/>
    </row>
    <row r="20" spans="2:14" ht="20.100000000000001" customHeight="1" x14ac:dyDescent="0.2">
      <c r="B20" s="1337" t="s">
        <v>2103</v>
      </c>
      <c r="C20" s="1341"/>
      <c r="D20" s="1342"/>
      <c r="E20" s="1343"/>
      <c r="F20" s="1343"/>
      <c r="G20" s="1343"/>
      <c r="H20" s="1343"/>
      <c r="I20" s="1343"/>
      <c r="J20" s="1343">
        <v>261391</v>
      </c>
      <c r="K20" s="1343"/>
      <c r="L20" s="1340"/>
      <c r="M20" s="1343"/>
    </row>
    <row r="21" spans="2:14" ht="20.100000000000001" customHeight="1" x14ac:dyDescent="0.2">
      <c r="B21" s="1337" t="s">
        <v>2106</v>
      </c>
      <c r="C21" s="1341"/>
      <c r="D21" s="1342"/>
      <c r="E21" s="1343"/>
      <c r="F21" s="1343"/>
      <c r="G21" s="1343"/>
      <c r="H21" s="1343"/>
      <c r="I21" s="1343"/>
      <c r="J21" s="1343">
        <v>416154</v>
      </c>
      <c r="K21" s="1343"/>
      <c r="L21" s="1340"/>
      <c r="M21" s="1343"/>
    </row>
    <row r="22" spans="2:14" ht="20.100000000000001" customHeight="1" x14ac:dyDescent="0.2">
      <c r="B22" s="1337" t="s">
        <v>2104</v>
      </c>
      <c r="C22" s="1341"/>
      <c r="D22" s="1342"/>
      <c r="E22" s="1343"/>
      <c r="F22" s="1343"/>
      <c r="G22" s="1343"/>
      <c r="H22" s="1343"/>
      <c r="I22" s="1343"/>
      <c r="J22" s="1343">
        <v>595434</v>
      </c>
      <c r="K22" s="1343"/>
      <c r="L22" s="1340"/>
      <c r="M22" s="1343"/>
    </row>
    <row r="23" spans="2:14" ht="20.100000000000001" customHeight="1" x14ac:dyDescent="0.2">
      <c r="B23" s="1337" t="s">
        <v>2109</v>
      </c>
      <c r="C23" s="1341"/>
      <c r="D23" s="1342"/>
      <c r="E23" s="1343"/>
      <c r="F23" s="1343"/>
      <c r="G23" s="1343"/>
      <c r="H23" s="1343"/>
      <c r="I23" s="1343"/>
      <c r="J23" s="1343">
        <v>881961</v>
      </c>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956" t="s">
        <v>2112</v>
      </c>
      <c r="C25" s="1341"/>
      <c r="D25" s="1342"/>
      <c r="E25" s="1343"/>
      <c r="F25" s="1958">
        <v>3224833</v>
      </c>
      <c r="G25" s="1343"/>
      <c r="H25" s="1343"/>
      <c r="I25" s="1958">
        <v>3014508</v>
      </c>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1 L18"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L23" sqref="L2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13" t="str">
        <f>'Single Audit Cover'!A7</f>
        <v>Lincoln-Way Area SpEd Dist</v>
      </c>
      <c r="C1" s="2469"/>
      <c r="D1" s="2469"/>
      <c r="E1" s="2469"/>
      <c r="F1" s="2469"/>
      <c r="G1" s="2469"/>
      <c r="H1" s="2469"/>
      <c r="I1" s="2469"/>
      <c r="J1" s="2469"/>
      <c r="K1" s="2469"/>
      <c r="L1" s="2469"/>
      <c r="M1" s="2469"/>
    </row>
    <row r="2" spans="2:14" ht="15" x14ac:dyDescent="0.2">
      <c r="B2" s="2458">
        <f>'Single Audit Cover'!E7</f>
        <v>56099843060</v>
      </c>
      <c r="C2" s="2458"/>
      <c r="D2" s="2458"/>
      <c r="E2" s="2458"/>
      <c r="F2" s="2458"/>
      <c r="G2" s="2458"/>
      <c r="H2" s="2458"/>
      <c r="I2" s="2458"/>
      <c r="J2" s="2458"/>
      <c r="K2" s="2458"/>
      <c r="L2" s="2458"/>
      <c r="M2" s="2458"/>
      <c r="N2" s="1302"/>
    </row>
    <row r="3" spans="2:14" ht="15" x14ac:dyDescent="0.2">
      <c r="B3" s="2470" t="s">
        <v>1281</v>
      </c>
      <c r="C3" s="2470"/>
      <c r="D3" s="2470"/>
      <c r="E3" s="2470"/>
      <c r="F3" s="2470"/>
      <c r="G3" s="2470"/>
      <c r="H3" s="2470"/>
      <c r="I3" s="2470"/>
      <c r="J3" s="2470"/>
      <c r="K3" s="2470"/>
      <c r="L3" s="2470"/>
      <c r="M3" s="2470"/>
      <c r="N3" s="1302"/>
    </row>
    <row r="4" spans="2:14" ht="15" x14ac:dyDescent="0.2">
      <c r="B4" s="2471" t="str">
        <f>'Single Audit Cover'!A4</f>
        <v>Year Ending June 30, 2018</v>
      </c>
      <c r="C4" s="2471"/>
      <c r="D4" s="2471"/>
      <c r="E4" s="2471"/>
      <c r="F4" s="2471"/>
      <c r="G4" s="2471"/>
      <c r="H4" s="2471"/>
      <c r="I4" s="2471"/>
      <c r="J4" s="2471"/>
      <c r="K4" s="2471"/>
      <c r="L4" s="2471"/>
      <c r="M4" s="2471"/>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6" t="s">
        <v>2113</v>
      </c>
      <c r="C11" s="1338"/>
      <c r="D11" s="1339"/>
      <c r="E11" s="1340"/>
      <c r="F11" s="1340"/>
      <c r="G11" s="1340"/>
      <c r="H11" s="1340"/>
      <c r="I11" s="1340"/>
      <c r="J11" s="1340"/>
      <c r="K11" s="1340"/>
      <c r="L11" s="1340"/>
      <c r="M11" s="1340"/>
    </row>
    <row r="12" spans="2:14" ht="20.100000000000001" customHeight="1" x14ac:dyDescent="0.2">
      <c r="B12" s="1957" t="s">
        <v>2114</v>
      </c>
      <c r="C12" s="1341"/>
      <c r="D12" s="1342"/>
      <c r="E12" s="1343"/>
      <c r="F12" s="1343"/>
      <c r="G12" s="1343"/>
      <c r="H12" s="1343"/>
      <c r="I12" s="1343"/>
      <c r="J12" s="1343"/>
      <c r="K12" s="1343"/>
      <c r="L12" s="1340"/>
      <c r="M12" s="1343"/>
    </row>
    <row r="13" spans="2:14" ht="20.100000000000001" customHeight="1" x14ac:dyDescent="0.2">
      <c r="B13" s="1337" t="s">
        <v>2115</v>
      </c>
      <c r="C13" s="1341">
        <v>93.778000000000006</v>
      </c>
      <c r="D13" s="1342" t="s">
        <v>2116</v>
      </c>
      <c r="E13" s="1343">
        <v>43488</v>
      </c>
      <c r="F13" s="1343"/>
      <c r="G13" s="1343">
        <v>43488</v>
      </c>
      <c r="H13" s="1343"/>
      <c r="I13" s="1343"/>
      <c r="J13" s="1343"/>
      <c r="K13" s="1343"/>
      <c r="L13" s="1340">
        <f t="shared" ref="L13:L14" si="0">+G13+I13+K13</f>
        <v>43488</v>
      </c>
      <c r="M13" s="1343" t="s">
        <v>2118</v>
      </c>
    </row>
    <row r="14" spans="2:14" ht="20.100000000000001" customHeight="1" x14ac:dyDescent="0.2">
      <c r="B14" s="1337" t="s">
        <v>2115</v>
      </c>
      <c r="C14" s="1341">
        <v>93.778000000000006</v>
      </c>
      <c r="D14" s="1342" t="s">
        <v>2117</v>
      </c>
      <c r="E14" s="1343"/>
      <c r="F14" s="1343">
        <v>25254</v>
      </c>
      <c r="G14" s="1343"/>
      <c r="H14" s="1343"/>
      <c r="I14" s="1343">
        <v>25254</v>
      </c>
      <c r="J14" s="1343"/>
      <c r="K14" s="1343"/>
      <c r="L14" s="1340">
        <f t="shared" si="0"/>
        <v>25254</v>
      </c>
      <c r="M14" s="1343" t="s">
        <v>2118</v>
      </c>
    </row>
    <row r="15" spans="2:14" ht="20.100000000000001" customHeight="1" x14ac:dyDescent="0.2">
      <c r="B15" s="1337" t="s">
        <v>1231</v>
      </c>
      <c r="C15" s="1341"/>
      <c r="D15" s="1342"/>
      <c r="E15" s="1343"/>
      <c r="F15" s="1343"/>
      <c r="G15" s="1343"/>
      <c r="H15" s="1343"/>
      <c r="I15" s="1343"/>
      <c r="J15" s="1343"/>
      <c r="K15" s="1343"/>
      <c r="L15" s="1340"/>
      <c r="M15" s="1343"/>
    </row>
    <row r="16" spans="2:14" ht="20.100000000000001" customHeight="1" x14ac:dyDescent="0.2">
      <c r="B16" s="1956" t="s">
        <v>2119</v>
      </c>
      <c r="C16" s="1341"/>
      <c r="D16" s="1342"/>
      <c r="E16" s="1343"/>
      <c r="F16" s="1958">
        <f>SUM(F14:F15)</f>
        <v>25254</v>
      </c>
      <c r="G16" s="1343"/>
      <c r="H16" s="1343"/>
      <c r="I16" s="1958">
        <f>SUM(I14:I15)</f>
        <v>25254</v>
      </c>
      <c r="J16" s="1343"/>
      <c r="K16" s="1343"/>
      <c r="L16" s="1340"/>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959" t="s">
        <v>2120</v>
      </c>
      <c r="C18" s="1341"/>
      <c r="D18" s="1342"/>
      <c r="E18" s="1343"/>
      <c r="F18" s="1960">
        <v>3250087</v>
      </c>
      <c r="G18" s="1343"/>
      <c r="H18" s="1343"/>
      <c r="I18" s="1960">
        <v>3039762</v>
      </c>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c r="C22" s="1341"/>
      <c r="D22" s="1342"/>
      <c r="E22" s="1343"/>
      <c r="F22" s="1343"/>
      <c r="G22" s="1343"/>
      <c r="H22" s="1343"/>
      <c r="I22" s="1343"/>
      <c r="J22" s="1343"/>
      <c r="K22" s="1343"/>
      <c r="L22" s="1340"/>
      <c r="M22" s="1343"/>
    </row>
    <row r="23" spans="2:14" ht="20.100000000000001" customHeight="1" x14ac:dyDescent="0.2">
      <c r="B23" s="1337"/>
      <c r="C23" s="1341"/>
      <c r="D23" s="1342"/>
      <c r="E23" s="1343"/>
      <c r="F23" s="1343"/>
      <c r="G23" s="1343"/>
      <c r="H23" s="1343"/>
      <c r="I23" s="1343"/>
      <c r="J23" s="1343"/>
      <c r="K23" s="1343"/>
      <c r="L23" s="1340"/>
      <c r="M23" s="1343"/>
    </row>
    <row r="24" spans="2:14" ht="20.100000000000001" customHeight="1" x14ac:dyDescent="0.2">
      <c r="B24" s="1337"/>
      <c r="C24" s="1341"/>
      <c r="D24" s="1342"/>
      <c r="E24" s="1343"/>
      <c r="F24" s="1343"/>
      <c r="G24" s="1343"/>
      <c r="H24" s="1343"/>
      <c r="I24" s="1343"/>
      <c r="J24" s="1343"/>
      <c r="K24" s="1343"/>
      <c r="L24" s="1340"/>
      <c r="M24" s="1343"/>
    </row>
    <row r="25" spans="2:14" ht="20.100000000000001" customHeight="1" x14ac:dyDescent="0.2">
      <c r="B25" s="1337"/>
      <c r="C25" s="1341"/>
      <c r="D25" s="1342"/>
      <c r="E25" s="1343"/>
      <c r="F25" s="1343"/>
      <c r="G25" s="1343"/>
      <c r="H25" s="1343"/>
      <c r="I25" s="1343"/>
      <c r="J25" s="1343"/>
      <c r="K25" s="1343"/>
      <c r="L25" s="1340"/>
      <c r="M25" s="1343"/>
    </row>
    <row r="26" spans="2:14" ht="20.100000000000001" customHeight="1" x14ac:dyDescent="0.2">
      <c r="B26" s="1337"/>
      <c r="C26" s="1341"/>
      <c r="D26" s="1342"/>
      <c r="E26" s="1343"/>
      <c r="F26" s="1343"/>
      <c r="G26" s="1343"/>
      <c r="H26" s="1343"/>
      <c r="I26" s="1343"/>
      <c r="J26" s="1343"/>
      <c r="K26" s="1343"/>
      <c r="L26" s="1340"/>
      <c r="M26" s="1343"/>
    </row>
    <row r="27" spans="2:14" ht="20.100000000000001" customHeight="1" x14ac:dyDescent="0.2">
      <c r="B27" s="1337"/>
      <c r="C27" s="1341"/>
      <c r="D27" s="1342"/>
      <c r="E27" s="1343"/>
      <c r="F27" s="1343"/>
      <c r="G27" s="1343"/>
      <c r="H27" s="1343"/>
      <c r="I27" s="1343"/>
      <c r="J27" s="1343"/>
      <c r="K27" s="1343"/>
      <c r="L27" s="1340"/>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ignoredErrors>
    <ignoredError sqref="L13:L14 F16:I16"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23" zoomScale="110" zoomScaleNormal="110" workbookViewId="0">
      <selection activeCell="E52" sqref="E52"/>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6" t="str">
        <f>'Single Audit Cover'!A7</f>
        <v>Lincoln-Way Area SpEd Dist</v>
      </c>
      <c r="C1" s="2477"/>
      <c r="D1" s="2477"/>
      <c r="E1" s="2477"/>
      <c r="F1" s="2477"/>
      <c r="G1" s="2477"/>
      <c r="H1" s="2477"/>
      <c r="I1" s="2477"/>
      <c r="J1" s="1422"/>
    </row>
    <row r="2" spans="2:10" s="317" customFormat="1" ht="12.75" customHeight="1" x14ac:dyDescent="0.2">
      <c r="B2" s="2478">
        <f>'Single Audit Cover'!E7</f>
        <v>56099843060</v>
      </c>
      <c r="C2" s="2479"/>
      <c r="D2" s="2479"/>
      <c r="E2" s="2479"/>
      <c r="F2" s="2479"/>
      <c r="G2" s="2479"/>
      <c r="H2" s="2479"/>
      <c r="I2" s="2479"/>
      <c r="J2" s="1422"/>
    </row>
    <row r="3" spans="2:10" s="317" customFormat="1" ht="12.75" customHeight="1" x14ac:dyDescent="0.2">
      <c r="B3" s="2480" t="s">
        <v>1347</v>
      </c>
      <c r="C3" s="2481"/>
      <c r="D3" s="2481"/>
      <c r="E3" s="2481"/>
      <c r="F3" s="2481"/>
      <c r="G3" s="2481"/>
      <c r="H3" s="2481"/>
      <c r="I3" s="2481"/>
      <c r="J3" s="1423"/>
    </row>
    <row r="4" spans="2:10" s="317" customFormat="1" ht="12.75" customHeight="1" x14ac:dyDescent="0.2">
      <c r="B4" s="2480" t="str">
        <f>'Single Audit Cover'!A4</f>
        <v>Year Ending June 30, 2018</v>
      </c>
      <c r="C4" s="2481"/>
      <c r="D4" s="2481"/>
      <c r="E4" s="2481"/>
      <c r="F4" s="2481"/>
      <c r="G4" s="2481"/>
      <c r="H4" s="2481"/>
      <c r="I4" s="2481"/>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0" t="s">
        <v>1346</v>
      </c>
      <c r="C7" s="2481"/>
      <c r="D7" s="2481"/>
      <c r="E7" s="2481"/>
      <c r="F7" s="2481"/>
      <c r="G7" s="2481"/>
      <c r="H7" s="2481"/>
      <c r="I7" s="2481"/>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2" t="s">
        <v>1226</v>
      </c>
      <c r="D11" s="2482"/>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2074</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2074</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2074</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2074</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2074</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3" t="s">
        <v>2121</v>
      </c>
      <c r="E29" s="2483"/>
      <c r="F29" s="2483"/>
      <c r="G29" s="2483"/>
      <c r="H29" s="2483"/>
      <c r="I29" s="2483"/>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2074</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84" t="s">
        <v>1851</v>
      </c>
      <c r="D37" s="2485"/>
      <c r="E37" s="2485"/>
      <c r="F37" s="2486"/>
      <c r="G37" s="2484" t="s">
        <v>1674</v>
      </c>
      <c r="H37" s="2485"/>
      <c r="I37" s="2486"/>
    </row>
    <row r="38" spans="2:9" ht="16.5" customHeight="1" x14ac:dyDescent="0.2">
      <c r="B38" s="1444">
        <v>84.173000000000002</v>
      </c>
      <c r="C38" s="2472" t="s">
        <v>2122</v>
      </c>
      <c r="D38" s="2473"/>
      <c r="E38" s="2473"/>
      <c r="F38" s="2474"/>
      <c r="G38" s="2487">
        <v>105656</v>
      </c>
      <c r="H38" s="2488"/>
      <c r="I38" s="2489"/>
    </row>
    <row r="39" spans="2:9" ht="16.5" customHeight="1" x14ac:dyDescent="0.2">
      <c r="B39" s="1444">
        <v>84.027000000000001</v>
      </c>
      <c r="C39" s="2472" t="s">
        <v>2089</v>
      </c>
      <c r="D39" s="2473"/>
      <c r="E39" s="2473"/>
      <c r="F39" s="2474"/>
      <c r="G39" s="2475">
        <v>2908852</v>
      </c>
      <c r="H39" s="2475"/>
      <c r="I39" s="2475"/>
    </row>
    <row r="40" spans="2:9" ht="16.5" customHeight="1" x14ac:dyDescent="0.2">
      <c r="B40" s="1444"/>
      <c r="C40" s="2472"/>
      <c r="D40" s="2473"/>
      <c r="E40" s="2473"/>
      <c r="F40" s="2474"/>
      <c r="G40" s="2475"/>
      <c r="H40" s="2475"/>
      <c r="I40" s="2475"/>
    </row>
    <row r="41" spans="2:9" ht="16.5" customHeight="1" x14ac:dyDescent="0.2">
      <c r="B41" s="1444"/>
      <c r="C41" s="2472"/>
      <c r="D41" s="2473"/>
      <c r="E41" s="2473"/>
      <c r="F41" s="2474"/>
      <c r="G41" s="2475"/>
      <c r="H41" s="2475"/>
      <c r="I41" s="2475"/>
    </row>
    <row r="42" spans="2:9" ht="16.5" customHeight="1" x14ac:dyDescent="0.2">
      <c r="B42" s="1444"/>
      <c r="C42" s="2472"/>
      <c r="D42" s="2473"/>
      <c r="E42" s="2473"/>
      <c r="F42" s="2474"/>
      <c r="G42" s="2475"/>
      <c r="H42" s="2475"/>
      <c r="I42" s="2475"/>
    </row>
    <row r="43" spans="2:9" ht="16.5" customHeight="1" x14ac:dyDescent="0.2">
      <c r="B43" s="1444"/>
      <c r="C43" s="2490" t="s">
        <v>1675</v>
      </c>
      <c r="D43" s="2491"/>
      <c r="E43" s="2491"/>
      <c r="F43" s="2492"/>
      <c r="G43" s="2493">
        <f>SUM(G38:I42)</f>
        <v>3014508</v>
      </c>
      <c r="H43" s="2493"/>
      <c r="I43" s="2493"/>
    </row>
    <row r="44" spans="2:9" ht="12.75" customHeight="1" x14ac:dyDescent="0.2"/>
    <row r="45" spans="2:9" ht="12.75" customHeight="1" x14ac:dyDescent="0.2">
      <c r="B45" s="1435" t="s">
        <v>1949</v>
      </c>
      <c r="D45" s="2494">
        <v>3039762</v>
      </c>
      <c r="E45" s="2495"/>
    </row>
    <row r="46" spans="2:9" ht="5.25" customHeight="1" x14ac:dyDescent="0.2">
      <c r="B46" s="1445"/>
      <c r="D46" s="1446"/>
      <c r="E46" s="1447"/>
    </row>
    <row r="47" spans="2:9" ht="12.75" customHeight="1" x14ac:dyDescent="0.2">
      <c r="B47" s="1300" t="s">
        <v>1676</v>
      </c>
      <c r="C47" s="1300"/>
      <c r="D47" s="1448">
        <f>+G43/D45</f>
        <v>0.99169211273777358</v>
      </c>
      <c r="E47" s="1449"/>
      <c r="F47" s="1450"/>
      <c r="I47" s="1451"/>
    </row>
    <row r="48" spans="2:9" ht="9.9499999999999993" customHeight="1" x14ac:dyDescent="0.2"/>
    <row r="49" spans="1:9" x14ac:dyDescent="0.2">
      <c r="B49" s="1368" t="s">
        <v>1335</v>
      </c>
      <c r="C49" s="1282"/>
      <c r="D49" s="1282"/>
      <c r="E49" s="2496">
        <v>750000</v>
      </c>
      <c r="F49" s="2496"/>
      <c r="G49" s="2496"/>
      <c r="H49" s="322"/>
    </row>
    <row r="51" spans="1:9" ht="13.5" customHeight="1" x14ac:dyDescent="0.2">
      <c r="B51" s="1368" t="s">
        <v>1334</v>
      </c>
      <c r="C51" s="1282"/>
      <c r="E51" s="1438" t="s">
        <v>2074</v>
      </c>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E52" sqref="E5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6" t="str">
        <f>'Single Audit Cover'!A7</f>
        <v>Lincoln-Way Area SpEd Dist</v>
      </c>
      <c r="C1" s="2476"/>
      <c r="D1" s="2476"/>
      <c r="E1" s="2476"/>
      <c r="F1" s="2476"/>
      <c r="G1" s="2476"/>
      <c r="H1" s="2476"/>
      <c r="I1" s="2476"/>
      <c r="J1" s="2476"/>
      <c r="K1" s="2476"/>
      <c r="L1" s="1374"/>
      <c r="M1" s="1374"/>
    </row>
    <row r="2" spans="1:13" ht="12" customHeight="1" x14ac:dyDescent="0.2">
      <c r="B2" s="2478">
        <f>'Single Audit Cover'!E7</f>
        <v>56099843060</v>
      </c>
      <c r="C2" s="2478"/>
      <c r="D2" s="2478"/>
      <c r="E2" s="2478"/>
      <c r="F2" s="2478"/>
      <c r="G2" s="2478"/>
      <c r="H2" s="2478"/>
      <c r="I2" s="2478"/>
      <c r="J2" s="2478"/>
      <c r="K2" s="2478"/>
      <c r="L2" s="1375"/>
      <c r="M2" s="1376"/>
    </row>
    <row r="3" spans="1:13" ht="10.35" customHeight="1" x14ac:dyDescent="0.2">
      <c r="B3" s="2499" t="s">
        <v>1347</v>
      </c>
      <c r="C3" s="2499"/>
      <c r="D3" s="2499"/>
      <c r="E3" s="2499"/>
      <c r="F3" s="2499"/>
      <c r="G3" s="2499"/>
      <c r="H3" s="2499"/>
      <c r="I3" s="2499"/>
      <c r="J3" s="2499"/>
      <c r="K3" s="2499"/>
      <c r="L3" s="1377"/>
      <c r="M3" s="1377"/>
    </row>
    <row r="4" spans="1:13" ht="14.25" customHeight="1" x14ac:dyDescent="0.2">
      <c r="B4" s="2500" t="str">
        <f>'Single Audit Cover'!A4</f>
        <v>Year Ending June 30, 2018</v>
      </c>
      <c r="C4" s="2500"/>
      <c r="D4" s="2500"/>
      <c r="E4" s="2500"/>
      <c r="F4" s="2500"/>
      <c r="G4" s="2500"/>
      <c r="H4" s="2500"/>
      <c r="I4" s="2500"/>
      <c r="J4" s="2500"/>
      <c r="K4" s="2500"/>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00" t="s">
        <v>1363</v>
      </c>
      <c r="C7" s="2500"/>
      <c r="D7" s="2501"/>
      <c r="E7" s="2501"/>
      <c r="F7" s="2501"/>
      <c r="G7" s="2501"/>
      <c r="H7" s="2501"/>
      <c r="I7" s="2501"/>
      <c r="J7" s="2501"/>
      <c r="K7" s="2501"/>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2123</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8"/>
      <c r="C14" s="2498"/>
      <c r="D14" s="2498"/>
      <c r="E14" s="2498"/>
      <c r="F14" s="2498"/>
      <c r="G14" s="2498"/>
      <c r="H14" s="2498"/>
      <c r="I14" s="2498"/>
      <c r="J14" s="2498"/>
      <c r="K14" s="2498"/>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8"/>
      <c r="C17" s="2498"/>
      <c r="D17" s="2498"/>
      <c r="E17" s="2498"/>
      <c r="F17" s="2498"/>
      <c r="G17" s="2498"/>
      <c r="H17" s="2498"/>
      <c r="I17" s="2498"/>
      <c r="J17" s="2498"/>
      <c r="K17" s="2498"/>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02"/>
      <c r="C20" s="2502"/>
      <c r="D20" s="2498"/>
      <c r="E20" s="2498"/>
      <c r="F20" s="2498"/>
      <c r="G20" s="2498"/>
      <c r="H20" s="2498"/>
      <c r="I20" s="2498"/>
      <c r="J20" s="2498"/>
      <c r="K20" s="2498"/>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8"/>
      <c r="C23" s="2498"/>
      <c r="D23" s="2498"/>
      <c r="E23" s="2498"/>
      <c r="F23" s="2498"/>
      <c r="G23" s="2498"/>
      <c r="H23" s="2498"/>
      <c r="I23" s="2498"/>
      <c r="J23" s="2498"/>
      <c r="K23" s="2498"/>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8"/>
      <c r="C26" s="2498"/>
      <c r="D26" s="2498"/>
      <c r="E26" s="2498"/>
      <c r="F26" s="2498"/>
      <c r="G26" s="2498"/>
      <c r="H26" s="2498"/>
      <c r="I26" s="2498"/>
      <c r="J26" s="2498"/>
      <c r="K26" s="2498"/>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7"/>
      <c r="C29" s="2497"/>
      <c r="D29" s="2498"/>
      <c r="E29" s="2498"/>
      <c r="F29" s="2498"/>
      <c r="G29" s="2498"/>
      <c r="H29" s="2498"/>
      <c r="I29" s="2498"/>
      <c r="J29" s="2498"/>
      <c r="K29" s="2498"/>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497"/>
      <c r="C32" s="2497"/>
      <c r="D32" s="2498"/>
      <c r="E32" s="2498"/>
      <c r="F32" s="2498"/>
      <c r="G32" s="2498"/>
      <c r="H32" s="2498"/>
      <c r="I32" s="2498"/>
      <c r="J32" s="2498"/>
      <c r="K32" s="2498"/>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E52" sqref="E5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3" t="str">
        <f>'Single Audit Cover'!A7</f>
        <v>Lincoln-Way Area SpEd Dist</v>
      </c>
      <c r="C1" s="2503"/>
      <c r="D1" s="2503"/>
      <c r="E1" s="2503"/>
      <c r="F1" s="2503"/>
      <c r="G1" s="2503"/>
      <c r="H1" s="2503"/>
      <c r="I1" s="2503"/>
      <c r="J1" s="2503"/>
      <c r="K1" s="2503"/>
      <c r="L1" s="1465"/>
    </row>
    <row r="2" spans="1:12" ht="12.75" customHeight="1" x14ac:dyDescent="0.2">
      <c r="B2" s="2504">
        <f>'Single Audit Cover'!E7</f>
        <v>56099843060</v>
      </c>
      <c r="C2" s="2504"/>
      <c r="D2" s="2504"/>
      <c r="E2" s="2504"/>
      <c r="F2" s="2504"/>
      <c r="G2" s="2504"/>
      <c r="H2" s="2504"/>
      <c r="I2" s="2504"/>
      <c r="J2" s="2504"/>
      <c r="K2" s="2504"/>
      <c r="L2" s="1466"/>
    </row>
    <row r="3" spans="1:12" ht="12.75" customHeight="1" x14ac:dyDescent="0.2">
      <c r="B3" s="2499" t="s">
        <v>1347</v>
      </c>
      <c r="C3" s="2499"/>
      <c r="D3" s="2499"/>
      <c r="E3" s="2499"/>
      <c r="F3" s="2499"/>
      <c r="G3" s="2499"/>
      <c r="H3" s="2499"/>
      <c r="I3" s="2499"/>
      <c r="J3" s="2499"/>
      <c r="K3" s="2499"/>
      <c r="L3" s="1377"/>
    </row>
    <row r="4" spans="1:12" ht="12.75" customHeight="1" x14ac:dyDescent="0.2">
      <c r="B4" s="2499" t="str">
        <f>'Single Audit Cover'!A4</f>
        <v>Year Ending June 30, 2018</v>
      </c>
      <c r="C4" s="2499"/>
      <c r="D4" s="2499"/>
      <c r="E4" s="2499"/>
      <c r="F4" s="2499"/>
      <c r="G4" s="2499"/>
      <c r="H4" s="2499"/>
      <c r="I4" s="2499"/>
      <c r="J4" s="2499"/>
      <c r="K4" s="2499"/>
      <c r="L4" s="1377"/>
    </row>
    <row r="5" spans="1:12" ht="5.25" customHeight="1" x14ac:dyDescent="0.2">
      <c r="B5" s="1260" t="s">
        <v>1231</v>
      </c>
      <c r="C5" s="1260"/>
      <c r="L5" s="322"/>
    </row>
    <row r="6" spans="1:12" ht="30.75" customHeight="1" x14ac:dyDescent="0.2">
      <c r="A6" s="322"/>
      <c r="B6" s="2505" t="s">
        <v>1375</v>
      </c>
      <c r="C6" s="2505"/>
      <c r="D6" s="2505"/>
      <c r="E6" s="2505"/>
      <c r="F6" s="2505"/>
      <c r="G6" s="2505"/>
      <c r="H6" s="2505"/>
      <c r="I6" s="2505"/>
      <c r="J6" s="2505"/>
      <c r="K6" s="2505"/>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2123</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3"/>
      <c r="G12" s="2483"/>
      <c r="H12" s="2483"/>
      <c r="I12" s="2483"/>
      <c r="J12" s="2483"/>
      <c r="K12" s="2483"/>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6"/>
      <c r="E14" s="2506"/>
      <c r="F14" s="2506"/>
      <c r="H14" s="1475" t="s">
        <v>1370</v>
      </c>
      <c r="I14" s="2507"/>
      <c r="J14" s="2507"/>
      <c r="K14" s="2507"/>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7"/>
      <c r="E16" s="2507"/>
      <c r="F16" s="2507"/>
      <c r="G16" s="2507"/>
      <c r="H16" s="2507"/>
      <c r="I16" s="2507"/>
      <c r="J16" s="2507"/>
      <c r="K16" s="2507"/>
      <c r="L16" s="322"/>
    </row>
    <row r="17" spans="2:12" ht="13.5" customHeight="1" x14ac:dyDescent="0.2">
      <c r="B17" s="1387" t="s">
        <v>1368</v>
      </c>
      <c r="C17" s="1387"/>
      <c r="D17" s="2508"/>
      <c r="E17" s="2508"/>
      <c r="F17" s="2508"/>
      <c r="G17" s="2508"/>
      <c r="H17" s="2508"/>
      <c r="I17" s="2508"/>
      <c r="J17" s="2508"/>
      <c r="K17" s="2508"/>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8"/>
      <c r="C20" s="2498"/>
      <c r="D20" s="2498"/>
      <c r="E20" s="2498"/>
      <c r="F20" s="2498"/>
      <c r="G20" s="2498"/>
      <c r="H20" s="2498"/>
      <c r="I20" s="2498"/>
      <c r="J20" s="2498"/>
      <c r="K20" s="2498"/>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E52" sqref="E52"/>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6" t="str">
        <f>'Single Audit Cover'!A7</f>
        <v>Lincoln-Way Area SpEd Dist</v>
      </c>
      <c r="C1" s="2476"/>
      <c r="D1" s="2476"/>
      <c r="E1" s="1491"/>
    </row>
    <row r="2" spans="2:5" s="1282" customFormat="1" ht="12.75" customHeight="1" x14ac:dyDescent="0.2">
      <c r="B2" s="2478">
        <f>'Single Audit Cover'!E7</f>
        <v>56099843060</v>
      </c>
      <c r="C2" s="2478"/>
      <c r="D2" s="2478"/>
      <c r="E2" s="1492"/>
    </row>
    <row r="3" spans="2:5" ht="12.75" customHeight="1" x14ac:dyDescent="0.2">
      <c r="B3" s="2499" t="s">
        <v>1866</v>
      </c>
      <c r="C3" s="2499"/>
      <c r="D3" s="2499"/>
      <c r="E3" s="1274"/>
    </row>
    <row r="4" spans="2:5" s="1282" customFormat="1" ht="12.75" customHeight="1" x14ac:dyDescent="0.2">
      <c r="B4" s="2509" t="str">
        <f>'Single Audit Cover'!A4</f>
        <v>Year Ending June 30, 2018</v>
      </c>
      <c r="C4" s="2509"/>
      <c r="D4" s="2509"/>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c r="C7" s="324"/>
      <c r="D7" s="324"/>
      <c r="E7" s="324"/>
    </row>
    <row r="8" spans="2:5" ht="13.5" customHeight="1" x14ac:dyDescent="0.2">
      <c r="B8" s="1496" t="s">
        <v>2123</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17"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7" t="s">
        <v>404</v>
      </c>
      <c r="B1" s="2107"/>
      <c r="C1" s="2107"/>
      <c r="D1" s="2107"/>
      <c r="E1" s="2107"/>
      <c r="F1" s="2107"/>
      <c r="G1" s="2107"/>
      <c r="H1" s="2107"/>
      <c r="I1" s="2107"/>
      <c r="J1" s="2107"/>
      <c r="K1" s="2107"/>
      <c r="L1" s="2107"/>
      <c r="M1" s="210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7" t="str">
        <f>IF(SUM(J10)&lt;=0.0999999,"","Enter the Tax Rates by moving the decimal two places to the left.")</f>
        <v/>
      </c>
      <c r="E11" s="2118"/>
      <c r="F11" s="2118"/>
      <c r="G11" s="2118"/>
      <c r="H11" s="2118"/>
      <c r="I11" s="2118"/>
      <c r="J11" s="211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16943661</v>
      </c>
      <c r="E16" s="356"/>
      <c r="F16" s="1755">
        <f>SUM('Acct Summary 7-8'!C17,'Acct Summary 7-8'!D17,'Acct Summary 7-8'!F17)</f>
        <v>15520943</v>
      </c>
      <c r="G16" s="356"/>
      <c r="H16" s="1755">
        <f>SUM(D16-F16)</f>
        <v>1422718</v>
      </c>
      <c r="I16" s="222"/>
      <c r="J16" s="1755">
        <f>SUM('Acct Summary 7-8'!C81,'Acct Summary 7-8'!D81,'Acct Summary 7-8'!F81,'Acct Summary 7-8'!I81)</f>
        <v>3661268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510000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8"/>
      <c r="C54" s="2109"/>
      <c r="D54" s="2109"/>
      <c r="E54" s="2109"/>
      <c r="F54" s="2109"/>
      <c r="G54" s="2109"/>
      <c r="H54" s="2109"/>
      <c r="I54" s="2109"/>
      <c r="J54" s="2109"/>
      <c r="K54" s="2109"/>
      <c r="L54" s="2110"/>
      <c r="M54" s="380"/>
    </row>
    <row r="55" spans="1:13" ht="12.75" customHeight="1" x14ac:dyDescent="0.2">
      <c r="B55" s="2111"/>
      <c r="C55" s="2112"/>
      <c r="D55" s="2112"/>
      <c r="E55" s="2112"/>
      <c r="F55" s="2112"/>
      <c r="G55" s="2112"/>
      <c r="H55" s="2112"/>
      <c r="I55" s="2112"/>
      <c r="J55" s="2112"/>
      <c r="K55" s="2112"/>
      <c r="L55" s="2113"/>
      <c r="M55" s="380"/>
    </row>
    <row r="56" spans="1:13" ht="12.75" customHeight="1" x14ac:dyDescent="0.2">
      <c r="B56" s="2111"/>
      <c r="C56" s="2112"/>
      <c r="D56" s="2112"/>
      <c r="E56" s="2112"/>
      <c r="F56" s="2112"/>
      <c r="G56" s="2112"/>
      <c r="H56" s="2112"/>
      <c r="I56" s="2112"/>
      <c r="J56" s="2112"/>
      <c r="K56" s="2112"/>
      <c r="L56" s="2113"/>
      <c r="M56" s="222"/>
    </row>
    <row r="57" spans="1:13" ht="12.75" customHeight="1" x14ac:dyDescent="0.2">
      <c r="B57" s="2111"/>
      <c r="C57" s="2112"/>
      <c r="D57" s="2112"/>
      <c r="E57" s="2112"/>
      <c r="F57" s="2112"/>
      <c r="G57" s="2112"/>
      <c r="H57" s="2112"/>
      <c r="I57" s="2112"/>
      <c r="J57" s="2112"/>
      <c r="K57" s="2112"/>
      <c r="L57" s="2113"/>
      <c r="M57" s="222"/>
    </row>
    <row r="58" spans="1:13" x14ac:dyDescent="0.2">
      <c r="B58" s="2114"/>
      <c r="C58" s="2115"/>
      <c r="D58" s="2115"/>
      <c r="E58" s="2115"/>
      <c r="F58" s="2115"/>
      <c r="G58" s="2115"/>
      <c r="H58" s="2115"/>
      <c r="I58" s="2115"/>
      <c r="J58" s="2115"/>
      <c r="K58" s="2115"/>
      <c r="L58" s="211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9"/>
      <c r="D61" s="212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2"/>
      <c r="B1" s="2123"/>
      <c r="C1" s="2123"/>
      <c r="D1" s="384"/>
      <c r="E1" s="384"/>
      <c r="F1" s="384"/>
      <c r="G1" s="384"/>
      <c r="H1" s="384"/>
      <c r="I1" s="384"/>
      <c r="J1" s="384"/>
      <c r="K1" s="384"/>
      <c r="L1" s="384"/>
      <c r="M1" s="384"/>
      <c r="N1" s="384"/>
      <c r="O1" s="2122"/>
      <c r="P1" s="2123"/>
      <c r="Q1" s="2123"/>
    </row>
    <row r="2" spans="1:18" ht="15" x14ac:dyDescent="0.2">
      <c r="A2" s="2126" t="s">
        <v>577</v>
      </c>
      <c r="B2" s="2126"/>
      <c r="C2" s="2126"/>
      <c r="D2" s="2126"/>
      <c r="E2" s="2126"/>
      <c r="F2" s="2126"/>
      <c r="G2" s="2126"/>
      <c r="H2" s="2126"/>
      <c r="I2" s="2126"/>
      <c r="J2" s="2126"/>
      <c r="K2" s="2126"/>
      <c r="L2" s="2126"/>
      <c r="M2" s="2126"/>
      <c r="N2" s="2126"/>
      <c r="O2" s="2126"/>
      <c r="P2" s="2126"/>
      <c r="Q2" s="2126"/>
      <c r="R2" s="2126"/>
    </row>
    <row r="3" spans="1:18" ht="12.75" x14ac:dyDescent="0.2">
      <c r="A3" s="2127" t="s">
        <v>1480</v>
      </c>
      <c r="B3" s="2127"/>
      <c r="C3" s="2127"/>
      <c r="D3" s="2127"/>
      <c r="E3" s="2127"/>
      <c r="F3" s="2127"/>
      <c r="G3" s="2127"/>
      <c r="H3" s="2127"/>
      <c r="I3" s="2127"/>
      <c r="J3" s="2127"/>
      <c r="K3" s="2127"/>
      <c r="L3" s="2127"/>
      <c r="M3" s="2127"/>
      <c r="N3" s="2127"/>
      <c r="O3" s="2127"/>
      <c r="P3" s="2127"/>
      <c r="Q3" s="2127"/>
      <c r="R3" s="2127"/>
    </row>
    <row r="4" spans="1:18" x14ac:dyDescent="0.2">
      <c r="A4" s="2128" t="s">
        <v>1635</v>
      </c>
      <c r="B4" s="2128"/>
      <c r="C4" s="2128"/>
      <c r="D4" s="2128"/>
      <c r="E4" s="2128"/>
      <c r="F4" s="2128"/>
      <c r="G4" s="2128"/>
      <c r="H4" s="2128"/>
      <c r="I4" s="2128"/>
      <c r="J4" s="2128"/>
      <c r="K4" s="2128"/>
      <c r="L4" s="2128"/>
      <c r="M4" s="2128"/>
      <c r="N4" s="2128"/>
      <c r="O4" s="2128"/>
      <c r="P4" s="2128"/>
      <c r="Q4" s="2128"/>
      <c r="R4" s="212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Lincoln-Way Area SpEd Dist</v>
      </c>
      <c r="E7" s="391"/>
      <c r="G7" s="252"/>
      <c r="H7" s="387"/>
      <c r="I7" s="387"/>
      <c r="J7" s="387"/>
      <c r="K7" s="387"/>
      <c r="L7" s="329"/>
      <c r="M7" s="329"/>
      <c r="N7" s="329"/>
      <c r="O7" s="329"/>
      <c r="P7" s="329"/>
    </row>
    <row r="8" spans="1:18" ht="12.75" x14ac:dyDescent="0.2">
      <c r="A8" s="329"/>
      <c r="B8" s="329"/>
      <c r="C8" s="389" t="s">
        <v>1187</v>
      </c>
      <c r="D8" s="392">
        <f>COVER!A13</f>
        <v>56099843060</v>
      </c>
      <c r="E8" s="393"/>
      <c r="G8" s="329"/>
      <c r="H8" s="329"/>
      <c r="I8" s="329"/>
      <c r="J8" s="329"/>
      <c r="K8" s="329"/>
      <c r="L8" s="329"/>
      <c r="M8" s="329"/>
      <c r="N8" s="329"/>
      <c r="O8" s="329"/>
      <c r="P8" s="329"/>
    </row>
    <row r="9" spans="1:18" ht="12.75" x14ac:dyDescent="0.2">
      <c r="A9" s="329"/>
      <c r="B9" s="329"/>
      <c r="C9" s="389" t="s">
        <v>737</v>
      </c>
      <c r="D9" s="394" t="str">
        <f>COVER!A15</f>
        <v>Will</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3661268</v>
      </c>
      <c r="I12" s="404"/>
      <c r="J12" s="404"/>
      <c r="K12" s="405">
        <f>TRUNC((H12/H13*100000),5)/100000</f>
        <v>0.21855392360000001</v>
      </c>
      <c r="L12" s="406"/>
      <c r="M12" s="360" t="s">
        <v>1206</v>
      </c>
      <c r="N12" s="360"/>
      <c r="O12" s="407">
        <v>0.35</v>
      </c>
      <c r="P12" s="218"/>
      <c r="Q12" s="218"/>
    </row>
    <row r="13" spans="1:18" s="408" customFormat="1" ht="12.75" x14ac:dyDescent="0.2">
      <c r="A13" s="218"/>
      <c r="B13" s="401"/>
      <c r="C13" s="2124" t="s">
        <v>1391</v>
      </c>
      <c r="D13" s="2125"/>
      <c r="E13" s="218"/>
      <c r="F13" s="409" t="s">
        <v>826</v>
      </c>
      <c r="G13" s="402"/>
      <c r="H13" s="403">
        <f>SUM('Acct Summary 7-8'!C8+'Acct Summary 7-8'!D8+'Acct Summary 7-8'!F8+'Acct Summary 7-8'!I8)+H14</f>
        <v>16752241</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-191420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15520943</v>
      </c>
      <c r="I17" s="404"/>
      <c r="J17" s="416"/>
      <c r="K17" s="405">
        <f>TRUNC((H17/H18*100000),5)/100000</f>
        <v>0.92649950530000003</v>
      </c>
      <c r="L17" s="406"/>
      <c r="M17" s="417" t="s">
        <v>1233</v>
      </c>
      <c r="O17" s="418" t="str">
        <f>IF(AND(O16="2", J20 &gt; 2),"1",IF(AND(O16 = "1", J20 &gt; 2),"2",IF(AND(O16="1", J20 &gt;1),"1","0")))</f>
        <v>0</v>
      </c>
      <c r="P17" s="218"/>
    </row>
    <row r="18" spans="1:18" s="408" customFormat="1" ht="11.25" x14ac:dyDescent="0.2">
      <c r="A18" s="218"/>
      <c r="B18" s="401"/>
      <c r="C18" s="2124" t="s">
        <v>1384</v>
      </c>
      <c r="D18" s="2125"/>
      <c r="E18" s="218"/>
      <c r="F18" s="419" t="s">
        <v>827</v>
      </c>
      <c r="G18" s="402"/>
      <c r="H18" s="403">
        <f>SUM('Acct Summary 7-8'!C8+'Acct Summary 7-8'!D8+'Acct Summary 7-8'!F8+'Acct Summary 7-8'!I8)+H19</f>
        <v>16752241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-191420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21" t="s">
        <v>1479</v>
      </c>
      <c r="D24" s="2121"/>
      <c r="E24" s="218"/>
      <c r="F24" s="218" t="s">
        <v>465</v>
      </c>
      <c r="G24" s="402"/>
      <c r="H24" s="403">
        <f>SUM('Assets-Liab 5-6'!C4+'Assets-Liab 5-6'!D4+'Assets-Liab 5-6'!F4+'Assets-Liab 5-6'!I4+'Assets-Liab 5-6'!C5+'Assets-Liab 5-6'!D5+'Assets-Liab 5-6'!F5+'Assets-Liab 5-6'!I5)</f>
        <v>3661268</v>
      </c>
      <c r="I24" s="422"/>
      <c r="J24" s="422"/>
      <c r="K24" s="423">
        <f>TRUNC(((H24/H25*100000)/100000),2)</f>
        <v>84.92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43113.730560000004</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510000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1"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3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31" t="s">
        <v>1030</v>
      </c>
      <c r="B3" s="2132"/>
      <c r="C3" s="1581"/>
      <c r="D3" s="1582"/>
      <c r="E3" s="1582"/>
      <c r="F3" s="1582"/>
      <c r="G3" s="1582"/>
      <c r="H3" s="1582"/>
      <c r="I3" s="1582"/>
      <c r="J3" s="1582"/>
      <c r="K3" s="1582"/>
      <c r="L3" s="1582"/>
      <c r="M3" s="1583"/>
      <c r="N3" s="1584"/>
    </row>
    <row r="4" spans="1:14" ht="13.5" customHeight="1" x14ac:dyDescent="0.2">
      <c r="A4" s="463" t="s">
        <v>1750</v>
      </c>
      <c r="B4" s="464"/>
      <c r="C4" s="465">
        <v>3188266</v>
      </c>
      <c r="D4" s="466">
        <v>187967</v>
      </c>
      <c r="E4" s="466"/>
      <c r="F4" s="466">
        <v>285035</v>
      </c>
      <c r="G4" s="466"/>
      <c r="H4" s="466"/>
      <c r="I4" s="466"/>
      <c r="J4" s="467"/>
      <c r="K4" s="466"/>
      <c r="L4" s="466">
        <v>26174</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3188266</v>
      </c>
      <c r="D13" s="1759">
        <f t="shared" ref="D13:L13" si="0">SUM(D4:D12)</f>
        <v>187967</v>
      </c>
      <c r="E13" s="1759">
        <f t="shared" si="0"/>
        <v>0</v>
      </c>
      <c r="F13" s="1759">
        <f t="shared" si="0"/>
        <v>285035</v>
      </c>
      <c r="G13" s="1759">
        <f t="shared" si="0"/>
        <v>0</v>
      </c>
      <c r="H13" s="1759">
        <f t="shared" si="0"/>
        <v>0</v>
      </c>
      <c r="I13" s="1759">
        <f t="shared" si="0"/>
        <v>0</v>
      </c>
      <c r="J13" s="1759">
        <f t="shared" si="0"/>
        <v>0</v>
      </c>
      <c r="K13" s="1759">
        <f t="shared" si="0"/>
        <v>0</v>
      </c>
      <c r="L13" s="1759">
        <f t="shared" si="0"/>
        <v>26174</v>
      </c>
      <c r="M13" s="468"/>
      <c r="N13" s="469"/>
    </row>
    <row r="14" spans="1:14" ht="18" customHeight="1" thickTop="1" x14ac:dyDescent="0.2">
      <c r="A14" s="2133" t="s">
        <v>149</v>
      </c>
      <c r="B14" s="213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513028</v>
      </c>
      <c r="N16" s="484"/>
    </row>
    <row r="17" spans="1:14" s="485" customFormat="1" ht="12.75" customHeight="1" x14ac:dyDescent="0.2">
      <c r="A17" s="482" t="s">
        <v>1470</v>
      </c>
      <c r="B17" s="483">
        <v>230</v>
      </c>
      <c r="C17" s="477"/>
      <c r="D17" s="477"/>
      <c r="E17" s="477"/>
      <c r="F17" s="477"/>
      <c r="G17" s="477"/>
      <c r="H17" s="477"/>
      <c r="I17" s="477"/>
      <c r="J17" s="477"/>
      <c r="K17" s="477"/>
      <c r="L17" s="477"/>
      <c r="M17" s="467">
        <v>4780013</v>
      </c>
      <c r="N17" s="484"/>
    </row>
    <row r="18" spans="1:14" s="485" customFormat="1" ht="12.75" customHeight="1" x14ac:dyDescent="0.2">
      <c r="A18" s="482" t="s">
        <v>1471</v>
      </c>
      <c r="B18" s="483">
        <v>240</v>
      </c>
      <c r="C18" s="477"/>
      <c r="D18" s="477"/>
      <c r="E18" s="477"/>
      <c r="F18" s="477"/>
      <c r="G18" s="477"/>
      <c r="H18" s="477"/>
      <c r="I18" s="477"/>
      <c r="J18" s="477"/>
      <c r="K18" s="477"/>
      <c r="L18" s="477"/>
      <c r="M18" s="467">
        <v>1379024</v>
      </c>
      <c r="N18" s="484"/>
    </row>
    <row r="19" spans="1:14" s="485" customFormat="1" ht="12.75" customHeight="1" x14ac:dyDescent="0.2">
      <c r="A19" s="482" t="s">
        <v>1472</v>
      </c>
      <c r="B19" s="483">
        <v>250</v>
      </c>
      <c r="C19" s="477"/>
      <c r="D19" s="477"/>
      <c r="E19" s="477"/>
      <c r="F19" s="477"/>
      <c r="G19" s="477"/>
      <c r="H19" s="477"/>
      <c r="I19" s="477"/>
      <c r="J19" s="477"/>
      <c r="K19" s="477"/>
      <c r="L19" s="477"/>
      <c r="M19" s="467">
        <v>6193076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510000</v>
      </c>
    </row>
    <row r="23" spans="1:14" ht="13.5" customHeight="1" thickBot="1" x14ac:dyDescent="0.25">
      <c r="A23" s="1758" t="s">
        <v>664</v>
      </c>
      <c r="B23" s="1763"/>
      <c r="C23" s="468"/>
      <c r="D23" s="468"/>
      <c r="E23" s="468"/>
      <c r="F23" s="468"/>
      <c r="G23" s="468"/>
      <c r="H23" s="468"/>
      <c r="I23" s="468"/>
      <c r="J23" s="468"/>
      <c r="K23" s="468"/>
      <c r="L23" s="468"/>
      <c r="M23" s="1710">
        <f>SUM(M15:M22)</f>
        <v>12865141</v>
      </c>
      <c r="N23" s="1710">
        <f>SUM(N21:N22)</f>
        <v>510000</v>
      </c>
    </row>
    <row r="24" spans="1:14" ht="18" customHeight="1" thickTop="1" x14ac:dyDescent="0.2">
      <c r="A24" s="2135" t="s">
        <v>619</v>
      </c>
      <c r="B24" s="213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26174</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26174</v>
      </c>
      <c r="M34" s="468"/>
      <c r="N34" s="480"/>
    </row>
    <row r="35" spans="1:14" ht="18" customHeight="1" thickTop="1" x14ac:dyDescent="0.2">
      <c r="A35" s="2137" t="s">
        <v>550</v>
      </c>
      <c r="B35" s="213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510000</v>
      </c>
    </row>
    <row r="37" spans="1:14" ht="13.5" thickBot="1" x14ac:dyDescent="0.25">
      <c r="A37" s="1758" t="s">
        <v>674</v>
      </c>
      <c r="B37" s="1763"/>
      <c r="C37" s="477"/>
      <c r="D37" s="477"/>
      <c r="E37" s="477"/>
      <c r="F37" s="477"/>
      <c r="G37" s="477"/>
      <c r="H37" s="477"/>
      <c r="I37" s="477"/>
      <c r="J37" s="477"/>
      <c r="K37" s="477"/>
      <c r="L37" s="480"/>
      <c r="M37" s="468"/>
      <c r="N37" s="1710">
        <f>SUM(N36:N36)</f>
        <v>510000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3188266</v>
      </c>
      <c r="D39" s="466">
        <v>187967</v>
      </c>
      <c r="E39" s="466"/>
      <c r="F39" s="466">
        <v>285035</v>
      </c>
      <c r="G39" s="466"/>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12865141</v>
      </c>
      <c r="N40" s="497"/>
    </row>
    <row r="41" spans="1:14" ht="13.5" customHeight="1" thickBot="1" x14ac:dyDescent="0.25">
      <c r="A41" s="1758" t="s">
        <v>676</v>
      </c>
      <c r="B41" s="1728"/>
      <c r="C41" s="1710">
        <f>(SUM(C34,C37,C38,C39))</f>
        <v>3188266</v>
      </c>
      <c r="D41" s="1710">
        <f t="shared" ref="D41:L41" si="2">SUM(D34,D37,D38:D39)</f>
        <v>187967</v>
      </c>
      <c r="E41" s="1710">
        <f t="shared" si="2"/>
        <v>0</v>
      </c>
      <c r="F41" s="1710">
        <f t="shared" si="2"/>
        <v>285035</v>
      </c>
      <c r="G41" s="1710">
        <f t="shared" si="2"/>
        <v>0</v>
      </c>
      <c r="H41" s="1710">
        <f t="shared" si="2"/>
        <v>0</v>
      </c>
      <c r="I41" s="1710">
        <f t="shared" si="2"/>
        <v>0</v>
      </c>
      <c r="J41" s="1710">
        <f t="shared" si="2"/>
        <v>0</v>
      </c>
      <c r="K41" s="1710">
        <f t="shared" si="2"/>
        <v>0</v>
      </c>
      <c r="L41" s="1710">
        <f t="shared" si="2"/>
        <v>26174</v>
      </c>
      <c r="M41" s="1710">
        <f>SUM(M40)</f>
        <v>12865141</v>
      </c>
      <c r="N41" s="1710">
        <f>SUM(N37)</f>
        <v>510000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5" activePane="bottomLeft" state="frozenSplit"/>
      <selection activeCell="A47" sqref="A47"/>
      <selection pane="bottomLeft" activeCell="D85" sqref="D8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7"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8"/>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9" t="s">
        <v>1237</v>
      </c>
      <c r="B3" s="2160"/>
      <c r="C3" s="1595"/>
      <c r="D3" s="1596"/>
      <c r="E3" s="1596"/>
      <c r="F3" s="1596"/>
      <c r="G3" s="1596"/>
      <c r="H3" s="1596"/>
      <c r="I3" s="1596"/>
      <c r="J3" s="1596"/>
      <c r="K3" s="1597"/>
      <c r="L3" s="506"/>
    </row>
    <row r="4" spans="1:13" ht="15.75" customHeight="1" x14ac:dyDescent="0.2">
      <c r="A4" s="1954" t="s">
        <v>1579</v>
      </c>
      <c r="B4" s="1955">
        <v>1000</v>
      </c>
      <c r="C4" s="1764">
        <f>'Revenues 9-14'!C109</f>
        <v>8222251</v>
      </c>
      <c r="D4" s="1764">
        <f>'Revenues 9-14'!D109</f>
        <v>513782</v>
      </c>
      <c r="E4" s="1764">
        <f>'Revenues 9-14'!E109</f>
        <v>0</v>
      </c>
      <c r="F4" s="1764">
        <f>'Revenues 9-14'!F109</f>
        <v>3803573</v>
      </c>
      <c r="G4" s="1764">
        <f>'Revenues 9-14'!G109</f>
        <v>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1153968</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3250087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12626306</v>
      </c>
      <c r="D8" s="1710">
        <f t="shared" ref="D8:K8" si="0">SUM(D4:D7)</f>
        <v>513782</v>
      </c>
      <c r="E8" s="1710">
        <f t="shared" si="0"/>
        <v>0</v>
      </c>
      <c r="F8" s="1710">
        <f t="shared" si="0"/>
        <v>3803573</v>
      </c>
      <c r="G8" s="1710">
        <f t="shared" si="0"/>
        <v>0</v>
      </c>
      <c r="H8" s="1710">
        <f t="shared" si="0"/>
        <v>0</v>
      </c>
      <c r="I8" s="1710">
        <f t="shared" si="0"/>
        <v>0</v>
      </c>
      <c r="J8" s="1710">
        <f t="shared" si="0"/>
        <v>0</v>
      </c>
      <c r="K8" s="1710">
        <f t="shared" si="0"/>
        <v>0</v>
      </c>
      <c r="L8" s="347"/>
    </row>
    <row r="9" spans="1:13" ht="15.75" thickTop="1" x14ac:dyDescent="0.2">
      <c r="A9" s="514" t="s">
        <v>1752</v>
      </c>
      <c r="B9" s="515">
        <v>3998</v>
      </c>
      <c r="C9" s="481">
        <v>2762355</v>
      </c>
      <c r="D9" s="516"/>
      <c r="E9" s="481"/>
      <c r="F9" s="481"/>
      <c r="G9" s="517"/>
      <c r="H9" s="481"/>
      <c r="I9" s="509" t="s">
        <v>1231</v>
      </c>
      <c r="J9" s="478"/>
      <c r="K9" s="481"/>
      <c r="L9" s="347"/>
    </row>
    <row r="10" spans="1:13" s="519" customFormat="1" ht="13.5" thickBot="1" x14ac:dyDescent="0.25">
      <c r="A10" s="1758" t="s">
        <v>1235</v>
      </c>
      <c r="B10" s="1731"/>
      <c r="C10" s="1710">
        <f>SUM(C8:C9)</f>
        <v>15388661</v>
      </c>
      <c r="D10" s="1710">
        <f t="shared" ref="D10:K10" si="1">SUM(D8:D9)</f>
        <v>513782</v>
      </c>
      <c r="E10" s="1710">
        <f t="shared" si="1"/>
        <v>0</v>
      </c>
      <c r="F10" s="1710">
        <f t="shared" si="1"/>
        <v>3803573</v>
      </c>
      <c r="G10" s="1710">
        <f t="shared" si="1"/>
        <v>0</v>
      </c>
      <c r="H10" s="1710">
        <f t="shared" si="1"/>
        <v>0</v>
      </c>
      <c r="I10" s="1710">
        <f t="shared" si="1"/>
        <v>0</v>
      </c>
      <c r="J10" s="1710">
        <f t="shared" si="1"/>
        <v>0</v>
      </c>
      <c r="K10" s="1710">
        <f t="shared" si="1"/>
        <v>0</v>
      </c>
      <c r="L10" s="518"/>
    </row>
    <row r="11" spans="1:13" s="519" customFormat="1" ht="16.7" customHeight="1" thickTop="1" x14ac:dyDescent="0.2">
      <c r="A11" s="2133" t="s">
        <v>1238</v>
      </c>
      <c r="B11" s="2134"/>
      <c r="C11" s="1592"/>
      <c r="D11" s="1593"/>
      <c r="E11" s="1593"/>
      <c r="F11" s="1593"/>
      <c r="G11" s="1593"/>
      <c r="H11" s="1593"/>
      <c r="I11" s="1593"/>
      <c r="J11" s="1593"/>
      <c r="K11" s="1594"/>
      <c r="L11" s="518"/>
    </row>
    <row r="12" spans="1:13" ht="15.75" customHeight="1" x14ac:dyDescent="0.2">
      <c r="A12" s="1598" t="s">
        <v>476</v>
      </c>
      <c r="B12" s="1600">
        <v>1000</v>
      </c>
      <c r="C12" s="1764">
        <f>'Expenditures 15-22'!K33</f>
        <v>4955421</v>
      </c>
      <c r="D12" s="520" t="s">
        <v>1231</v>
      </c>
      <c r="E12" s="468" t="s">
        <v>1231</v>
      </c>
      <c r="F12" s="468" t="s">
        <v>1231</v>
      </c>
      <c r="G12" s="1764">
        <f>'Expenditures 15-22'!K229</f>
        <v>0</v>
      </c>
      <c r="H12" s="521"/>
      <c r="I12" s="468" t="s">
        <v>1231</v>
      </c>
      <c r="J12" s="468" t="s">
        <v>1231</v>
      </c>
      <c r="K12" s="521" t="s">
        <v>1231</v>
      </c>
      <c r="L12" s="347"/>
    </row>
    <row r="13" spans="1:13" ht="15.75" customHeight="1" x14ac:dyDescent="0.2">
      <c r="A13" s="1598" t="s">
        <v>477</v>
      </c>
      <c r="B13" s="1600">
        <v>2000</v>
      </c>
      <c r="C13" s="1765">
        <f>'Expenditures 15-22'!K74</f>
        <v>3447332</v>
      </c>
      <c r="D13" s="1765">
        <f>'Expenditures 15-22'!K129</f>
        <v>346455</v>
      </c>
      <c r="E13" s="469" t="s">
        <v>1231</v>
      </c>
      <c r="F13" s="1765">
        <f>'Expenditures 15-22'!K184</f>
        <v>3757227</v>
      </c>
      <c r="G13" s="1765">
        <f>'Expenditures 15-22'!K279</f>
        <v>0</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3014508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191420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11417261</v>
      </c>
      <c r="D17" s="1710">
        <f t="shared" si="2"/>
        <v>346455</v>
      </c>
      <c r="E17" s="1710">
        <f t="shared" si="2"/>
        <v>191420</v>
      </c>
      <c r="F17" s="1710">
        <f t="shared" si="2"/>
        <v>3757227</v>
      </c>
      <c r="G17" s="1710">
        <f t="shared" si="2"/>
        <v>0</v>
      </c>
      <c r="H17" s="1710">
        <f t="shared" si="2"/>
        <v>0</v>
      </c>
      <c r="I17" s="468"/>
      <c r="J17" s="1710">
        <f>SUM(J12:J16)</f>
        <v>0</v>
      </c>
      <c r="K17" s="1710">
        <f>SUM(K12:K16)</f>
        <v>0</v>
      </c>
      <c r="L17" s="347"/>
    </row>
    <row r="18" spans="1:12" ht="15" customHeight="1" thickTop="1" x14ac:dyDescent="0.2">
      <c r="A18" s="1766" t="s">
        <v>1753</v>
      </c>
      <c r="B18" s="1767">
        <v>4180</v>
      </c>
      <c r="C18" s="1764">
        <f t="shared" ref="C18:H18" si="3">C9</f>
        <v>2762355</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14179616</v>
      </c>
      <c r="D19" s="1710">
        <f t="shared" si="4"/>
        <v>346455</v>
      </c>
      <c r="E19" s="1710">
        <f t="shared" si="4"/>
        <v>191420</v>
      </c>
      <c r="F19" s="1710">
        <f t="shared" si="4"/>
        <v>3757227</v>
      </c>
      <c r="G19" s="1710">
        <f t="shared" si="4"/>
        <v>0</v>
      </c>
      <c r="H19" s="1710">
        <f t="shared" si="4"/>
        <v>0</v>
      </c>
      <c r="I19" s="468"/>
      <c r="J19" s="1710">
        <f>SUM(J17:J18)</f>
        <v>0</v>
      </c>
      <c r="K19" s="1710">
        <f>SUM(K17:K18)</f>
        <v>0</v>
      </c>
      <c r="L19" s="347"/>
    </row>
    <row r="20" spans="1:12" ht="16.5" thickTop="1" thickBot="1" x14ac:dyDescent="0.25">
      <c r="A20" s="2149" t="s">
        <v>1754</v>
      </c>
      <c r="B20" s="2150"/>
      <c r="C20" s="1768">
        <f>C8-C17</f>
        <v>1209045</v>
      </c>
      <c r="D20" s="1768">
        <f t="shared" ref="D20:K20" si="5">D8-D17</f>
        <v>167327</v>
      </c>
      <c r="E20" s="1768">
        <f t="shared" si="5"/>
        <v>-191420</v>
      </c>
      <c r="F20" s="1768">
        <f t="shared" si="5"/>
        <v>46346</v>
      </c>
      <c r="G20" s="1768">
        <f t="shared" si="5"/>
        <v>0</v>
      </c>
      <c r="H20" s="1768">
        <f t="shared" si="5"/>
        <v>0</v>
      </c>
      <c r="I20" s="1768">
        <f t="shared" si="5"/>
        <v>0</v>
      </c>
      <c r="J20" s="1768">
        <f t="shared" si="5"/>
        <v>0</v>
      </c>
      <c r="K20" s="1768">
        <f t="shared" si="5"/>
        <v>0</v>
      </c>
      <c r="L20" s="347"/>
    </row>
    <row r="21" spans="1:12" ht="16.7" customHeight="1" thickTop="1" x14ac:dyDescent="0.2">
      <c r="A21" s="2161" t="s">
        <v>616</v>
      </c>
      <c r="B21" s="2162"/>
      <c r="C21" s="1592"/>
      <c r="D21" s="1593"/>
      <c r="E21" s="1593"/>
      <c r="F21" s="1593"/>
      <c r="G21" s="1593"/>
      <c r="H21" s="1593"/>
      <c r="I21" s="1593"/>
      <c r="J21" s="1593"/>
      <c r="K21" s="1594"/>
      <c r="L21" s="524"/>
    </row>
    <row r="22" spans="1:12" ht="15.75" customHeight="1" collapsed="1" x14ac:dyDescent="0.2">
      <c r="A22" s="2157" t="s">
        <v>617</v>
      </c>
      <c r="B22" s="2158"/>
      <c r="C22" s="477"/>
      <c r="D22" s="477"/>
      <c r="E22" s="477"/>
      <c r="F22" s="477"/>
      <c r="G22" s="477"/>
      <c r="H22" s="477"/>
      <c r="I22" s="477"/>
      <c r="J22" s="477"/>
      <c r="K22" s="477"/>
      <c r="L22" s="347"/>
    </row>
    <row r="23" spans="1:12" s="485" customFormat="1" ht="15.75" customHeight="1" x14ac:dyDescent="0.2">
      <c r="A23" s="2153" t="s">
        <v>311</v>
      </c>
      <c r="B23" s="2154"/>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55" t="s">
        <v>1038</v>
      </c>
      <c r="B32" s="2156"/>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155000</v>
      </c>
      <c r="F39" s="477"/>
      <c r="G39" s="477"/>
      <c r="H39" s="477"/>
      <c r="I39" s="477"/>
      <c r="J39" s="477"/>
      <c r="K39" s="477"/>
      <c r="L39" s="524"/>
    </row>
    <row r="40" spans="1:12" s="485" customFormat="1" ht="13.5" customHeight="1" x14ac:dyDescent="0.2">
      <c r="A40" s="1511" t="s">
        <v>663</v>
      </c>
      <c r="B40" s="483">
        <v>7700</v>
      </c>
      <c r="C40" s="477"/>
      <c r="D40" s="477"/>
      <c r="E40" s="1765">
        <f>SUM(C66:D69)</f>
        <v>36420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63" t="s">
        <v>392</v>
      </c>
      <c r="B44" s="2164"/>
      <c r="C44" s="1725">
        <f>SUM(C24:C43)</f>
        <v>0</v>
      </c>
      <c r="D44" s="1725">
        <f t="shared" ref="D44:K44" si="6">SUM(D24:D43)</f>
        <v>0</v>
      </c>
      <c r="E44" s="1725">
        <f t="shared" si="6"/>
        <v>191420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7" t="s">
        <v>110</v>
      </c>
      <c r="B45" s="2158"/>
      <c r="C45" s="528"/>
      <c r="D45" s="528"/>
      <c r="E45" s="528"/>
      <c r="F45" s="528"/>
      <c r="G45" s="528"/>
      <c r="H45" s="528"/>
      <c r="I45" s="528"/>
      <c r="J45" s="528"/>
      <c r="K45" s="528"/>
      <c r="L45" s="347"/>
    </row>
    <row r="46" spans="1:12" s="485" customFormat="1" ht="15.75" customHeight="1" x14ac:dyDescent="0.2">
      <c r="A46" s="2165" t="s">
        <v>111</v>
      </c>
      <c r="B46" s="2166"/>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v>155000</v>
      </c>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v>36420</v>
      </c>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9" t="s">
        <v>460</v>
      </c>
      <c r="B76" s="2140"/>
      <c r="C76" s="1725">
        <f t="shared" ref="C76:K76" si="7">SUM(C47:C75)</f>
        <v>0</v>
      </c>
      <c r="D76" s="1725">
        <f t="shared" si="7"/>
        <v>191420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41" t="s">
        <v>1239</v>
      </c>
      <c r="B77" s="2142"/>
      <c r="C77" s="1725">
        <f t="shared" ref="C77:K77" si="8">C44-C76</f>
        <v>0</v>
      </c>
      <c r="D77" s="1725">
        <f t="shared" si="8"/>
        <v>-191420</v>
      </c>
      <c r="E77" s="1725">
        <f t="shared" si="8"/>
        <v>191420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5" t="s">
        <v>618</v>
      </c>
      <c r="B78" s="2146"/>
      <c r="C78" s="1724">
        <f t="shared" ref="C78:K78" si="9">C20+C77</f>
        <v>1209045</v>
      </c>
      <c r="D78" s="1724">
        <f t="shared" si="9"/>
        <v>-24093</v>
      </c>
      <c r="E78" s="1724">
        <f t="shared" si="9"/>
        <v>0</v>
      </c>
      <c r="F78" s="1724">
        <f t="shared" si="9"/>
        <v>46346</v>
      </c>
      <c r="G78" s="1724">
        <f t="shared" si="9"/>
        <v>0</v>
      </c>
      <c r="H78" s="1724">
        <f t="shared" si="9"/>
        <v>0</v>
      </c>
      <c r="I78" s="1724">
        <f t="shared" si="9"/>
        <v>0</v>
      </c>
      <c r="J78" s="1724">
        <f t="shared" si="9"/>
        <v>0</v>
      </c>
      <c r="K78" s="1724">
        <f t="shared" si="9"/>
        <v>0</v>
      </c>
      <c r="L78" s="533"/>
    </row>
    <row r="79" spans="1:12" ht="13.5" thickTop="1" x14ac:dyDescent="0.2">
      <c r="A79" s="1516" t="s">
        <v>2070</v>
      </c>
      <c r="B79" s="534"/>
      <c r="C79" s="478">
        <v>1979221</v>
      </c>
      <c r="D79" s="535">
        <v>212060</v>
      </c>
      <c r="E79" s="535"/>
      <c r="F79" s="535">
        <v>238689</v>
      </c>
      <c r="G79" s="535"/>
      <c r="H79" s="535"/>
      <c r="I79" s="535"/>
      <c r="J79" s="535"/>
      <c r="K79" s="535"/>
      <c r="L79" s="347"/>
    </row>
    <row r="80" spans="1:12" x14ac:dyDescent="0.2">
      <c r="A80" s="2151" t="s">
        <v>1895</v>
      </c>
      <c r="B80" s="2152"/>
      <c r="C80" s="467"/>
      <c r="D80" s="467"/>
      <c r="E80" s="467"/>
      <c r="F80" s="467"/>
      <c r="G80" s="467"/>
      <c r="H80" s="467"/>
      <c r="I80" s="467"/>
      <c r="J80" s="467"/>
      <c r="K80" s="467"/>
      <c r="L80" s="347"/>
    </row>
    <row r="81" spans="1:12" ht="13.5" thickBot="1" x14ac:dyDescent="0.25">
      <c r="A81" s="2143" t="s">
        <v>2071</v>
      </c>
      <c r="B81" s="2144"/>
      <c r="C81" s="1710">
        <f>(SUM(C78:C80))</f>
        <v>3188266</v>
      </c>
      <c r="D81" s="1710">
        <f>SUM(D78:D80)</f>
        <v>187967</v>
      </c>
      <c r="E81" s="1710">
        <f t="shared" ref="E81:K81" si="10">SUM(E78:E80)</f>
        <v>0</v>
      </c>
      <c r="F81" s="1710">
        <f t="shared" si="10"/>
        <v>285035</v>
      </c>
      <c r="G81" s="1710">
        <f t="shared" si="10"/>
        <v>0</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1209045</v>
      </c>
      <c r="D82" s="538">
        <f t="shared" ref="D82:K82" si="11">(D81-D79)</f>
        <v>-24093</v>
      </c>
      <c r="E82" s="538">
        <f t="shared" si="11"/>
        <v>0</v>
      </c>
      <c r="F82" s="538">
        <f t="shared" si="11"/>
        <v>46346</v>
      </c>
      <c r="G82" s="538">
        <f t="shared" si="11"/>
        <v>0</v>
      </c>
      <c r="H82" s="538">
        <f t="shared" si="11"/>
        <v>0</v>
      </c>
      <c r="I82" s="538">
        <f t="shared" si="11"/>
        <v>0</v>
      </c>
      <c r="J82" s="538">
        <f t="shared" si="11"/>
        <v>0</v>
      </c>
      <c r="K82" s="538">
        <f t="shared" si="11"/>
        <v>0</v>
      </c>
    </row>
    <row r="83" spans="1:12" ht="14.25" hidden="1" thickTop="1" thickBot="1" x14ac:dyDescent="0.25">
      <c r="A83" s="539" t="s">
        <v>362</v>
      </c>
      <c r="B83" s="464"/>
      <c r="C83" s="540">
        <f>C82/C81</f>
        <v>0.37921710421903315</v>
      </c>
      <c r="D83" s="540">
        <f t="shared" ref="D83:K83" si="12">D82/D81</f>
        <v>-0.12817675443029894</v>
      </c>
      <c r="E83" s="540" t="e">
        <f t="shared" si="12"/>
        <v>#DIV/0!</v>
      </c>
      <c r="F83" s="540">
        <f t="shared" si="12"/>
        <v>0.16259757573631309</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33" sqref="C3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7" t="s">
        <v>1902</v>
      </c>
      <c r="B1" s="452"/>
      <c r="C1" s="453" t="s">
        <v>445</v>
      </c>
      <c r="D1" s="453" t="s">
        <v>446</v>
      </c>
      <c r="E1" s="453" t="s">
        <v>447</v>
      </c>
      <c r="F1" s="453" t="s">
        <v>448</v>
      </c>
      <c r="G1" s="453" t="s">
        <v>449</v>
      </c>
      <c r="H1" s="453" t="s">
        <v>450</v>
      </c>
      <c r="I1" s="453" t="s">
        <v>451</v>
      </c>
      <c r="J1" s="453" t="s">
        <v>452</v>
      </c>
      <c r="K1" s="453" t="s">
        <v>780</v>
      </c>
    </row>
    <row r="2" spans="1:12" ht="36" x14ac:dyDescent="0.2">
      <c r="A2" s="2148"/>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8187086</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8187086</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8284</v>
      </c>
      <c r="D65" s="466">
        <v>478</v>
      </c>
      <c r="E65" s="466"/>
      <c r="F65" s="467">
        <v>1306</v>
      </c>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8284</v>
      </c>
      <c r="D67" s="1710">
        <f t="shared" ref="D67:K67" si="2">SUM(D65:D66)</f>
        <v>478</v>
      </c>
      <c r="E67" s="1710">
        <f t="shared" si="2"/>
        <v>0</v>
      </c>
      <c r="F67" s="1710">
        <f t="shared" si="2"/>
        <v>1306</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4913</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4913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v>503900</v>
      </c>
      <c r="E104" s="481"/>
      <c r="F104" s="467">
        <v>3802267</v>
      </c>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21968</v>
      </c>
      <c r="D107" s="466">
        <v>9404</v>
      </c>
      <c r="E107" s="466"/>
      <c r="F107" s="466"/>
      <c r="G107" s="466"/>
      <c r="H107" s="466"/>
      <c r="I107" s="466"/>
      <c r="J107" s="467"/>
      <c r="K107" s="466"/>
    </row>
    <row r="108" spans="1:12" ht="12.75" customHeight="1" thickBot="1" x14ac:dyDescent="0.25">
      <c r="A108" s="1730" t="s">
        <v>508</v>
      </c>
      <c r="B108" s="1734"/>
      <c r="C108" s="1729">
        <f>SUM(C95:C107)</f>
        <v>21968</v>
      </c>
      <c r="D108" s="1729">
        <f t="shared" ref="D108:K108" si="3">SUM(D95:D107)</f>
        <v>513304</v>
      </c>
      <c r="E108" s="1729">
        <f t="shared" si="3"/>
        <v>0</v>
      </c>
      <c r="F108" s="1729">
        <f t="shared" si="3"/>
        <v>3802267</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8222251</v>
      </c>
      <c r="D109" s="1737">
        <f t="shared" si="4"/>
        <v>513782</v>
      </c>
      <c r="E109" s="1737">
        <f t="shared" si="4"/>
        <v>0</v>
      </c>
      <c r="F109" s="1737">
        <f t="shared" si="4"/>
        <v>3803573</v>
      </c>
      <c r="G109" s="1737">
        <f t="shared" si="4"/>
        <v>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c r="D117" s="481"/>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0</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1153968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1153968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7" t="s">
        <v>418</v>
      </c>
      <c r="B172" s="2168"/>
      <c r="C172" s="1744">
        <f t="shared" ref="C172:K172" si="6">SUM(C131,C140,C144,C145:C149,C154,C155:C170,C171)</f>
        <v>1153968</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1153968</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9" t="s">
        <v>1572</v>
      </c>
      <c r="B175" s="2170"/>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73" t="s">
        <v>1764</v>
      </c>
      <c r="B178" s="2174"/>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7" t="s">
        <v>1763</v>
      </c>
      <c r="B179" s="2178"/>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5" t="s">
        <v>818</v>
      </c>
      <c r="B184" s="2176"/>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71" t="s">
        <v>1903</v>
      </c>
      <c r="B185" s="2172"/>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104165</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3120668</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3224833</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25254</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3250087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3250087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12626306</v>
      </c>
      <c r="D275" s="1737">
        <f t="shared" si="12"/>
        <v>513782</v>
      </c>
      <c r="E275" s="1737">
        <f t="shared" si="12"/>
        <v>0</v>
      </c>
      <c r="F275" s="1737">
        <f t="shared" si="12"/>
        <v>3803573</v>
      </c>
      <c r="G275" s="1737">
        <f t="shared" si="12"/>
        <v>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83" activePane="bottomLeft" state="frozen"/>
      <selection activeCell="A47" sqref="A47"/>
      <selection pane="bottomLeft" activeCell="L183" sqref="L18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7"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81"/>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7" t="s">
        <v>315</v>
      </c>
      <c r="B3" s="2188"/>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v>3361268</v>
      </c>
      <c r="D8" s="466">
        <v>1086755</v>
      </c>
      <c r="E8" s="466">
        <v>193772</v>
      </c>
      <c r="F8" s="466">
        <v>70561</v>
      </c>
      <c r="G8" s="466">
        <v>21093</v>
      </c>
      <c r="H8" s="466">
        <v>150</v>
      </c>
      <c r="I8" s="467"/>
      <c r="J8" s="467"/>
      <c r="K8" s="1693">
        <f t="shared" si="0"/>
        <v>4733599</v>
      </c>
      <c r="L8" s="466">
        <v>4739187</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c r="D10" s="466"/>
      <c r="E10" s="466"/>
      <c r="F10" s="466"/>
      <c r="G10" s="466"/>
      <c r="H10" s="466"/>
      <c r="I10" s="467"/>
      <c r="J10" s="467"/>
      <c r="K10" s="1693">
        <f t="shared" si="0"/>
        <v>0</v>
      </c>
      <c r="L10" s="466"/>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c r="D13" s="466"/>
      <c r="E13" s="466"/>
      <c r="F13" s="466"/>
      <c r="G13" s="466"/>
      <c r="H13" s="466"/>
      <c r="I13" s="467"/>
      <c r="J13" s="467"/>
      <c r="K13" s="1693">
        <f t="shared" si="0"/>
        <v>0</v>
      </c>
      <c r="L13" s="466"/>
    </row>
    <row r="14" spans="1:14" x14ac:dyDescent="0.2">
      <c r="A14" s="1526" t="s">
        <v>1020</v>
      </c>
      <c r="B14" s="615">
        <v>1500</v>
      </c>
      <c r="C14" s="466"/>
      <c r="D14" s="466"/>
      <c r="E14" s="466"/>
      <c r="F14" s="466"/>
      <c r="G14" s="466"/>
      <c r="H14" s="466"/>
      <c r="I14" s="467"/>
      <c r="J14" s="467"/>
      <c r="K14" s="1693">
        <f t="shared" si="0"/>
        <v>0</v>
      </c>
      <c r="L14" s="466"/>
    </row>
    <row r="15" spans="1:14" x14ac:dyDescent="0.2">
      <c r="A15" s="1526" t="s">
        <v>1021</v>
      </c>
      <c r="B15" s="615">
        <v>1600</v>
      </c>
      <c r="C15" s="466">
        <v>188303</v>
      </c>
      <c r="D15" s="466">
        <v>24448</v>
      </c>
      <c r="E15" s="466">
        <v>8028</v>
      </c>
      <c r="F15" s="466">
        <v>1043</v>
      </c>
      <c r="G15" s="466"/>
      <c r="H15" s="466"/>
      <c r="I15" s="467"/>
      <c r="J15" s="467"/>
      <c r="K15" s="1693">
        <f t="shared" si="0"/>
        <v>221822</v>
      </c>
      <c r="L15" s="466">
        <v>186881</v>
      </c>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c r="D17" s="467"/>
      <c r="E17" s="467"/>
      <c r="F17" s="467"/>
      <c r="G17" s="467"/>
      <c r="H17" s="467"/>
      <c r="I17" s="467"/>
      <c r="J17" s="467"/>
      <c r="K17" s="1693">
        <f t="shared" si="0"/>
        <v>0</v>
      </c>
      <c r="L17" s="466"/>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3549571</v>
      </c>
      <c r="D33" s="1692">
        <f t="shared" ref="D33:L33" si="1">SUM(D5:D32)</f>
        <v>1111203</v>
      </c>
      <c r="E33" s="1692">
        <f t="shared" si="1"/>
        <v>201800</v>
      </c>
      <c r="F33" s="1692">
        <f t="shared" si="1"/>
        <v>71604</v>
      </c>
      <c r="G33" s="1692">
        <f t="shared" si="1"/>
        <v>21093</v>
      </c>
      <c r="H33" s="1692">
        <f t="shared" si="1"/>
        <v>150</v>
      </c>
      <c r="I33" s="1692">
        <f t="shared" si="1"/>
        <v>0</v>
      </c>
      <c r="J33" s="1692">
        <f t="shared" si="1"/>
        <v>0</v>
      </c>
      <c r="K33" s="1692">
        <f t="shared" si="1"/>
        <v>4955421</v>
      </c>
      <c r="L33" s="1692">
        <f t="shared" si="1"/>
        <v>4926068</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438899</v>
      </c>
      <c r="D36" s="481">
        <v>90896</v>
      </c>
      <c r="E36" s="481">
        <v>5503</v>
      </c>
      <c r="F36" s="481">
        <v>1343</v>
      </c>
      <c r="G36" s="481"/>
      <c r="H36" s="481">
        <v>225</v>
      </c>
      <c r="I36" s="467"/>
      <c r="J36" s="467"/>
      <c r="K36" s="1693">
        <f t="shared" ref="K36:K41" si="2">SUM(C36:J36)</f>
        <v>536866</v>
      </c>
      <c r="L36" s="466">
        <v>523483</v>
      </c>
    </row>
    <row r="37" spans="1:14" x14ac:dyDescent="0.2">
      <c r="A37" s="1526" t="s">
        <v>1151</v>
      </c>
      <c r="B37" s="615">
        <v>2120</v>
      </c>
      <c r="C37" s="466"/>
      <c r="D37" s="466"/>
      <c r="E37" s="466"/>
      <c r="F37" s="466"/>
      <c r="G37" s="466"/>
      <c r="H37" s="466"/>
      <c r="I37" s="467"/>
      <c r="J37" s="467"/>
      <c r="K37" s="1693">
        <f t="shared" si="2"/>
        <v>0</v>
      </c>
      <c r="L37" s="466"/>
    </row>
    <row r="38" spans="1:14" x14ac:dyDescent="0.2">
      <c r="A38" s="1526" t="s">
        <v>207</v>
      </c>
      <c r="B38" s="615">
        <v>2130</v>
      </c>
      <c r="C38" s="466">
        <v>281950</v>
      </c>
      <c r="D38" s="466">
        <v>58835</v>
      </c>
      <c r="E38" s="466">
        <v>8665</v>
      </c>
      <c r="F38" s="466">
        <v>3843</v>
      </c>
      <c r="G38" s="466"/>
      <c r="H38" s="466">
        <v>161</v>
      </c>
      <c r="I38" s="467"/>
      <c r="J38" s="467"/>
      <c r="K38" s="1693">
        <f t="shared" si="2"/>
        <v>353454</v>
      </c>
      <c r="L38" s="466">
        <v>383941</v>
      </c>
    </row>
    <row r="39" spans="1:14" x14ac:dyDescent="0.2">
      <c r="A39" s="1526" t="s">
        <v>208</v>
      </c>
      <c r="B39" s="615">
        <v>2140</v>
      </c>
      <c r="C39" s="466">
        <v>146248</v>
      </c>
      <c r="D39" s="466">
        <v>32539</v>
      </c>
      <c r="E39" s="466">
        <v>1442</v>
      </c>
      <c r="F39" s="466">
        <v>372</v>
      </c>
      <c r="G39" s="466"/>
      <c r="H39" s="466">
        <v>165</v>
      </c>
      <c r="I39" s="467"/>
      <c r="J39" s="467"/>
      <c r="K39" s="1693">
        <f t="shared" si="2"/>
        <v>180766</v>
      </c>
      <c r="L39" s="466">
        <v>183470</v>
      </c>
    </row>
    <row r="40" spans="1:14" x14ac:dyDescent="0.2">
      <c r="A40" s="1526" t="s">
        <v>209</v>
      </c>
      <c r="B40" s="615">
        <v>2150</v>
      </c>
      <c r="C40" s="466">
        <v>422648</v>
      </c>
      <c r="D40" s="466">
        <v>99435</v>
      </c>
      <c r="E40" s="466">
        <v>1823</v>
      </c>
      <c r="F40" s="466">
        <v>1494</v>
      </c>
      <c r="G40" s="466"/>
      <c r="H40" s="466">
        <v>1066</v>
      </c>
      <c r="I40" s="467"/>
      <c r="J40" s="467"/>
      <c r="K40" s="1693">
        <f t="shared" si="2"/>
        <v>526466</v>
      </c>
      <c r="L40" s="466">
        <v>557376</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1289745</v>
      </c>
      <c r="D42" s="1692">
        <f t="shared" ref="D42:L42" si="3">SUM(D36:D41)</f>
        <v>281705</v>
      </c>
      <c r="E42" s="1692">
        <f t="shared" si="3"/>
        <v>17433</v>
      </c>
      <c r="F42" s="1692">
        <f t="shared" si="3"/>
        <v>7052</v>
      </c>
      <c r="G42" s="1692">
        <f t="shared" si="3"/>
        <v>0</v>
      </c>
      <c r="H42" s="1692">
        <f t="shared" si="3"/>
        <v>1617</v>
      </c>
      <c r="I42" s="1692">
        <f t="shared" si="3"/>
        <v>0</v>
      </c>
      <c r="J42" s="1692">
        <f t="shared" si="3"/>
        <v>0</v>
      </c>
      <c r="K42" s="1692">
        <f t="shared" si="3"/>
        <v>1597552</v>
      </c>
      <c r="L42" s="1692">
        <f t="shared" si="3"/>
        <v>1648270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1627</v>
      </c>
      <c r="D44" s="481">
        <v>33</v>
      </c>
      <c r="E44" s="481"/>
      <c r="F44" s="481"/>
      <c r="G44" s="481"/>
      <c r="H44" s="481"/>
      <c r="I44" s="467"/>
      <c r="J44" s="467"/>
      <c r="K44" s="1694">
        <f>SUM(C44:J44)</f>
        <v>1660</v>
      </c>
      <c r="L44" s="481"/>
    </row>
    <row r="45" spans="1:14" x14ac:dyDescent="0.2">
      <c r="A45" s="1526" t="s">
        <v>869</v>
      </c>
      <c r="B45" s="615">
        <v>2220</v>
      </c>
      <c r="C45" s="466">
        <v>63936</v>
      </c>
      <c r="D45" s="466">
        <v>31076</v>
      </c>
      <c r="E45" s="466">
        <v>14005</v>
      </c>
      <c r="F45" s="466">
        <v>13259</v>
      </c>
      <c r="G45" s="466">
        <v>6227</v>
      </c>
      <c r="H45" s="466"/>
      <c r="I45" s="467"/>
      <c r="J45" s="467"/>
      <c r="K45" s="1694">
        <f>SUM(C45:J45)</f>
        <v>128503</v>
      </c>
      <c r="L45" s="466">
        <v>168313</v>
      </c>
    </row>
    <row r="46" spans="1:14" x14ac:dyDescent="0.2">
      <c r="A46" s="1526" t="s">
        <v>870</v>
      </c>
      <c r="B46" s="615">
        <v>2230</v>
      </c>
      <c r="C46" s="466"/>
      <c r="D46" s="466"/>
      <c r="E46" s="466"/>
      <c r="F46" s="466"/>
      <c r="G46" s="466"/>
      <c r="H46" s="466"/>
      <c r="I46" s="467"/>
      <c r="J46" s="467"/>
      <c r="K46" s="1694">
        <f>SUM(C46:J46)</f>
        <v>0</v>
      </c>
      <c r="L46" s="466"/>
    </row>
    <row r="47" spans="1:14" ht="12.75" customHeight="1" thickBot="1" x14ac:dyDescent="0.25">
      <c r="A47" s="1690" t="s">
        <v>582</v>
      </c>
      <c r="B47" s="1691" t="s">
        <v>32</v>
      </c>
      <c r="C47" s="1692">
        <f>SUM(C44:C46)</f>
        <v>65563</v>
      </c>
      <c r="D47" s="1692">
        <f t="shared" ref="D47:K47" si="4">SUM(D44:D46)</f>
        <v>31109</v>
      </c>
      <c r="E47" s="1692">
        <f t="shared" si="4"/>
        <v>14005</v>
      </c>
      <c r="F47" s="1692">
        <f t="shared" si="4"/>
        <v>13259</v>
      </c>
      <c r="G47" s="1692">
        <f t="shared" si="4"/>
        <v>6227</v>
      </c>
      <c r="H47" s="1692">
        <f t="shared" si="4"/>
        <v>0</v>
      </c>
      <c r="I47" s="1692">
        <f t="shared" si="4"/>
        <v>0</v>
      </c>
      <c r="J47" s="1692">
        <f t="shared" si="4"/>
        <v>0</v>
      </c>
      <c r="K47" s="1692">
        <f t="shared" si="4"/>
        <v>130163</v>
      </c>
      <c r="L47" s="1692">
        <f>SUM(L44:L46)</f>
        <v>168313</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row>
    <row r="50" spans="1:14" x14ac:dyDescent="0.2">
      <c r="A50" s="1526" t="s">
        <v>872</v>
      </c>
      <c r="B50" s="615">
        <v>2320</v>
      </c>
      <c r="C50" s="466">
        <v>256354</v>
      </c>
      <c r="D50" s="466">
        <v>92070</v>
      </c>
      <c r="E50" s="466">
        <v>300315</v>
      </c>
      <c r="F50" s="466">
        <v>30006</v>
      </c>
      <c r="G50" s="466"/>
      <c r="H50" s="466">
        <v>2149</v>
      </c>
      <c r="I50" s="467"/>
      <c r="J50" s="467"/>
      <c r="K50" s="1694">
        <f>SUM(C50:J50)</f>
        <v>680894</v>
      </c>
      <c r="L50" s="466">
        <v>625245</v>
      </c>
    </row>
    <row r="51" spans="1:14" x14ac:dyDescent="0.2">
      <c r="A51" s="1526" t="s">
        <v>44</v>
      </c>
      <c r="B51" s="615">
        <v>2330</v>
      </c>
      <c r="C51" s="466">
        <v>138883</v>
      </c>
      <c r="D51" s="466">
        <v>40621</v>
      </c>
      <c r="E51" s="466">
        <v>2015</v>
      </c>
      <c r="F51" s="466">
        <v>116</v>
      </c>
      <c r="G51" s="466"/>
      <c r="H51" s="466"/>
      <c r="I51" s="467"/>
      <c r="J51" s="467"/>
      <c r="K51" s="1694">
        <f>SUM(C51:J51)</f>
        <v>181635</v>
      </c>
      <c r="L51" s="466">
        <v>167026</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395237</v>
      </c>
      <c r="D53" s="1692">
        <f t="shared" ref="D53:L53" si="5">SUM(D49:D52)</f>
        <v>132691</v>
      </c>
      <c r="E53" s="1692">
        <f t="shared" si="5"/>
        <v>302330</v>
      </c>
      <c r="F53" s="1692">
        <f t="shared" si="5"/>
        <v>30122</v>
      </c>
      <c r="G53" s="1692">
        <f t="shared" si="5"/>
        <v>0</v>
      </c>
      <c r="H53" s="1692">
        <f t="shared" si="5"/>
        <v>2149</v>
      </c>
      <c r="I53" s="1692">
        <f t="shared" si="5"/>
        <v>0</v>
      </c>
      <c r="J53" s="1692">
        <f t="shared" si="5"/>
        <v>0</v>
      </c>
      <c r="K53" s="1692">
        <f t="shared" si="5"/>
        <v>862529</v>
      </c>
      <c r="L53" s="1692">
        <f t="shared" si="5"/>
        <v>792271</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223551</v>
      </c>
      <c r="D55" s="481">
        <v>75249</v>
      </c>
      <c r="E55" s="481">
        <v>4692</v>
      </c>
      <c r="F55" s="481">
        <v>1429</v>
      </c>
      <c r="G55" s="481"/>
      <c r="H55" s="481"/>
      <c r="I55" s="467"/>
      <c r="J55" s="467"/>
      <c r="K55" s="1694">
        <f>SUM(C55:J55)</f>
        <v>304921</v>
      </c>
      <c r="L55" s="481">
        <v>320126</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223551</v>
      </c>
      <c r="D57" s="1696">
        <f t="shared" ref="D57:K57" si="6">SUM(D55:D56)</f>
        <v>75249</v>
      </c>
      <c r="E57" s="1696">
        <f t="shared" si="6"/>
        <v>4692</v>
      </c>
      <c r="F57" s="1696">
        <f t="shared" si="6"/>
        <v>1429</v>
      </c>
      <c r="G57" s="1696">
        <f t="shared" si="6"/>
        <v>0</v>
      </c>
      <c r="H57" s="1696">
        <f t="shared" si="6"/>
        <v>0</v>
      </c>
      <c r="I57" s="1696">
        <f t="shared" si="6"/>
        <v>0</v>
      </c>
      <c r="J57" s="1696">
        <f t="shared" si="6"/>
        <v>0</v>
      </c>
      <c r="K57" s="1696">
        <f t="shared" si="6"/>
        <v>304921</v>
      </c>
      <c r="L57" s="1692">
        <f>SUM(L55:L56)</f>
        <v>320126</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157837</v>
      </c>
      <c r="D60" s="466">
        <v>60986</v>
      </c>
      <c r="E60" s="466">
        <v>5834</v>
      </c>
      <c r="F60" s="466"/>
      <c r="G60" s="466"/>
      <c r="H60" s="466">
        <v>225</v>
      </c>
      <c r="I60" s="467"/>
      <c r="J60" s="467"/>
      <c r="K60" s="1694">
        <f t="shared" si="7"/>
        <v>224882</v>
      </c>
      <c r="L60" s="466">
        <v>234173</v>
      </c>
      <c r="M60" s="610"/>
      <c r="N60" s="610"/>
    </row>
    <row r="61" spans="1:14" s="343" customFormat="1" x14ac:dyDescent="0.2">
      <c r="A61" s="1526" t="s">
        <v>206</v>
      </c>
      <c r="B61" s="615">
        <v>2540</v>
      </c>
      <c r="C61" s="466"/>
      <c r="D61" s="466"/>
      <c r="E61" s="466"/>
      <c r="F61" s="466"/>
      <c r="G61" s="466"/>
      <c r="H61" s="466"/>
      <c r="I61" s="467"/>
      <c r="J61" s="467"/>
      <c r="K61" s="1694">
        <f t="shared" si="7"/>
        <v>0</v>
      </c>
      <c r="L61" s="466"/>
      <c r="M61" s="610"/>
      <c r="N61" s="610"/>
    </row>
    <row r="62" spans="1:14" s="343" customFormat="1" x14ac:dyDescent="0.2">
      <c r="A62" s="1526" t="s">
        <v>1010</v>
      </c>
      <c r="B62" s="615">
        <v>2550</v>
      </c>
      <c r="C62" s="466">
        <v>198154</v>
      </c>
      <c r="D62" s="466">
        <v>129131</v>
      </c>
      <c r="E62" s="466"/>
      <c r="F62" s="466"/>
      <c r="G62" s="466"/>
      <c r="H62" s="466"/>
      <c r="I62" s="467"/>
      <c r="J62" s="467"/>
      <c r="K62" s="1694">
        <f t="shared" si="7"/>
        <v>327285</v>
      </c>
      <c r="L62" s="466">
        <v>294760</v>
      </c>
      <c r="M62" s="610"/>
      <c r="N62" s="610"/>
    </row>
    <row r="63" spans="1:14" s="610" customFormat="1" x14ac:dyDescent="0.2">
      <c r="A63" s="1526" t="s">
        <v>102</v>
      </c>
      <c r="B63" s="615">
        <v>2560</v>
      </c>
      <c r="C63" s="466"/>
      <c r="D63" s="466"/>
      <c r="E63" s="466"/>
      <c r="F63" s="466"/>
      <c r="G63" s="466"/>
      <c r="H63" s="466"/>
      <c r="I63" s="467"/>
      <c r="J63" s="467"/>
      <c r="K63" s="1694">
        <f t="shared" si="7"/>
        <v>0</v>
      </c>
      <c r="L63" s="466"/>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355991</v>
      </c>
      <c r="D65" s="1692">
        <f t="shared" ref="D65:L65" si="8">SUM(D59:D64)</f>
        <v>190117</v>
      </c>
      <c r="E65" s="1692">
        <f t="shared" si="8"/>
        <v>5834</v>
      </c>
      <c r="F65" s="1692">
        <f t="shared" si="8"/>
        <v>0</v>
      </c>
      <c r="G65" s="1692">
        <f t="shared" si="8"/>
        <v>0</v>
      </c>
      <c r="H65" s="1692">
        <f t="shared" si="8"/>
        <v>225</v>
      </c>
      <c r="I65" s="1692">
        <f t="shared" si="8"/>
        <v>0</v>
      </c>
      <c r="J65" s="1692">
        <f t="shared" si="8"/>
        <v>0</v>
      </c>
      <c r="K65" s="1692">
        <f t="shared" si="8"/>
        <v>552167</v>
      </c>
      <c r="L65" s="1692">
        <f t="shared" si="8"/>
        <v>528933</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0</v>
      </c>
      <c r="F72" s="1692">
        <f t="shared" si="9"/>
        <v>0</v>
      </c>
      <c r="G72" s="1692">
        <f t="shared" si="9"/>
        <v>0</v>
      </c>
      <c r="H72" s="1692">
        <f t="shared" si="9"/>
        <v>0</v>
      </c>
      <c r="I72" s="1692">
        <f t="shared" si="9"/>
        <v>0</v>
      </c>
      <c r="J72" s="1692">
        <f t="shared" si="9"/>
        <v>0</v>
      </c>
      <c r="K72" s="1692">
        <f t="shared" si="9"/>
        <v>0</v>
      </c>
      <c r="L72" s="1692">
        <f>SUM(L67:L71)</f>
        <v>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c r="M73" s="610"/>
      <c r="N73" s="610"/>
    </row>
    <row r="74" spans="1:14" ht="12.75" customHeight="1" thickTop="1" thickBot="1" x14ac:dyDescent="0.25">
      <c r="A74" s="1690" t="s">
        <v>865</v>
      </c>
      <c r="B74" s="1698">
        <v>2000</v>
      </c>
      <c r="C74" s="1699">
        <f>SUM(C42,C47,C53,C57,C65,C72,C73)</f>
        <v>2330087</v>
      </c>
      <c r="D74" s="1699">
        <f t="shared" ref="D74:K74" si="10">SUM(D42,D47,D53,D57,D65,D72,D73)</f>
        <v>710871</v>
      </c>
      <c r="E74" s="1699">
        <f t="shared" si="10"/>
        <v>344294</v>
      </c>
      <c r="F74" s="1699">
        <f t="shared" si="10"/>
        <v>51862</v>
      </c>
      <c r="G74" s="1699">
        <f t="shared" si="10"/>
        <v>6227</v>
      </c>
      <c r="H74" s="1699">
        <f t="shared" si="10"/>
        <v>3991</v>
      </c>
      <c r="I74" s="1699">
        <f t="shared" si="10"/>
        <v>0</v>
      </c>
      <c r="J74" s="1699">
        <f t="shared" si="10"/>
        <v>0</v>
      </c>
      <c r="K74" s="1699">
        <f t="shared" si="10"/>
        <v>3447332</v>
      </c>
      <c r="L74" s="1699">
        <f>SUM(L42,L47,L53,L57,L65,L72,L73)</f>
        <v>3457913</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v>3014508</v>
      </c>
      <c r="I83" s="477"/>
      <c r="J83" s="477"/>
      <c r="K83" s="1693">
        <f t="shared" si="11"/>
        <v>3014508</v>
      </c>
      <c r="L83" s="466">
        <v>2997643</v>
      </c>
    </row>
    <row r="84" spans="1:12" ht="13.5" thickBot="1" x14ac:dyDescent="0.25">
      <c r="A84" s="1690" t="s">
        <v>1565</v>
      </c>
      <c r="B84" s="1700">
        <v>4100</v>
      </c>
      <c r="C84" s="617"/>
      <c r="D84" s="617"/>
      <c r="E84" s="1692">
        <f>SUM(E78:E83)</f>
        <v>0</v>
      </c>
      <c r="F84" s="617"/>
      <c r="G84" s="617"/>
      <c r="H84" s="1692">
        <f>SUM(H78:H83)</f>
        <v>3014508</v>
      </c>
      <c r="I84" s="477"/>
      <c r="J84" s="477"/>
      <c r="K84" s="1692">
        <f>SUM(K78:K83)</f>
        <v>3014508</v>
      </c>
      <c r="L84" s="1692">
        <f>SUM(L78:L83)</f>
        <v>2997643</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c r="I90" s="477"/>
      <c r="J90" s="477"/>
      <c r="K90" s="1699">
        <f t="shared" si="12"/>
        <v>0</v>
      </c>
      <c r="L90" s="530"/>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3014508</v>
      </c>
      <c r="I102" s="477"/>
      <c r="J102" s="477"/>
      <c r="K102" s="1699">
        <f>SUM(K84,K92,K100,K101)</f>
        <v>3014508</v>
      </c>
      <c r="L102" s="1699">
        <f>SUM(L84,L92,L100,L101)</f>
        <v>2997643</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5879658</v>
      </c>
      <c r="D114" s="1692">
        <f t="shared" ref="D114:K114" si="13">SUM(D33,D74,D75,D102,D112,D113)</f>
        <v>1822074</v>
      </c>
      <c r="E114" s="1692">
        <f t="shared" si="13"/>
        <v>546094</v>
      </c>
      <c r="F114" s="1692">
        <f t="shared" si="13"/>
        <v>123466</v>
      </c>
      <c r="G114" s="1692">
        <f t="shared" si="13"/>
        <v>27320</v>
      </c>
      <c r="H114" s="1692">
        <f>SUM(H33,H74,H75,H102,H112,H113)</f>
        <v>3018649</v>
      </c>
      <c r="I114" s="1692">
        <f t="shared" si="13"/>
        <v>0</v>
      </c>
      <c r="J114" s="1692">
        <f t="shared" si="13"/>
        <v>0</v>
      </c>
      <c r="K114" s="1692">
        <f t="shared" si="13"/>
        <v>11417261</v>
      </c>
      <c r="L114" s="1692">
        <f>SUM(L33,L74,L75,L102,L112,L113)</f>
        <v>11381624</v>
      </c>
    </row>
    <row r="115" spans="1:14" ht="13.5" thickTop="1" x14ac:dyDescent="0.2">
      <c r="A115" s="2179" t="s">
        <v>1053</v>
      </c>
      <c r="B115" s="2180"/>
      <c r="C115" s="619"/>
      <c r="D115" s="619"/>
      <c r="E115" s="619"/>
      <c r="F115" s="619"/>
      <c r="G115" s="619"/>
      <c r="H115" s="619"/>
      <c r="I115" s="619"/>
      <c r="J115" s="619"/>
      <c r="K115" s="1706">
        <f>'Revenues 9-14'!C275-'Expenditures 15-22'!K114</f>
        <v>1209045</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84" t="s">
        <v>314</v>
      </c>
      <c r="B117" s="2185"/>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265294</v>
      </c>
      <c r="F124" s="466">
        <v>76469</v>
      </c>
      <c r="G124" s="466">
        <v>4692</v>
      </c>
      <c r="H124" s="466"/>
      <c r="I124" s="467"/>
      <c r="J124" s="467"/>
      <c r="K124" s="1692">
        <f>SUM(C124:J124)</f>
        <v>346455</v>
      </c>
      <c r="L124" s="466">
        <v>397256</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265294</v>
      </c>
      <c r="F127" s="1692">
        <f t="shared" si="14"/>
        <v>76469</v>
      </c>
      <c r="G127" s="1692">
        <f t="shared" si="14"/>
        <v>4692</v>
      </c>
      <c r="H127" s="1692">
        <f t="shared" si="14"/>
        <v>0</v>
      </c>
      <c r="I127" s="1692">
        <f t="shared" si="14"/>
        <v>0</v>
      </c>
      <c r="J127" s="1692">
        <f t="shared" si="14"/>
        <v>0</v>
      </c>
      <c r="K127" s="1692">
        <f t="shared" si="14"/>
        <v>346455</v>
      </c>
      <c r="L127" s="1692">
        <f t="shared" si="14"/>
        <v>397256</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265294</v>
      </c>
      <c r="F129" s="1699">
        <f t="shared" si="15"/>
        <v>76469</v>
      </c>
      <c r="G129" s="1699">
        <f t="shared" si="15"/>
        <v>4692</v>
      </c>
      <c r="H129" s="1699">
        <f t="shared" si="15"/>
        <v>0</v>
      </c>
      <c r="I129" s="1699">
        <f t="shared" si="15"/>
        <v>0</v>
      </c>
      <c r="J129" s="1699">
        <f t="shared" si="15"/>
        <v>0</v>
      </c>
      <c r="K129" s="1699">
        <f t="shared" si="15"/>
        <v>346455</v>
      </c>
      <c r="L129" s="1699">
        <f t="shared" si="15"/>
        <v>397256</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6" t="s">
        <v>641</v>
      </c>
      <c r="B151" s="2176"/>
      <c r="C151" s="1692">
        <f>SUM(C129,C130,C139,C149,C150)</f>
        <v>0</v>
      </c>
      <c r="D151" s="1692">
        <f t="shared" ref="D151:K151" si="16">SUM(D129,D130,D139,D149,D150)</f>
        <v>0</v>
      </c>
      <c r="E151" s="1692">
        <f t="shared" si="16"/>
        <v>265294</v>
      </c>
      <c r="F151" s="1692">
        <f t="shared" si="16"/>
        <v>76469</v>
      </c>
      <c r="G151" s="1692">
        <f t="shared" si="16"/>
        <v>4692</v>
      </c>
      <c r="H151" s="1692">
        <f t="shared" si="16"/>
        <v>0</v>
      </c>
      <c r="I151" s="1692">
        <f t="shared" si="16"/>
        <v>0</v>
      </c>
      <c r="J151" s="1692">
        <f t="shared" si="16"/>
        <v>0</v>
      </c>
      <c r="K151" s="1692">
        <f t="shared" si="16"/>
        <v>346455</v>
      </c>
      <c r="L151" s="1692">
        <f>SUM(L129,L130,L139,L149,L150)</f>
        <v>397256</v>
      </c>
    </row>
    <row r="152" spans="1:14" ht="12.75" customHeight="1" thickTop="1" x14ac:dyDescent="0.2">
      <c r="A152" s="2199" t="s">
        <v>1240</v>
      </c>
      <c r="B152" s="2200"/>
      <c r="C152" s="619"/>
      <c r="D152" s="619"/>
      <c r="E152" s="619"/>
      <c r="F152" s="619"/>
      <c r="G152" s="619"/>
      <c r="H152" s="619"/>
      <c r="I152" s="619"/>
      <c r="J152" s="617"/>
      <c r="K152" s="1706">
        <f>'Revenues 9-14'!D275-'Expenditures 15-22'!K151</f>
        <v>167327</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84" t="s">
        <v>642</v>
      </c>
      <c r="B154" s="2186"/>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36420</v>
      </c>
      <c r="I169" s="617"/>
      <c r="J169" s="617"/>
      <c r="K169" s="1693">
        <f>SUM(C169:H169)</f>
        <v>36420</v>
      </c>
      <c r="L169" s="657">
        <v>18210</v>
      </c>
    </row>
    <row r="170" spans="1:14" ht="33.75" customHeight="1" x14ac:dyDescent="0.2">
      <c r="A170" s="670" t="s">
        <v>1769</v>
      </c>
      <c r="B170" s="672" t="s">
        <v>31</v>
      </c>
      <c r="C170" s="617"/>
      <c r="D170" s="617"/>
      <c r="E170" s="617"/>
      <c r="F170" s="617"/>
      <c r="G170" s="617"/>
      <c r="H170" s="569">
        <v>155000</v>
      </c>
      <c r="I170" s="617"/>
      <c r="J170" s="617"/>
      <c r="K170" s="1693">
        <f>SUM(C170:J170)</f>
        <v>155000</v>
      </c>
      <c r="L170" s="569">
        <v>173210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191420</v>
      </c>
      <c r="I172" s="639"/>
      <c r="J172" s="617"/>
      <c r="K172" s="1699">
        <f>SUM(K168,K169,K170,K171)</f>
        <v>191420</v>
      </c>
      <c r="L172" s="1699">
        <f>SUM(L168,L169,L170,L171)</f>
        <v>191420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191420</v>
      </c>
      <c r="I174" s="639"/>
      <c r="J174" s="617"/>
      <c r="K174" s="1699">
        <f>SUM(K160,K172,K173)</f>
        <v>191420</v>
      </c>
      <c r="L174" s="1699">
        <f>SUM(L160,L172,L173)</f>
        <v>191420</v>
      </c>
    </row>
    <row r="175" spans="1:14" ht="13.5" thickTop="1" x14ac:dyDescent="0.2">
      <c r="A175" s="2179" t="s">
        <v>1053</v>
      </c>
      <c r="B175" s="2180"/>
      <c r="C175" s="617"/>
      <c r="D175" s="617"/>
      <c r="E175" s="617"/>
      <c r="F175" s="617"/>
      <c r="G175" s="617"/>
      <c r="H175" s="619"/>
      <c r="I175" s="617"/>
      <c r="J175" s="617"/>
      <c r="K175" s="1706">
        <f>'Revenues 9-14'!E275-'Expenditures 15-22'!K174</f>
        <v>-191420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1390409</v>
      </c>
      <c r="D182" s="466">
        <v>698473</v>
      </c>
      <c r="E182" s="466">
        <v>1135287</v>
      </c>
      <c r="F182" s="466">
        <v>214154</v>
      </c>
      <c r="G182" s="466">
        <v>318904</v>
      </c>
      <c r="H182" s="466"/>
      <c r="I182" s="467"/>
      <c r="J182" s="467"/>
      <c r="K182" s="1693">
        <f>SUM(C182:J182)</f>
        <v>3757227</v>
      </c>
      <c r="L182" s="466">
        <v>3909815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1390409</v>
      </c>
      <c r="D184" s="1699">
        <f t="shared" ref="D184:J184" si="17">SUM(D180,D182,D183)</f>
        <v>698473</v>
      </c>
      <c r="E184" s="1699">
        <f t="shared" si="17"/>
        <v>1135287</v>
      </c>
      <c r="F184" s="1699">
        <f t="shared" si="17"/>
        <v>214154</v>
      </c>
      <c r="G184" s="1699">
        <f t="shared" si="17"/>
        <v>318904</v>
      </c>
      <c r="H184" s="1699">
        <f t="shared" si="17"/>
        <v>0</v>
      </c>
      <c r="I184" s="1699">
        <f t="shared" si="17"/>
        <v>0</v>
      </c>
      <c r="J184" s="1699">
        <f t="shared" si="17"/>
        <v>0</v>
      </c>
      <c r="K184" s="1699">
        <f>SUM(K180,K182,K183)</f>
        <v>3757227</v>
      </c>
      <c r="L184" s="1699">
        <f>SUM(L180, L182:L183)</f>
        <v>3909815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1390409</v>
      </c>
      <c r="D210" s="1692">
        <f>SUM(D184,D185)</f>
        <v>698473</v>
      </c>
      <c r="E210" s="1692">
        <f>SUM(E184,E185,E196)</f>
        <v>1135287</v>
      </c>
      <c r="F210" s="1692">
        <f>SUM(F184,F185)</f>
        <v>214154</v>
      </c>
      <c r="G210" s="1692">
        <f>SUM(G184,G185)</f>
        <v>318904</v>
      </c>
      <c r="H210" s="1692">
        <f>SUM(H184,H185,H196,H208,H209)</f>
        <v>0</v>
      </c>
      <c r="I210" s="1692">
        <f>SUM(I184,I185)</f>
        <v>0</v>
      </c>
      <c r="J210" s="1692">
        <f>SUM(J184,J185)</f>
        <v>0</v>
      </c>
      <c r="K210" s="1693">
        <f>SUM(K184,K185,K196,K208,K209)</f>
        <v>3757227</v>
      </c>
      <c r="L210" s="1692">
        <f>SUM(L184,L185,L196,L208,L209)</f>
        <v>3909815</v>
      </c>
    </row>
    <row r="211" spans="1:14" ht="13.5" thickTop="1" x14ac:dyDescent="0.2">
      <c r="A211" s="2179" t="s">
        <v>1053</v>
      </c>
      <c r="B211" s="2180"/>
      <c r="C211" s="619"/>
      <c r="D211" s="619"/>
      <c r="E211" s="619"/>
      <c r="F211" s="619"/>
      <c r="G211" s="619"/>
      <c r="H211" s="619"/>
      <c r="I211" s="617"/>
      <c r="J211" s="617"/>
      <c r="K211" s="1706">
        <f>'Revenues 9-14'!F275-'Expenditures 15-22'!K210</f>
        <v>46346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01" t="s">
        <v>1022</v>
      </c>
      <c r="B213" s="2202"/>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c r="E219" s="617"/>
      <c r="F219" s="617"/>
      <c r="G219" s="617"/>
      <c r="H219" s="617"/>
      <c r="I219" s="617"/>
      <c r="J219" s="617"/>
      <c r="K219" s="1693">
        <f t="shared" si="19"/>
        <v>0</v>
      </c>
      <c r="L219" s="466"/>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c r="E222" s="617"/>
      <c r="F222" s="617"/>
      <c r="G222" s="617"/>
      <c r="H222" s="617"/>
      <c r="I222" s="617"/>
      <c r="J222" s="617"/>
      <c r="K222" s="1693">
        <f t="shared" si="19"/>
        <v>0</v>
      </c>
      <c r="L222" s="466"/>
    </row>
    <row r="223" spans="1:14" x14ac:dyDescent="0.2">
      <c r="A223" s="1526" t="s">
        <v>1020</v>
      </c>
      <c r="B223" s="615">
        <v>1500</v>
      </c>
      <c r="C223" s="617"/>
      <c r="D223" s="466"/>
      <c r="E223" s="617"/>
      <c r="F223" s="617"/>
      <c r="G223" s="617"/>
      <c r="H223" s="617"/>
      <c r="I223" s="617"/>
      <c r="J223" s="617"/>
      <c r="K223" s="1693">
        <f t="shared" si="19"/>
        <v>0</v>
      </c>
      <c r="L223" s="466"/>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c r="E226" s="617"/>
      <c r="F226" s="617"/>
      <c r="G226" s="617"/>
      <c r="H226" s="617"/>
      <c r="I226" s="617"/>
      <c r="J226" s="617"/>
      <c r="K226" s="1693">
        <f t="shared" si="19"/>
        <v>0</v>
      </c>
      <c r="L226" s="466"/>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0</v>
      </c>
      <c r="E229" s="617"/>
      <c r="F229" s="617"/>
      <c r="G229" s="617"/>
      <c r="H229" s="617"/>
      <c r="I229" s="617"/>
      <c r="J229" s="617"/>
      <c r="K229" s="1692">
        <f>SUM(K215:K228)</f>
        <v>0</v>
      </c>
      <c r="L229" s="1692">
        <f>SUM(L215:L228)</f>
        <v>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c r="E233" s="617"/>
      <c r="F233" s="617"/>
      <c r="G233" s="617"/>
      <c r="H233" s="617"/>
      <c r="I233" s="617"/>
      <c r="J233" s="617"/>
      <c r="K233" s="1693">
        <f t="shared" si="20"/>
        <v>0</v>
      </c>
      <c r="L233" s="466"/>
    </row>
    <row r="234" spans="1:12" x14ac:dyDescent="0.2">
      <c r="A234" s="1526" t="s">
        <v>207</v>
      </c>
      <c r="B234" s="615">
        <v>2130</v>
      </c>
      <c r="C234" s="617"/>
      <c r="D234" s="466"/>
      <c r="E234" s="617"/>
      <c r="F234" s="617"/>
      <c r="G234" s="617"/>
      <c r="H234" s="617"/>
      <c r="I234" s="617"/>
      <c r="J234" s="617"/>
      <c r="K234" s="1693">
        <f t="shared" si="20"/>
        <v>0</v>
      </c>
      <c r="L234" s="466"/>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0</v>
      </c>
      <c r="E238" s="617"/>
      <c r="F238" s="617"/>
      <c r="G238" s="617"/>
      <c r="H238" s="617"/>
      <c r="I238" s="617"/>
      <c r="J238" s="617"/>
      <c r="K238" s="1692">
        <f>SUM(K232:K237)</f>
        <v>0</v>
      </c>
      <c r="L238" s="1692">
        <f>SUM(L232:L237)</f>
        <v>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4">
        <f>D240</f>
        <v>0</v>
      </c>
      <c r="L240" s="481"/>
    </row>
    <row r="241" spans="1:12" x14ac:dyDescent="0.2">
      <c r="A241" s="1526" t="s">
        <v>869</v>
      </c>
      <c r="B241" s="615">
        <v>2220</v>
      </c>
      <c r="C241" s="617"/>
      <c r="D241" s="466"/>
      <c r="E241" s="617"/>
      <c r="F241" s="617"/>
      <c r="G241" s="617"/>
      <c r="H241" s="617"/>
      <c r="I241" s="617"/>
      <c r="J241" s="617"/>
      <c r="K241" s="1694">
        <f>D241</f>
        <v>0</v>
      </c>
      <c r="L241" s="466"/>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0</v>
      </c>
      <c r="E243" s="617"/>
      <c r="F243" s="617"/>
      <c r="G243" s="617"/>
      <c r="H243" s="617"/>
      <c r="I243" s="617"/>
      <c r="J243" s="617"/>
      <c r="K243" s="1692">
        <f>SUM(K240:K242)</f>
        <v>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c r="E246" s="617"/>
      <c r="F246" s="617"/>
      <c r="G246" s="617"/>
      <c r="H246" s="617"/>
      <c r="I246" s="617"/>
      <c r="J246" s="617"/>
      <c r="K246" s="1694">
        <f t="shared" ref="K246:K256" si="21">D246</f>
        <v>0</v>
      </c>
      <c r="L246" s="466"/>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1905</v>
      </c>
      <c r="B249" s="684" t="s">
        <v>300</v>
      </c>
      <c r="C249" s="617"/>
      <c r="D249" s="474"/>
      <c r="E249" s="617"/>
      <c r="F249" s="617"/>
      <c r="G249" s="617"/>
      <c r="H249" s="617"/>
      <c r="I249" s="617"/>
      <c r="J249" s="617"/>
      <c r="K249" s="1694">
        <f t="shared" si="21"/>
        <v>0</v>
      </c>
      <c r="L249" s="466"/>
    </row>
    <row r="250" spans="1:12" x14ac:dyDescent="0.2">
      <c r="A250" s="1527" t="s">
        <v>1906</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row>
    <row r="260" spans="1:14" s="598" customFormat="1" x14ac:dyDescent="0.2">
      <c r="A260" s="1544" t="s">
        <v>1904</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c r="E266" s="617"/>
      <c r="F266" s="617"/>
      <c r="G266" s="617"/>
      <c r="H266" s="617"/>
      <c r="I266" s="617"/>
      <c r="J266" s="617"/>
      <c r="K266" s="1694">
        <f t="shared" si="22"/>
        <v>0</v>
      </c>
      <c r="L266" s="466"/>
    </row>
    <row r="267" spans="1:14" x14ac:dyDescent="0.2">
      <c r="A267" s="1526" t="s">
        <v>1010</v>
      </c>
      <c r="B267" s="615">
        <v>2550</v>
      </c>
      <c r="C267" s="617"/>
      <c r="D267" s="466"/>
      <c r="E267" s="617"/>
      <c r="F267" s="617"/>
      <c r="G267" s="617"/>
      <c r="H267" s="617"/>
      <c r="I267" s="617"/>
      <c r="J267" s="617"/>
      <c r="K267" s="1694">
        <f t="shared" si="22"/>
        <v>0</v>
      </c>
      <c r="L267" s="466"/>
    </row>
    <row r="268" spans="1:14" x14ac:dyDescent="0.2">
      <c r="A268" s="1526" t="s">
        <v>102</v>
      </c>
      <c r="B268" s="615">
        <v>2560</v>
      </c>
      <c r="C268" s="617"/>
      <c r="D268" s="466"/>
      <c r="E268" s="617"/>
      <c r="F268" s="617"/>
      <c r="G268" s="617"/>
      <c r="H268" s="617"/>
      <c r="I268" s="617"/>
      <c r="J268" s="617"/>
      <c r="K268" s="1694">
        <f t="shared" si="22"/>
        <v>0</v>
      </c>
      <c r="L268" s="466"/>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0</v>
      </c>
      <c r="E279" s="617"/>
      <c r="F279" s="617"/>
      <c r="G279" s="617"/>
      <c r="H279" s="617"/>
      <c r="I279" s="617"/>
      <c r="J279" s="617"/>
      <c r="K279" s="1699">
        <f>SUM(K238,K243,K257,K261,K270,K277,K278)</f>
        <v>0</v>
      </c>
      <c r="L279" s="1699">
        <f>SUM(L238,L243,L257,L261,L270,L277,L278)</f>
        <v>0</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7" t="s">
        <v>526</v>
      </c>
      <c r="B295" s="2198"/>
      <c r="C295" s="617"/>
      <c r="D295" s="1692">
        <f>SUM(D229,D279,D280,D285)</f>
        <v>0</v>
      </c>
      <c r="E295" s="617"/>
      <c r="F295" s="617"/>
      <c r="G295" s="617"/>
      <c r="H295" s="1692">
        <f>H293</f>
        <v>0</v>
      </c>
      <c r="I295" s="617"/>
      <c r="J295" s="617"/>
      <c r="K295" s="1692">
        <f>SUM(K229,K279,K280,K285,K293,K294)</f>
        <v>0</v>
      </c>
      <c r="L295" s="1692">
        <f>SUM(L229,L279,L280,L285,L293,L294)</f>
        <v>0</v>
      </c>
    </row>
    <row r="296" spans="1:14" ht="13.5" thickTop="1" x14ac:dyDescent="0.2">
      <c r="A296" s="2179" t="s">
        <v>1053</v>
      </c>
      <c r="B296" s="2180"/>
      <c r="C296" s="617"/>
      <c r="D296" s="619"/>
      <c r="E296" s="617"/>
      <c r="F296" s="617"/>
      <c r="G296" s="617"/>
      <c r="H296" s="688"/>
      <c r="I296" s="617"/>
      <c r="J296" s="617"/>
      <c r="K296" s="1706">
        <f>'Revenues 9-14'!G275-'Expenditures 15-22'!K295</f>
        <v>0</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9" t="s">
        <v>145</v>
      </c>
      <c r="B298" s="2183"/>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94" t="s">
        <v>295</v>
      </c>
      <c r="B312" s="2195"/>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90" t="s">
        <v>1053</v>
      </c>
      <c r="B313" s="2191"/>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03" t="s">
        <v>151</v>
      </c>
      <c r="B315" s="2204"/>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5" t="s">
        <v>954</v>
      </c>
      <c r="B317" s="2204"/>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92" t="s">
        <v>1053</v>
      </c>
      <c r="B343" s="2193"/>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82" t="s">
        <v>1023</v>
      </c>
      <c r="B345" s="2183"/>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row>
    <row r="355" spans="1:14" ht="12.75" customHeight="1" x14ac:dyDescent="0.2">
      <c r="A355" s="1535" t="s">
        <v>1963</v>
      </c>
      <c r="B355" s="691" t="s">
        <v>1956</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79" t="s">
        <v>1053</v>
      </c>
      <c r="B368" s="218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2.xml><?xml version="1.0" encoding="utf-8"?>
<ds:datastoreItem xmlns:ds="http://schemas.openxmlformats.org/officeDocument/2006/customXml" ds:itemID="{A7F99216-9548-403A-A1AC-CF57406FE3BA}">
  <ds:schemaRefs>
    <ds:schemaRef ds:uri="http://schemas.microsoft.com/office/2006/documentManagement/types"/>
    <ds:schemaRef ds:uri="http://schemas.microsoft.com/sharepoint/v3"/>
    <ds:schemaRef ds:uri="http://purl.org/dc/dcmitype/"/>
    <ds:schemaRef ds:uri="http://www.w3.org/XML/1998/namespace"/>
    <ds:schemaRef ds:uri="http://purl.org/dc/terms/"/>
    <ds:schemaRef ds:uri="6ce3111e-7420-4802-b50a-75d4e9a0b980"/>
    <ds:schemaRef ds:uri="d21dc803-237d-4c68-8692-8d731fd29118"/>
    <ds:schemaRef ds:uri="http://purl.org/dc/elements/1.1/"/>
    <ds:schemaRef ds:uri="4d435f69-8686-490b-bd6d-b153bf22ab50"/>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 SEFA (3)</vt:lpstr>
      <vt:lpstr> SEFA (2)</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2018-10-03T16:41:45Z</cp:lastPrinted>
  <dcterms:created xsi:type="dcterms:W3CDTF">2003-10-29T19:06:34Z</dcterms:created>
  <dcterms:modified xsi:type="dcterms:W3CDTF">2018-12-19T19:43:59Z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vt:lpwstr>
  </property>
  <property fmtid="{D5CDD505-2E9C-101B-9397-08002B2CF9AE}" pid="3" name="ContentTypeId">
    <vt:lpwstr>0x010100552988822C20F24E83D1DD5E4C131AA0</vt:lpwstr>
  </property>
  <property fmtid="{D5CDD505-2E9C-101B-9397-08002B2CF9AE}" pid="4" name="Refresh">
    <vt:bool>true</vt:bool>
  </property>
  <property fmtid="{D5CDD505-2E9C-101B-9397-08002B2CF9AE}" pid="5" name="Refresh97">
    <vt:bool>false</vt:bool>
  </property>
  <property fmtid="{D5CDD505-2E9C-101B-9397-08002B2CF9AE}" pid="6" name="tabName">
    <vt:lpwstr>Other deliverables</vt:lpwstr>
  </property>
  <property fmtid="{D5CDD505-2E9C-101B-9397-08002B2CF9AE}" pid="7" name="tabIndex">
    <vt:lpwstr>140</vt:lpwstr>
  </property>
  <property fmtid="{D5CDD505-2E9C-101B-9397-08002B2CF9AE}" pid="8" name="workpaperIndex">
    <vt:lpwstr>
    </vt:lpwstr>
  </property>
</Properties>
</file>