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15" yWindow="14310" windowWidth="28830" windowHeight="6450" tabRatio="93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SF&amp;QC Sec-1" sheetId="174" r:id="rId31"/>
    <sheet name="SF&amp;QC Sec-2" sheetId="175" r:id="rId32"/>
    <sheet name="SF&amp;QC Sec-3" sheetId="176" r:id="rId33"/>
    <sheet name="SSPAF" sheetId="177" r:id="rId34"/>
  </sheets>
  <definedNames>
    <definedName name="_xlnm.Print_Area" localSheetId="28">' SEFA'!$B$1:$M$46</definedName>
    <definedName name="_xlnm.Print_Area" localSheetId="29">' SEFA (2)'!$B$1:$M$46</definedName>
    <definedName name="_xlnm.Print_Area" localSheetId="27">'SEFA NOTES'!$A$1:$F$52</definedName>
    <definedName name="_xlnm.Print_Area" localSheetId="26">'SEFA Reconcile'!$A$1:$E$49</definedName>
    <definedName name="_xlnm.Print_Area" localSheetId="30">'SF&amp;QC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workbook>
</file>

<file path=xl/calcChain.xml><?xml version="1.0" encoding="utf-8"?>
<calcChain xmlns="http://schemas.openxmlformats.org/spreadsheetml/2006/main">
  <c r="M21" i="183" l="1"/>
  <c r="J21" i="183"/>
  <c r="I21" i="183"/>
  <c r="L21" i="183" s="1"/>
  <c r="H21" i="183"/>
  <c r="G21" i="183"/>
  <c r="F19" i="183"/>
  <c r="F21" i="183"/>
  <c r="E21" i="183"/>
  <c r="I19" i="183"/>
  <c r="G19" i="183"/>
  <c r="L19" i="183" s="1"/>
  <c r="E19" i="183"/>
  <c r="L27" i="183"/>
  <c r="L26" i="183"/>
  <c r="L25" i="183"/>
  <c r="L24" i="183"/>
  <c r="L23" i="183"/>
  <c r="L22" i="183"/>
  <c r="L20" i="183"/>
  <c r="L18" i="183"/>
  <c r="L17" i="183"/>
  <c r="L16" i="183"/>
  <c r="L15" i="183"/>
  <c r="L14" i="183"/>
  <c r="L13" i="183"/>
  <c r="L12" i="183"/>
  <c r="L11" i="183"/>
  <c r="B4" i="183"/>
  <c r="B2" i="183"/>
  <c r="B1" i="183"/>
  <c r="I27" i="179"/>
  <c r="G27" i="179"/>
  <c r="F27" i="179"/>
  <c r="E27" i="179"/>
  <c r="M21" i="179"/>
  <c r="J21" i="179"/>
  <c r="I21" i="179"/>
  <c r="H21" i="179"/>
  <c r="G21" i="179"/>
  <c r="F21" i="179"/>
  <c r="E21" i="179"/>
  <c r="M18" i="179"/>
  <c r="J18" i="179"/>
  <c r="I18" i="179"/>
  <c r="H18" i="179"/>
  <c r="G18" i="179"/>
  <c r="F18" i="179"/>
  <c r="E18" i="179"/>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J34" i="182" s="1"/>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H34" i="182"/>
  <c r="K34" i="182" l="1"/>
  <c r="D81" i="36" s="1"/>
  <c r="F79" i="34"/>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A2"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A2" i="170"/>
  <c r="B2" i="177"/>
  <c r="B2" i="174" l="1"/>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J12" i="12"/>
  <c r="J21" i="12"/>
  <c r="J23" i="12" s="1"/>
  <c r="B7729" i="106"/>
  <c r="B7734" i="106"/>
  <c r="B7726" i="106"/>
  <c r="D76" i="36"/>
  <c r="F162" i="34"/>
  <c r="B30" i="36"/>
  <c r="B33" i="36" s="1"/>
  <c r="B43" i="36" s="1"/>
  <c r="B56" i="36" s="1"/>
  <c r="B66" i="36" s="1"/>
  <c r="B70" i="36" s="1"/>
  <c r="B74" i="36" s="1"/>
  <c r="D73" i="36"/>
  <c r="C191" i="5"/>
  <c r="C201" i="5"/>
  <c r="B5246" i="106" s="1"/>
  <c r="D5246" i="106" s="1"/>
  <c r="C211" i="5"/>
  <c r="C216" i="5"/>
  <c r="C224" i="5"/>
  <c r="B5286" i="106" s="1"/>
  <c r="D5286" i="106" s="1"/>
  <c r="C228" i="5"/>
  <c r="C259" i="5"/>
  <c r="B7761" i="106"/>
  <c r="L127" i="29"/>
  <c r="L129" i="29" s="1"/>
  <c r="L139" i="29"/>
  <c r="L149" i="29"/>
  <c r="I7" i="145"/>
  <c r="I6" i="145"/>
  <c r="D82" i="36"/>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K190" i="29"/>
  <c r="B3009" i="106" s="1"/>
  <c r="D3009" i="106" s="1"/>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c r="F12" i="7"/>
  <c r="B1801" i="106" s="1"/>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c r="D1865" i="106" s="1"/>
  <c r="B1866" i="106"/>
  <c r="D1866" i="106" s="1"/>
  <c r="F6" i="8"/>
  <c r="F7" i="8"/>
  <c r="B1868" i="106"/>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I24" i="12" s="1"/>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19" i="106"/>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c r="B5103" i="106"/>
  <c r="D5103" i="106" s="1"/>
  <c r="B5104" i="106"/>
  <c r="D5104" i="106" s="1"/>
  <c r="B5105" i="106"/>
  <c r="D5105" i="106" s="1"/>
  <c r="B5106" i="106"/>
  <c r="D5106" i="106"/>
  <c r="B5107" i="106"/>
  <c r="D5107" i="106" s="1"/>
  <c r="B5108" i="106"/>
  <c r="D5108" i="106" s="1"/>
  <c r="B5109" i="106"/>
  <c r="D5109" i="106" s="1"/>
  <c r="B5110" i="106"/>
  <c r="D5110" i="106"/>
  <c r="B5111" i="106"/>
  <c r="D5111" i="106" s="1"/>
  <c r="B5113" i="106"/>
  <c r="D5113" i="106" s="1"/>
  <c r="B5114" i="106"/>
  <c r="D5114" i="106" s="1"/>
  <c r="B5115" i="106"/>
  <c r="D5115" i="106"/>
  <c r="B5116" i="106"/>
  <c r="D5116" i="106" s="1"/>
  <c r="B5117" i="106"/>
  <c r="D5117" i="106" s="1"/>
  <c r="B5118" i="106"/>
  <c r="D5118" i="106" s="1"/>
  <c r="B5119" i="106"/>
  <c r="D5119" i="106"/>
  <c r="B5122" i="106"/>
  <c r="D5122" i="106" s="1"/>
  <c r="B5123" i="106"/>
  <c r="D5123" i="106" s="1"/>
  <c r="B5124" i="106"/>
  <c r="D5124" i="106" s="1"/>
  <c r="B5126" i="106"/>
  <c r="D5126" i="106"/>
  <c r="B5127" i="106"/>
  <c r="D5127" i="106" s="1"/>
  <c r="D5128" i="106"/>
  <c r="D5129" i="106"/>
  <c r="D5130" i="106"/>
  <c r="D5131" i="106"/>
  <c r="B5133" i="106"/>
  <c r="D5133" i="106" s="1"/>
  <c r="B5134" i="106"/>
  <c r="D5134" i="106" s="1"/>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c r="B5241" i="106"/>
  <c r="D5241" i="106"/>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B6264" i="106"/>
  <c r="D6264" i="106" s="1"/>
  <c r="B6265" i="106"/>
  <c r="D626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c r="B6730" i="106"/>
  <c r="D6730" i="106" s="1"/>
  <c r="B6731" i="106"/>
  <c r="D6731" i="106" s="1"/>
  <c r="B6732" i="106"/>
  <c r="D6732" i="106" s="1"/>
  <c r="B6733" i="106"/>
  <c r="D6733" i="106"/>
  <c r="B6734" i="106"/>
  <c r="D6734" i="106" s="1"/>
  <c r="B6735" i="106"/>
  <c r="D6735" i="106" s="1"/>
  <c r="B6736" i="106"/>
  <c r="D6736" i="106" s="1"/>
  <c r="B6737" i="106"/>
  <c r="D6737" i="106"/>
  <c r="B6738" i="106"/>
  <c r="D6738" i="106" s="1"/>
  <c r="B6739" i="106"/>
  <c r="D6739" i="106" s="1"/>
  <c r="B6740" i="106"/>
  <c r="D6740" i="106" s="1"/>
  <c r="B6741" i="106"/>
  <c r="D6741" i="106"/>
  <c r="B6742" i="106"/>
  <c r="D6742" i="106" s="1"/>
  <c r="B6743" i="106"/>
  <c r="D6743" i="106" s="1"/>
  <c r="B6744" i="106"/>
  <c r="D6744" i="106" s="1"/>
  <c r="B6745" i="106"/>
  <c r="D6745" i="106"/>
  <c r="B6746" i="106"/>
  <c r="D6746" i="106" s="1"/>
  <c r="B6747" i="106"/>
  <c r="D6747" i="106" s="1"/>
  <c r="B6748" i="106"/>
  <c r="D6748" i="106" s="1"/>
  <c r="B6749" i="106"/>
  <c r="D6749" i="106"/>
  <c r="B6750" i="106"/>
  <c r="D6750" i="106" s="1"/>
  <c r="B6751" i="106"/>
  <c r="D6751" i="106" s="1"/>
  <c r="B6752" i="106"/>
  <c r="D6752" i="106" s="1"/>
  <c r="B6753" i="106"/>
  <c r="D6753" i="106"/>
  <c r="B6754" i="106"/>
  <c r="D6754" i="106" s="1"/>
  <c r="B6755" i="106"/>
  <c r="D6755" i="106" s="1"/>
  <c r="B6756" i="106"/>
  <c r="D6756" i="106" s="1"/>
  <c r="B6757" i="106"/>
  <c r="D6757" i="106"/>
  <c r="B6758" i="106"/>
  <c r="D6758" i="106" s="1"/>
  <c r="B6759" i="106"/>
  <c r="D6759" i="106" s="1"/>
  <c r="B6760" i="106"/>
  <c r="D6760" i="106" s="1"/>
  <c r="B6761" i="106"/>
  <c r="D6761" i="106"/>
  <c r="B6762" i="106"/>
  <c r="D6762" i="106" s="1"/>
  <c r="B6763" i="106"/>
  <c r="D6763" i="106" s="1"/>
  <c r="B6764" i="106"/>
  <c r="D6764" i="106" s="1"/>
  <c r="B6765" i="106"/>
  <c r="D6765" i="106"/>
  <c r="B6766" i="106"/>
  <c r="D6766" i="106" s="1"/>
  <c r="B6767" i="106"/>
  <c r="D6767" i="106" s="1"/>
  <c r="B6768" i="106"/>
  <c r="D6768" i="106" s="1"/>
  <c r="B6769" i="106"/>
  <c r="D6769" i="106"/>
  <c r="B6770" i="106"/>
  <c r="D6770" i="106" s="1"/>
  <c r="B6771" i="106"/>
  <c r="D6771" i="106" s="1"/>
  <c r="B6772" i="106"/>
  <c r="D6772" i="106" s="1"/>
  <c r="B6773" i="106"/>
  <c r="D6773" i="106"/>
  <c r="B6774" i="106"/>
  <c r="D6774" i="106" s="1"/>
  <c r="B6775" i="106"/>
  <c r="D6775" i="106" s="1"/>
  <c r="B6776" i="106"/>
  <c r="D6776" i="106" s="1"/>
  <c r="B6777" i="106"/>
  <c r="D6777" i="106"/>
  <c r="B6778" i="106"/>
  <c r="D6778" i="106" s="1"/>
  <c r="B6779" i="106"/>
  <c r="D6779" i="106" s="1"/>
  <c r="B6780" i="106"/>
  <c r="D6780" i="106" s="1"/>
  <c r="B6781" i="106"/>
  <c r="D6781" i="106"/>
  <c r="B6782" i="106"/>
  <c r="D6782" i="106" s="1"/>
  <c r="B6783" i="106"/>
  <c r="D6783" i="106" s="1"/>
  <c r="B6784" i="106"/>
  <c r="D6784" i="106" s="1"/>
  <c r="B6785" i="106"/>
  <c r="D6785" i="106"/>
  <c r="B6786" i="106"/>
  <c r="D6786" i="106" s="1"/>
  <c r="B6787" i="106"/>
  <c r="D6787" i="106" s="1"/>
  <c r="B6788" i="106"/>
  <c r="D6788" i="106" s="1"/>
  <c r="B6789" i="106"/>
  <c r="D6789" i="106"/>
  <c r="B6790" i="106"/>
  <c r="D6790" i="106" s="1"/>
  <c r="B6791" i="106"/>
  <c r="D6791" i="106" s="1"/>
  <c r="B6792" i="106"/>
  <c r="D6792" i="106" s="1"/>
  <c r="B6793" i="106"/>
  <c r="D6793" i="106"/>
  <c r="B6794" i="106"/>
  <c r="D6794" i="106" s="1"/>
  <c r="B6795" i="106"/>
  <c r="D6795" i="106" s="1"/>
  <c r="B6796" i="106"/>
  <c r="D6796" i="106" s="1"/>
  <c r="B6797" i="106"/>
  <c r="D6797" i="106"/>
  <c r="B6798" i="106"/>
  <c r="D6798" i="106" s="1"/>
  <c r="B6799" i="106"/>
  <c r="D6799" i="106" s="1"/>
  <c r="B6800" i="106"/>
  <c r="D6800" i="106" s="1"/>
  <c r="B6801" i="106"/>
  <c r="D6801" i="106"/>
  <c r="B6802" i="106"/>
  <c r="D6802" i="106" s="1"/>
  <c r="B6803" i="106"/>
  <c r="D6803" i="106" s="1"/>
  <c r="B6804" i="106"/>
  <c r="D6804" i="106" s="1"/>
  <c r="B6805" i="106"/>
  <c r="D6805" i="106"/>
  <c r="B6806" i="106"/>
  <c r="D6806" i="106" s="1"/>
  <c r="B6807" i="106"/>
  <c r="D6807" i="106" s="1"/>
  <c r="B6808" i="106"/>
  <c r="D6808" i="106" s="1"/>
  <c r="B6809" i="106"/>
  <c r="D6809" i="106"/>
  <c r="B6810" i="106"/>
  <c r="D6810" i="106" s="1"/>
  <c r="B6811" i="106"/>
  <c r="D6811" i="106" s="1"/>
  <c r="B6812" i="106"/>
  <c r="D6812" i="106" s="1"/>
  <c r="B6813" i="106"/>
  <c r="D6813" i="106"/>
  <c r="B6814" i="106"/>
  <c r="D6814" i="106" s="1"/>
  <c r="B6815" i="106"/>
  <c r="D6815" i="106" s="1"/>
  <c r="B6816" i="106"/>
  <c r="D6816" i="106" s="1"/>
  <c r="B6817" i="106"/>
  <c r="D6817" i="106"/>
  <c r="B6818" i="106"/>
  <c r="D6818" i="106" s="1"/>
  <c r="B6819" i="106"/>
  <c r="D6819" i="106" s="1"/>
  <c r="B6820" i="106"/>
  <c r="D6820" i="106" s="1"/>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I26" i="12"/>
  <c r="B7741" i="106" s="1"/>
  <c r="D7741"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69" i="36"/>
  <c r="D71" i="36"/>
  <c r="D72" i="36"/>
  <c r="D79" i="36"/>
  <c r="B64" i="127"/>
  <c r="B65" i="127"/>
  <c r="D26" i="108"/>
  <c r="E26" i="108"/>
  <c r="F26" i="108"/>
  <c r="G26" i="108"/>
  <c r="D27" i="108"/>
  <c r="E27" i="108"/>
  <c r="F27" i="108"/>
  <c r="G27" i="108"/>
  <c r="E28" i="108"/>
  <c r="F28" i="108"/>
  <c r="F31" i="108"/>
  <c r="F36" i="108"/>
  <c r="F37" i="108"/>
  <c r="G28" i="108"/>
  <c r="E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C39" i="34"/>
  <c r="D39" i="34"/>
  <c r="C40" i="34"/>
  <c r="D40" i="34"/>
  <c r="C41" i="34"/>
  <c r="D41" i="34"/>
  <c r="F41" i="34"/>
  <c r="C42" i="34"/>
  <c r="D42" i="34"/>
  <c r="C43" i="34"/>
  <c r="D43" i="34"/>
  <c r="C44" i="34"/>
  <c r="D44" i="34"/>
  <c r="F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B5096" i="106"/>
  <c r="D5096" i="106" s="1"/>
  <c r="C82" i="5"/>
  <c r="B5102" i="106" s="1"/>
  <c r="D5102" i="106" s="1"/>
  <c r="D82" i="5"/>
  <c r="B5348" i="106"/>
  <c r="D5348" i="106" s="1"/>
  <c r="C93" i="5"/>
  <c r="B5112" i="106"/>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G109" i="5"/>
  <c r="B6024" i="106" s="1"/>
  <c r="D6024"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G144" i="5"/>
  <c r="B5756" i="106" s="1"/>
  <c r="D5756" i="106" s="1"/>
  <c r="G154" i="5"/>
  <c r="B4357" i="106" s="1"/>
  <c r="D4357" i="106" s="1"/>
  <c r="G172" i="5"/>
  <c r="G173" i="5" s="1"/>
  <c r="B5778" i="106" s="1"/>
  <c r="D5778" i="106" s="1"/>
  <c r="C144" i="5"/>
  <c r="B5165" i="106"/>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F128" i="34" s="1"/>
  <c r="G191" i="5"/>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H33" i="118"/>
  <c r="D11" i="37"/>
  <c r="D22" i="37"/>
  <c r="H22" i="37"/>
  <c r="J22" i="37"/>
  <c r="L22" i="37"/>
  <c r="D24" i="37"/>
  <c r="B4270" i="106" s="1"/>
  <c r="D4270" i="106" s="1"/>
  <c r="L5" i="11"/>
  <c r="B2056" i="106" s="1"/>
  <c r="D2056" i="106" s="1"/>
  <c r="D9" i="7"/>
  <c r="B1767" i="106" s="1"/>
  <c r="D1767" i="106" s="1"/>
  <c r="F136" i="34"/>
  <c r="F131" i="34"/>
  <c r="F130" i="34"/>
  <c r="F127" i="34"/>
  <c r="B5847" i="106"/>
  <c r="D5847" i="106" s="1"/>
  <c r="B5752" i="106"/>
  <c r="D5752" i="106" s="1"/>
  <c r="B5599" i="106"/>
  <c r="D5599" i="106" s="1"/>
  <c r="K274" i="5"/>
  <c r="F106" i="34"/>
  <c r="B1746" i="106"/>
  <c r="D1746" i="106" s="1"/>
  <c r="D12" i="7"/>
  <c r="B1769" i="106" s="1"/>
  <c r="D1769" i="106" s="1"/>
  <c r="D15" i="7"/>
  <c r="B1772" i="106" s="1"/>
  <c r="D1772" i="106" s="1"/>
  <c r="D17" i="7" l="1"/>
  <c r="B4104" i="106" s="1"/>
  <c r="D4104" i="106" s="1"/>
  <c r="D109" i="5"/>
  <c r="G4" i="4"/>
  <c r="B2603" i="106" s="1"/>
  <c r="D2603" i="106" s="1"/>
  <c r="F111" i="34"/>
  <c r="D13" i="7"/>
  <c r="B3726" i="106" s="1"/>
  <c r="D3726" i="106" s="1"/>
  <c r="G5" i="4"/>
  <c r="B3409" i="106" s="1"/>
  <c r="D3409" i="106" s="1"/>
  <c r="I173" i="5"/>
  <c r="B4216" i="106" s="1"/>
  <c r="D4216" i="106" s="1"/>
  <c r="L312" i="29"/>
  <c r="F66" i="34"/>
  <c r="F45" i="34"/>
  <c r="F42" i="34"/>
  <c r="J77" i="4"/>
  <c r="B6262" i="106" s="1"/>
  <c r="D6262" i="106" s="1"/>
  <c r="B3649" i="106"/>
  <c r="D3649" i="106" s="1"/>
  <c r="G367" i="29"/>
  <c r="B3650" i="106" s="1"/>
  <c r="D3650" i="106" s="1"/>
  <c r="D5" i="7"/>
  <c r="B1761" i="106" s="1"/>
  <c r="D1761" i="106" s="1"/>
  <c r="D5" i="4"/>
  <c r="B3406" i="106" s="1"/>
  <c r="D3406" i="106" s="1"/>
  <c r="B7047" i="106"/>
  <c r="D7047" i="106" s="1"/>
  <c r="C129" i="29"/>
  <c r="C151" i="29" s="1"/>
  <c r="B1226" i="106" s="1"/>
  <c r="D1226" i="106" s="1"/>
  <c r="B1223" i="106"/>
  <c r="D1223" i="106" s="1"/>
  <c r="B3621" i="106"/>
  <c r="D3621" i="106" s="1"/>
  <c r="C367" i="29"/>
  <c r="H109" i="5"/>
  <c r="F19" i="7"/>
  <c r="B1807" i="106" s="1"/>
  <c r="D1807" i="106" s="1"/>
  <c r="F65" i="34"/>
  <c r="D11" i="7"/>
  <c r="B1768" i="106" s="1"/>
  <c r="D1768" i="106" s="1"/>
  <c r="D7" i="7"/>
  <c r="B1763" i="106" s="1"/>
  <c r="D1763" i="106" s="1"/>
  <c r="H173" i="5"/>
  <c r="B5770" i="106"/>
  <c r="D5770" i="106" s="1"/>
  <c r="D4" i="7"/>
  <c r="B1760" i="106" s="1"/>
  <c r="D1760" i="106" s="1"/>
  <c r="E109" i="5"/>
  <c r="E4" i="4" s="1"/>
  <c r="B2630" i="106" s="1"/>
  <c r="D2630" i="106" s="1"/>
  <c r="L342" i="29"/>
  <c r="F49" i="34"/>
  <c r="G29" i="108"/>
  <c r="D7245" i="106"/>
  <c r="I342" i="29"/>
  <c r="B7222" i="106" s="1"/>
  <c r="D7222" i="106" s="1"/>
  <c r="K41" i="3"/>
  <c r="L15" i="11"/>
  <c r="B3459" i="106" s="1"/>
  <c r="D3459" i="106" s="1"/>
  <c r="B3254" i="106"/>
  <c r="D3254" i="106" s="1"/>
  <c r="B1995" i="106"/>
  <c r="D1995" i="106" s="1"/>
  <c r="B1410" i="106"/>
  <c r="D1410" i="106" s="1"/>
  <c r="B1329" i="106"/>
  <c r="D1329" i="106" s="1"/>
  <c r="F61" i="34"/>
  <c r="K352" i="29"/>
  <c r="K13" i="4" s="1"/>
  <c r="B3572" i="106" s="1"/>
  <c r="D3572" i="106" s="1"/>
  <c r="H365" i="29"/>
  <c r="K76" i="4"/>
  <c r="B3586" i="106" s="1"/>
  <c r="D3586" i="106" s="1"/>
  <c r="L13" i="11"/>
  <c r="B2060" i="106" s="1"/>
  <c r="D2060" i="106" s="1"/>
  <c r="F38" i="34"/>
  <c r="F35" i="34"/>
  <c r="C172" i="5"/>
  <c r="C109" i="5"/>
  <c r="B5121" i="106" s="1"/>
  <c r="D5121" i="106" s="1"/>
  <c r="D54" i="36"/>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D18" i="7"/>
  <c r="B4105" i="106" s="1"/>
  <c r="D4105" i="106" s="1"/>
  <c r="K7" i="4"/>
  <c r="B3718" i="106" s="1"/>
  <c r="D3718" i="106" s="1"/>
  <c r="F105" i="34"/>
  <c r="F107" i="34"/>
  <c r="F109" i="5"/>
  <c r="F275" i="5" s="1"/>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D19" i="7" s="1"/>
  <c r="B1775" i="106" s="1"/>
  <c r="D1775" i="106" s="1"/>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L279" i="29"/>
  <c r="L295" i="29" s="1"/>
  <c r="L74" i="29"/>
  <c r="L114" i="29" s="1"/>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8" i="106"/>
  <c r="D3628"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K367" i="29" s="1"/>
  <c r="B3640" i="106"/>
  <c r="D3640" i="106" s="1"/>
  <c r="F352" i="29"/>
  <c r="F367" i="29" s="1"/>
  <c r="B3622" i="106"/>
  <c r="D3622"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H275" i="5"/>
  <c r="B5914" i="106"/>
  <c r="D5914" i="106" s="1"/>
  <c r="J7" i="4"/>
  <c r="B2657" i="106"/>
  <c r="D2657" i="106" s="1"/>
  <c r="D274" i="5"/>
  <c r="B3447" i="106"/>
  <c r="D3447" i="106" s="1"/>
  <c r="B7270" i="106"/>
  <c r="B5527" i="106" l="1"/>
  <c r="D5527" i="106" s="1"/>
  <c r="B1225" i="106"/>
  <c r="D1225" i="106" s="1"/>
  <c r="B3568" i="106"/>
  <c r="D3568" i="106" s="1"/>
  <c r="D52" i="36"/>
  <c r="K77" i="4"/>
  <c r="B3587" i="106" s="1"/>
  <c r="D3587" i="106" s="1"/>
  <c r="B5906" i="106"/>
  <c r="D5906" i="106" s="1"/>
  <c r="H6" i="4"/>
  <c r="B2656" i="106" s="1"/>
  <c r="D2656" i="106" s="1"/>
  <c r="B6025" i="106"/>
  <c r="D6025" i="106" s="1"/>
  <c r="H4" i="4"/>
  <c r="B5356" i="106"/>
  <c r="D5356" i="106" s="1"/>
  <c r="D4" i="4"/>
  <c r="B2564" i="106" s="1"/>
  <c r="D2564" i="106" s="1"/>
  <c r="H367" i="29"/>
  <c r="B3660" i="106" s="1"/>
  <c r="D3660" i="106" s="1"/>
  <c r="B7242" i="106"/>
  <c r="D7242" i="106" s="1"/>
  <c r="L16" i="11"/>
  <c r="B2061" i="106" s="1"/>
  <c r="D2061" i="106" s="1"/>
  <c r="C114" i="29"/>
  <c r="B757" i="106" s="1"/>
  <c r="D757" i="106" s="1"/>
  <c r="B5214" i="106"/>
  <c r="D5214" i="106" s="1"/>
  <c r="C173" i="5"/>
  <c r="C4" i="4"/>
  <c r="B2551" i="106" s="1"/>
  <c r="D255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D7" i="4"/>
  <c r="D275" i="5"/>
  <c r="B5507" i="106"/>
  <c r="D5507" i="106" s="1"/>
  <c r="B7298" i="106"/>
  <c r="B7299" i="106"/>
  <c r="F8" i="4" l="1"/>
  <c r="B2655" i="106"/>
  <c r="D2655" i="106" s="1"/>
  <c r="H8" i="4"/>
  <c r="E41" i="108"/>
  <c r="E44" i="108" s="1"/>
  <c r="E45" i="108" s="1"/>
  <c r="G41" i="108"/>
  <c r="G44" i="108" s="1"/>
  <c r="G45" i="108" s="1"/>
  <c r="B5223" i="106"/>
  <c r="D5223" i="106"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B2658" i="106" l="1"/>
  <c r="D2658" i="106" s="1"/>
  <c r="H10" i="4"/>
  <c r="B4127" i="106" s="1"/>
  <c r="D4127"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<sst xmlns="http://schemas.openxmlformats.org/spreadsheetml/2006/main" count="5190" uniqueCount="2165">
  <si>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</si>
  <si>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</si>
  <si>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</si>
  <si>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</si>
  <si>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</si>
  <si>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</si>
  <si>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</si>
  <si>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</si>
  <si>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</si>
  <si>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</si>
  <si>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</si>
  <si>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</si>
  <si>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</si>
  <si>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</si>
  <si>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</si>
  <si>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</si>
  <si>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</si>
  <si>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</si>
  <si>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</si>
  <si>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</si>
  <si>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</si>
  <si>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</si>
  <si>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</si>
  <si>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</si>
  <si>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</si>
  <si>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</si>
  <si>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</si>
  <si>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</si>
  <si>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</si>
  <si>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</si>
  <si>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</si>
  <si>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</si>
  <si>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</si>
  <si>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</si>
  <si>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</si>
  <si>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</si>
  <si>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</si>
  <si>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</si>
  <si>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</si>
  <si>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</si>
  <si>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</si>
  <si>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</si>
  <si>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</si>
  <si>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</si>
  <si>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</si>
  <si>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</si>
  <si>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</si>
  <si>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</si>
  <si>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</si>
  <si>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</si>
  <si>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</si>
  <si>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</si>
  <si>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</si>
  <si>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</si>
  <si>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</si>
  <si>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</si>
  <si>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</si>
  <si>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</si>
  <si>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</si>
  <si>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</si>
  <si>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</si>
  <si>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</si>
  <si>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</si>
  <si>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</si>
  <si>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</si>
  <si>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</si>
  <si>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</si>
  <si>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</si>
  <si>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</si>
  <si>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</si>
  <si>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</si>
  <si>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</si>
  <si>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</si>
  <si>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</si>
  <si>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</si>
  <si>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</si>
  <si>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</si>
  <si>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</si>
  <si>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</si>
  <si>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</si>
  <si>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</si>
  <si>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</si>
  <si>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</si>
  <si>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</si>
  <si>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</si>
  <si>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</si>
  <si>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</si>
  <si>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</si>
  <si>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</si>
  <si>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</si>
  <si>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</si>
  <si>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</si>
  <si>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</si>
  <si>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</si>
  <si>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</si>
  <si>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</si>
  <si>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</si>
  <si>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</si>
  <si>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</si>
  <si>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</si>
  <si>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</si>
  <si>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</si>
  <si>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</si>
  <si>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</si>
  <si>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</si>
  <si>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</si>
  <si>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</si>
  <si>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</si>
  <si>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</si>
  <si>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</si>
  <si>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</si>
  <si>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</si>
  <si>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</si>
  <si>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</si>
  <si>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</si>
  <si>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</si>
  <si>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</si>
  <si>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</si>
  <si>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</si>
  <si>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</si>
  <si>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</si>
  <si>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</si>
  <si>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</si>
  <si>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</si>
  <si>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</si>
  <si>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</si>
  <si>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</si>
  <si>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</si>
  <si>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</si>
  <si>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</si>
  <si>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</si>
  <si>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</si>
  <si>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</si>
  <si>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</si>
  <si>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</si>
  <si>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</si>
  <si>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</si>
  <si>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</si>
  <si>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</si>
  <si>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</si>
  <si>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</si>
  <si>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</si>
  <si>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</si>
  <si>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</si>
  <si>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</si>
  <si>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</si>
  <si>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</si>
  <si>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</si>
  <si>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</si>
  <si>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</si>
  <si>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</si>
  <si>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</si>
  <si>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</si>
  <si>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</si>
  <si>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</si>
  <si>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</si>
  <si>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</si>
  <si>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</si>
  <si>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</si>
  <si>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</si>
  <si>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</si>
  <si>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</si>
  <si>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</si>
  <si>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</si>
  <si>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</si>
  <si>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</si>
  <si>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</si>
  <si>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</si>
  <si>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</si>
  <si>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</si>
  <si>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</si>
  <si>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</si>
  <si>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</si>
  <si>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</si>
  <si>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</si>
  <si>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</si>
  <si>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</si>
  <si>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</si>
  <si>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</si>
  <si>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</si>
  <si>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</si>
  <si>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</si>
  <si>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</si>
  <si>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</si>
  <si>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</si>
  <si>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</si>
  <si>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</si>
  <si>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</si>
  <si>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</si>
  <si>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</si>
  <si>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</si>
  <si>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</si>
  <si>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</si>
  <si>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</si>
  <si>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</si>
  <si>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</si>
  <si>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</si>
  <si>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</si>
  <si>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</si>
  <si>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</si>
  <si>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</si>
  <si>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</si>
  <si>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</si>
  <si>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</si>
  <si>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</si>
  <si>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</si>
  <si>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</si>
  <si>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</si>
  <si>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</si>
  <si>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</si>
  <si>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</si>
  <si>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</si>
  <si>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</si>
  <si>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</si>
  <si>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</si>
  <si>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</si>
  <si>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</si>
  <si>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</si>
  <si>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</si>
  <si>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</si>
  <si>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</si>
  <si>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</si>
  <si>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</si>
  <si>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</si>
  <si>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</si>
  <si>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</si>
  <si>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</si>
  <si>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</si>
  <si>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</si>
  <si>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</si>
  <si>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</si>
  <si>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</si>
  <si>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</si>
  <si>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</si>
  <si>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</si>
  <si>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</si>
  <si>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</si>
  <si>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</si>
  <si>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</si>
  <si>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</si>
  <si>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</si>
  <si>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</si>
  <si>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</si>
  <si>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</si>
  <si>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</si>
  <si>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</si>
  <si>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</si>
  <si>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</si>
  <si>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</si>
  <si>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</si>
  <si>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</si>
  <si>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</si>
  <si>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</si>
  <si>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</si>
  <si>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</si>
  <si>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</si>
  <si>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</si>
  <si>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</si>
  <si>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</si>
  <si>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</si>
  <si>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</si>
  <si>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</si>
  <si>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</si>
  <si>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</si>
  <si>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</si>
  <si>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</si>
  <si>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</si>
  <si>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</si>
  <si>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</si>
  <si>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</si>
  <si>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</si>
  <si>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</si>
  <si>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</si>
  <si>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</si>
  <si>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</si>
  <si>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</si>
  <si>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</si>
  <si>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</si>
  <si>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</si>
  <si>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</si>
  <si>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</si>
  <si>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</si>
  <si>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</si>
  <si>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</si>
  <si>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</si>
  <si>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</si>
  <si>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</si>
  <si>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</si>
  <si>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</si>
  <si>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</si>
  <si>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</si>
  <si>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</si>
  <si>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</si>
  <si>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</si>
  <si>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</si>
  <si>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</si>
  <si>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</si>
  <si>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</si>
  <si>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</si>
  <si>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</si>
  <si>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</si>
  <si>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</si>
  <si>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</si>
  <si>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</si>
  <si>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</si>
  <si>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</si>
  <si>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</si>
  <si>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</si>
  <si>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</si>
  <si>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</si>
  <si>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</si>
  <si>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</si>
  <si>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</si>
  <si>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</si>
  <si>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</si>
  <si>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</si>
  <si>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</si>
  <si>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</si>
  <si>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</si>
  <si>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</si>
  <si>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</si>
  <si>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</si>
  <si>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</si>
  <si>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</si>
  <si>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</si>
  <si>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</si>
  <si>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</si>
  <si>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</si>
  <si>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</si>
  <si>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</si>
  <si>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</si>
  <si>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</si>
  <si>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</si>
  <si>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</si>
  <si>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</si>
  <si>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</si>
  <si>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</si>
  <si>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</si>
  <si>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</si>
  <si>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</si>
  <si>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</si>
  <si>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</si>
  <si>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</si>
  <si>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</si>
  <si>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</si>
  <si>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</si>
  <si>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</si>
  <si>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</si>
  <si>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</si>
  <si>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</si>
  <si>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</si>
  <si>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</si>
  <si>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</si>
  <si>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</si>
  <si>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</si>
  <si>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</si>
  <si>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</si>
  <si>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</si>
  <si>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</si>
  <si>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</si>
  <si>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</si>
  <si>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</si>
  <si>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</si>
  <si>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</si>
  <si>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</si>
  <si>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</si>
  <si>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</si>
  <si>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</si>
  <si>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</si>
  <si>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</si>
  <si>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</si>
  <si>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</si>
  <si>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</si>
  <si>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</si>
  <si>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</si>
  <si>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</si>
  <si>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</si>
  <si>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</si>
  <si>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</si>
  <si>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</si>
  <si>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</si>
  <si>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</si>
  <si>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</si>
  <si>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</si>
  <si>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</si>
  <si>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</si>
  <si>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</si>
  <si>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</si>
  <si>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</si>
  <si>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</si>
  <si>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</si>
  <si>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</si>
  <si>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</si>
  <si>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</si>
  <si>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</si>
  <si>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</si>
  <si>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</si>
  <si>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</si>
  <si>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</si>
  <si>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</si>
  <si>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</si>
  <si>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</si>
  <si>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</si>
  <si>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</si>
  <si>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</si>
  <si>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</si>
  <si>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</si>
  <si>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</si>
  <si>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</si>
  <si>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</si>
  <si>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</si>
  <si>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</si>
  <si>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</si>
  <si>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</si>
  <si>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</si>
  <si>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</si>
  <si>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</si>
  <si>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</si>
  <si>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</si>
  <si>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</si>
  <si>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</si>
  <si>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</si>
  <si>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</si>
  <si>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</si>
  <si>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</si>
  <si>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</si>
  <si>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</si>
  <si>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</si>
  <si>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</si>
  <si>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</si>
  <si>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</si>
  <si>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</si>
  <si>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</si>
  <si>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</si>
  <si>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</si>
  <si>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</si>
  <si>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</si>
  <si>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</si>
  <si>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</si>
  <si>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</si>
  <si>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</si>
  <si>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</si>
  <si>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</si>
  <si>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</si>
  <si>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</si>
  <si>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</si>
  <si>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</si>
  <si>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</si>
  <si>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</si>
  <si>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</si>
  <si>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</si>
  <si>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</si>
  <si>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</si>
  <si>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</si>
  <si>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</si>
  <si>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</si>
  <si>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</si>
  <si>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</si>
  <si>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</si>
  <si>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</si>
  <si>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</si>
  <si>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</si>
  <si>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</si>
  <si>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</si>
  <si>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</si>
  <si>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</si>
  <si>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</si>
  <si>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</si>
  <si>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</si>
  <si>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</si>
  <si>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</si>
  <si>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</si>
  <si>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</si>
  <si>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</si>
  <si>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</si>
  <si>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</si>
  <si>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</si>
  <si>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</si>
  <si>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</si>
  <si>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</si>
  <si>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</si>
  <si>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</si>
  <si>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</si>
  <si>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</si>
  <si>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</si>
  <si>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</si>
  <si>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</si>
  <si>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</si>
  <si>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</si>
  <si>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</si>
  <si>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</si>
  <si>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</si>
  <si>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</si>
  <si>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</si>
  <si>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</si>
  <si>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</si>
  <si>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</si>
  <si>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</si>
  <si>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</si>
  <si>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</si>
  <si>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</si>
  <si>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</si>
  <si>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</si>
  <si>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</si>
  <si>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</si>
  <si>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</si>
  <si>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</si>
  <si>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</si>
  <si>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</si>
  <si>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</si>
  <si>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</si>
  <si>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</si>
  <si>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</si>
  <si>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</si>
  <si>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</si>
  <si>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</si>
  <si>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</si>
  <si>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</si>
  <si>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</si>
  <si>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</si>
  <si>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</si>
  <si>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</si>
  <si>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</si>
  <si>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</si>
  <si>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</si>
  <si>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</si>
  <si>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</si>
  <si>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</si>
  <si>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</si>
  <si>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</si>
  <si>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</si>
  <si>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</si>
  <si>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</si>
  <si>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</si>
  <si>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</si>
  <si>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</si>
  <si>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</si>
  <si>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</si>
  <si>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</si>
  <si>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</si>
  <si>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</si>
  <si>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</si>
  <si>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</si>
  <si>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</si>
  <si>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</si>
  <si>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</si>
  <si>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</si>
  <si>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</si>
  <si>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</si>
  <si>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</si>
  <si>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</si>
  <si>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</si>
  <si>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</si>
  <si>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</si>
  <si>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</si>
  <si>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</si>
  <si>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</si>
  <si>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</si>
  <si>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</si>
  <si>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</si>
  <si>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</si>
  <si>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</si>
  <si>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</si>
  <si>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</si>
  <si>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</si>
  <si>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</si>
  <si>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</si>
  <si>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</si>
  <si>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</si>
  <si>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</si>
  <si>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</si>
  <si>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</si>
  <si>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</si>
  <si>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</si>
  <si>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</si>
  <si>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</si>
  <si>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</si>
  <si>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</si>
  <si>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</si>
  <si>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</si>
  <si>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</si>
  <si>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</si>
  <si>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</si>
  <si>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</si>
  <si>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</si>
  <si>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</si>
  <si>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</si>
  <si>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</si>
  <si>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</si>
  <si>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</si>
  <si>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</si>
  <si>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</si>
  <si>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</si>
  <si>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</si>
  <si>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</si>
  <si>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</si>
  <si>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</si>
  <si>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</si>
  <si>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</si>
  <si>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</si>
  <si>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</si>
  <si>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</si>
  <si>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</si>
  <si>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</si>
  <si>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</si>
  <si>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</si>
  <si>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</si>
  <si>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</si>
  <si>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</si>
  <si>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</si>
  <si>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</si>
  <si>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</si>
  <si>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</si>
  <si>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</si>
  <si>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</si>
  <si>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</si>
  <si>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</si>
  <si>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</si>
  <si>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</si>
  <si>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</si>
  <si>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</si>
  <si>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</si>
  <si>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</si>
  <si>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</si>
  <si>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</si>
  <si>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</si>
  <si>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</si>
  <si>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</si>
  <si>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</si>
  <si>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</si>
  <si>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</si>
  <si>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</si>
  <si>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</si>
  <si>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</si>
  <si>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</si>
  <si>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</si>
  <si>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</si>
  <si>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</si>
  <si>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</si>
  <si>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</si>
  <si>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</si>
  <si>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</si>
  <si>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</si>
  <si>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</si>
  <si>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</si>
  <si>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</si>
  <si>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</si>
  <si>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</si>
  <si>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</si>
  <si>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</si>
  <si>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</si>
  <si>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</si>
  <si>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</si>
  <si>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</si>
  <si>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</si>
  <si>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</si>
  <si>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</si>
  <si>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</si>
  <si>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</si>
  <si>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</si>
  <si>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</si>
  <si>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</si>
  <si>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</si>
  <si>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</si>
  <si>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</si>
  <si>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</si>
  <si>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</si>
  <si>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</si>
  <si>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</si>
  <si>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</si>
  <si>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</si>
  <si>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</si>
  <si>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</si>
  <si>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</si>
  <si>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</si>
  <si>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</si>
  <si>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</si>
  <si>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</si>
  <si>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</si>
  <si>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</si>
  <si>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</si>
  <si>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</si>
  <si>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</si>
  <si>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</si>
  <si>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</si>
  <si>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</si>
  <si>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</si>
  <si>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</si>
  <si>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</si>
  <si>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</si>
  <si>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</si>
  <si>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</si>
  <si>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</si>
  <si>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</si>
  <si>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</si>
  <si>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</si>
  <si>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</si>
  <si>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</si>
  <si>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</si>
  <si>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</si>
  <si>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</si>
  <si>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</si>
  <si>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</si>
  <si>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</si>
  <si>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</si>
  <si>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</si>
  <si>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</si>
  <si>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</si>
  <si>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</si>
  <si>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</si>
  <si>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</si>
  <si>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</si>
  <si>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</si>
  <si>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</si>
  <si>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</si>
  <si>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</si>
  <si>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</si>
  <si>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</si>
  <si>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</si>
  <si>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</si>
  <si>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</si>
  <si>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</si>
  <si>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</si>
  <si>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</si>
  <si>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</si>
  <si>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</si>
  <si>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</si>
  <si>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</si>
  <si>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</si>
  <si>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</si>
  <si>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</si>
  <si>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</si>
  <si>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</si>
  <si>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</si>
  <si>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</si>
  <si>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</si>
  <si>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</si>
  <si>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</si>
  <si>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</si>
  <si>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</si>
  <si>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</si>
  <si>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</si>
  <si>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</si>
  <si>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</si>
  <si>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</si>
  <si>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</si>
  <si>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</si>
  <si>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</si>
  <si>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</si>
  <si>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</si>
  <si>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</si>
  <si>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</si>
  <si>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</si>
  <si>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</si>
  <si>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</si>
  <si>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</si>
  <si>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</si>
  <si>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</si>
  <si>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</si>
  <si>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</si>
  <si>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</si>
  <si>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</si>
  <si>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</si>
  <si>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</si>
  <si>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</si>
  <si>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</si>
  <si>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</si>
  <si>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</si>
  <si>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</si>
  <si>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</si>
  <si>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</si>
  <si>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</si>
  <si>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</si>
  <si>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</si>
  <si>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</si>
  <si>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</si>
  <si>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</si>
  <si>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</si>
  <si>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</si>
  <si>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</si>
  <si>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</si>
  <si>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</si>
  <si>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</si>
  <si>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</si>
  <si>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</si>
  <si>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</si>
  <si>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</si>
  <si>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</si>
  <si>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</si>
  <si>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</si>
  <si>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</si>
  <si>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</si>
  <si>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</si>
  <si>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</si>
  <si>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</si>
  <si>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</si>
  <si>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</si>
  <si>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</si>
  <si>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</si>
  <si>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</si>
  <si>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</si>
  <si>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</si>
  <si>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</si>
  <si>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</si>
  <si>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</si>
  <si>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</si>
  <si>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</si>
  <si>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</si>
  <si>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</si>
  <si>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</si>
  <si>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</si>
  <si>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</si>
  <si>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</si>
  <si>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</si>
  <si>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</si>
  <si>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</si>
  <si>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</si>
  <si>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</si>
  <si>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</si>
  <si>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</si>
  <si>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</si>
  <si>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</si>
  <si>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</si>
  <si>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</si>
  <si>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</si>
  <si>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</si>
  <si>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</si>
  <si>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</si>
  <si>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</si>
  <si>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</si>
  <si>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</si>
  <si>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</si>
  <si>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</si>
  <si>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</si>
  <si>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</si>
  <si>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</si>
  <si>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</si>
  <si>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</si>
  <si>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</si>
  <si>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</si>
  <si>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</si>
  <si>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</si>
  <si>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</si>
  <si>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</si>
  <si>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</si>
  <si>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</si>
  <si>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</si>
  <si>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</si>
  <si>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</si>
  <si>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</si>
  <si>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</si>
  <si>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</si>
  <si>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</si>
  <si>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</si>
  <si>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</si>
  <si>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</si>
  <si>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</si>
  <si>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</si>
  <si>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</si>
  <si>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</si>
  <si>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</si>
  <si>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</si>
  <si>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</si>
  <si>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</si>
  <si>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</si>
  <si>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</si>
  <si>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</si>
  <si>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</si>
  <si>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</si>
  <si>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</si>
  <si>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</si>
  <si>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</si>
  <si>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</si>
  <si>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</si>
  <si>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</si>
  <si>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</si>
  <si>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</si>
  <si>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</si>
  <si>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</si>
  <si>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</si>
  <si>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</si>
  <si>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</si>
  <si>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</si>
  <si>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</si>
  <si>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</si>
  <si>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</si>
  <si>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</si>
  <si>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</si>
  <si>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</si>
  <si>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</si>
  <si>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</si>
  <si>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</si>
  <si>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</si>
  <si>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</si>
  <si>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</si>
  <si>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</si>
  <si>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</si>
  <si>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</si>
  <si>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</si>
  <si>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</si>
  <si>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</si>
  <si>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</si>
  <si>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</si>
  <si>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</si>
  <si>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</si>
  <si>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</si>
  <si>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</si>
  <si>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</si>
  <si>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</si>
  <si>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</si>
  <si>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</si>
  <si>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</si>
  <si>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</si>
  <si>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</si>
  <si>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</si>
  <si>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</si>
  <si>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</si>
  <si>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</si>
  <si>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</si>
  <si>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</si>
  <si>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</si>
  <si>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</si>
  <si>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</si>
  <si>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</si>
  <si>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</si>
  <si>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</si>
  <si>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</si>
  <si>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</si>
  <si>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</si>
  <si>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</si>
  <si>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</si>
  <si>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</si>
  <si>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</si>
  <si>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</si>
  <si>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</si>
  <si>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</si>
  <si>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</si>
  <si>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</si>
  <si>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</si>
  <si>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</si>
  <si>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</si>
  <si>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</si>
  <si>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</si>
  <si>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</si>
  <si>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</si>
  <si>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</si>
  <si>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</si>
  <si>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</si>
  <si>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</si>
  <si>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</si>
  <si>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</si>
  <si>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</si>
  <si>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</si>
  <si>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</si>
  <si>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</si>
  <si>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</si>
  <si>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</si>
  <si>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</si>
  <si>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</si>
  <si>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</si>
  <si>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</si>
  <si>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</si>
  <si>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</si>
  <si>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</si>
  <si>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</si>
  <si>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</si>
  <si>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</si>
  <si>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</si>
  <si>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</si>
  <si>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</si>
  <si>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</si>
  <si>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</si>
  <si>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</si>
  <si>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</si>
  <si>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</si>
  <si>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</si>
  <si>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</si>
  <si>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</si>
  <si>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</si>
  <si>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</si>
  <si>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</si>
  <si>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</si>
  <si>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</si>
  <si>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</si>
  <si>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</si>
  <si>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</si>
  <si>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</si>
  <si>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</si>
  <si>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</si>
  <si>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</si>
  <si>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</si>
  <si>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</si>
  <si>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</si>
  <si>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</si>
  <si>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</si>
  <si>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</si>
  <si>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</si>
  <si>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</si>
  <si>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</si>
  <si>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</si>
  <si>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</si>
  <si>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</si>
  <si>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</si>
  <si>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</si>
  <si>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</si>
  <si>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</si>
  <si>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</si>
  <si>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</si>
  <si>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</si>
  <si>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</si>
  <si>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</si>
  <si>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</si>
  <si>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</si>
  <si>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</si>
  <si>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</si>
  <si>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</si>
  <si>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</si>
  <si>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</si>
  <si>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</si>
  <si>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</si>
  <si>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</si>
  <si>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</si>
  <si>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</si>
  <si>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</si>
  <si>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</si>
  <si>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</si>
  <si>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</si>
  <si>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</si>
  <si>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</si>
  <si>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</si>
  <si>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</si>
  <si>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</si>
  <si>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</si>
  <si>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</si>
  <si>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</si>
  <si>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</si>
  <si>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</si>
  <si>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</si>
  <si>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</si>
  <si>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</si>
  <si>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</si>
  <si>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</si>
  <si>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</si>
  <si>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</si>
  <si>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</si>
  <si>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</si>
  <si>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</si>
  <si>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</si>
  <si>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</si>
  <si>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</si>
  <si>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</si>
  <si>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</si>
  <si>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</si>
  <si>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</si>
  <si>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</si>
  <si>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</si>
  <si>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</si>
  <si>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</si>
  <si>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</si>
  <si>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</si>
  <si>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</si>
  <si>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</si>
  <si>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</si>
  <si>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</si>
  <si>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</si>
  <si>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</si>
  <si>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</si>
  <si>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</si>
  <si>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</si>
  <si>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</si>
  <si>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</si>
  <si>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</si>
  <si>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</si>
  <si>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</si>
  <si>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</si>
  <si>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</si>
  <si>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</si>
  <si>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</si>
  <si>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</si>
  <si>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</si>
  <si>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</si>
  <si>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</si>
  <si>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</si>
  <si>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</si>
  <si>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</si>
  <si>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</si>
  <si>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</si>
  <si>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</si>
  <si>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</si>
  <si>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</si>
  <si>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</si>
  <si>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</si>
  <si>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</si>
  <si>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</si>
  <si>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</si>
  <si>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</si>
  <si>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</si>
  <si>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</si>
  <si>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</si>
  <si>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</si>
  <si>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</si>
  <si>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</si>
  <si>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</si>
  <si>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</si>
  <si>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</si>
  <si>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</si>
  <si>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</si>
  <si>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</si>
  <si>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</si>
  <si>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</si>
  <si>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</si>
  <si>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</si>
  <si>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</si>
  <si>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</si>
  <si>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</si>
  <si>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</si>
  <si>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</si>
  <si>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</si>
  <si>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</si>
  <si>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</si>
  <si>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</si>
  <si>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</si>
  <si>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</si>
  <si>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</si>
  <si>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</si>
  <si>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</si>
  <si>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</si>
  <si>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</si>
  <si>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</si>
  <si>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</si>
  <si>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</si>
  <si>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</si>
  <si>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</si>
  <si>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</si>
  <si>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</si>
  <si>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</si>
  <si>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</si>
  <si>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</si>
  <si>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</si>
  <si>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</si>
  <si>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</si>
  <si>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</si>
  <si>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</si>
  <si>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</si>
  <si>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</si>
  <si>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</si>
  <si>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</si>
  <si>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</si>
  <si>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</si>
  <si>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</si>
  <si>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</si>
  <si>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</si>
  <si>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</si>
  <si>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</si>
  <si>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</si>
  <si>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</si>
  <si>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</si>
  <si>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</si>
  <si>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</si>
  <si>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</si>
  <si>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</si>
  <si>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</si>
  <si>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</si>
  <si>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</si>
  <si>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</si>
  <si>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</si>
  <si>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</si>
  <si>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</si>
  <si>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</si>
  <si>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</si>
  <si>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</si>
  <si>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</si>
  <si>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</si>
  <si>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</si>
  <si>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</si>
  <si>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</si>
  <si>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</si>
  <si>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</si>
  <si>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</si>
  <si>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</si>
  <si>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</si>
  <si>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</si>
  <si>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</si>
  <si>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</si>
  <si>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</si>
  <si>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</si>
  <si>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</si>
  <si>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</si>
  <si>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</si>
  <si>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</si>
  <si>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</si>
  <si>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</si>
  <si>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</si>
  <si>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</si>
  <si>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</si>
  <si>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</si>
  <si>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</si>
  <si>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</si>
  <si>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</si>
  <si>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</si>
  <si>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</si>
  <si>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</si>
  <si>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</si>
  <si>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</si>
  <si>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</si>
  <si>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</si>
  <si>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</si>
  <si>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</si>
  <si>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</si>
  <si>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</si>
  <si>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</si>
  <si>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</si>
  <si>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</si>
  <si>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</si>
  <si>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</si>
  <si>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</si>
  <si>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</si>
  <si>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</si>
  <si>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</si>
  <si>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</si>
  <si>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</si>
  <si>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</si>
  <si>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</si>
  <si>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</si>
  <si>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</si>
  <si>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</si>
  <si>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</si>
  <si>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</si>
  <si>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</si>
  <si>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</si>
  <si>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</si>
  <si>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</si>
  <si>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</si>
  <si>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</si>
  <si>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</si>
  <si>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</si>
  <si>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</si>
  <si>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</si>
  <si>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</si>
  <si>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</si>
  <si>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</si>
  <si>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</si>
  <si>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</si>
  <si>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</si>
  <si>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</si>
  <si>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</si>
  <si>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</si>
  <si>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</si>
  <si>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</si>
  <si>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</si>
  <si>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</si>
  <si>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</si>
  <si>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</si>
  <si>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</si>
  <si>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</si>
  <si>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</si>
  <si>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</si>
  <si>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</si>
  <si>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</si>
  <si>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</si>
  <si>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</si>
  <si>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</si>
  <si>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</si>
  <si>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</si>
  <si>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</si>
  <si>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</si>
  <si>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</si>
  <si>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</si>
  <si>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</si>
  <si>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</si>
  <si>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</si>
  <si>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</si>
  <si>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</si>
  <si>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</si>
  <si>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</si>
  <si>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</si>
  <si>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</si>
  <si>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</si>
  <si>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</si>
  <si>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</si>
  <si>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</si>
  <si>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</si>
  <si>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</si>
  <si>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</si>
  <si>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</si>
  <si>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</si>
  <si>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</si>
  <si>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</si>
  <si>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</si>
  <si>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</si>
  <si>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</si>
  <si>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</si>
  <si>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</si>
  <si>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</si>
  <si>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</si>
  <si>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</si>
  <si>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</si>
  <si>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</si>
  <si>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</si>
  <si>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</si>
  <si>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</si>
  <si>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</si>
  <si>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</si>
  <si>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</si>
  <si>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</si>
  <si>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</si>
  <si>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</si>
  <si>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</si>
  <si>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</si>
  <si>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</si>
  <si>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</si>
  <si>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</si>
  <si>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</si>
  <si>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</si>
  <si>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</si>
  <si>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</si>
  <si>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</si>
  <si>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</si>
  <si>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</si>
  <si>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</si>
  <si>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</si>
  <si>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</si>
  <si>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</si>
  <si>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</si>
  <si>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</si>
  <si>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</si>
  <si>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</si>
  <si>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</si>
  <si>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</si>
  <si>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</si>
  <si>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</si>
  <si>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</si>
  <si>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</si>
  <si>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</si>
  <si>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</si>
  <si>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</si>
  <si>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</si>
  <si>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</si>
  <si>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</si>
  <si>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</si>
  <si>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</si>
  <si>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</si>
  <si>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</si>
  <si>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</si>
  <si>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</si>
  <si>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</si>
  <si>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</si>
  <si>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</si>
  <si>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</si>
  <si>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</si>
  <si>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</si>
  <si>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</si>
  <si>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</si>
  <si>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</si>
  <si>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</si>
  <si>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</si>
  <si>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</si>
  <si>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</si>
  <si>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</si>
  <si>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</si>
  <si>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</si>
  <si>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</si>
  <si>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</si>
  <si>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</si>
  <si>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</si>
  <si>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</si>
  <si>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</si>
  <si>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</si>
  <si>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</si>
  <si>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</si>
  <si>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</si>
  <si>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</si>
  <si>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</si>
  <si>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</si>
  <si>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</si>
  <si>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</si>
  <si>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</si>
  <si>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</si>
  <si>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</si>
  <si>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</si>
  <si>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</si>
  <si>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</si>
  <si>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</si>
  <si>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</si>
  <si>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</si>
  <si>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</si>
  <si>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</si>
  <si>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</si>
  <si>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</si>
  <si>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</si>
  <si>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</si>
  <si>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</si>
  <si>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</si>
  <si>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</si>
  <si>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</si>
  <si>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</si>
  <si>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</si>
  <si>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</si>
  <si>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</si>
  <si>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</si>
  <si>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</si>
  <si>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</si>
  <si>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</si>
  <si>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</si>
  <si>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</si>
  <si>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</si>
  <si>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</si>
  <si>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</si>
  <si>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</si>
  <si>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</si>
  <si>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</si>
  <si>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</si>
  <si>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</si>
  <si>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</si>
  <si>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</si>
  <si>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</si>
  <si>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</si>
  <si>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</si>
  <si>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</si>
  <si>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</si>
  <si>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</si>
  <si>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</si>
  <si>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</si>
  <si>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</si>
  <si>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</si>
  <si>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</si>
  <si>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</si>
  <si>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</si>
  <si>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</si>
  <si>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</si>
  <si>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</si>
  <si>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</si>
  <si>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</si>
  <si>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</si>
  <si>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</si>
  <si>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</si>
  <si>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</si>
  <si>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</si>
  <si>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</si>
  <si>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</si>
  <si>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</si>
  <si>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</si>
  <si>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</si>
  <si>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</si>
  <si>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</si>
  <si>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</si>
  <si>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</si>
  <si>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</si>
  <si>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</si>
  <si>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</si>
  <si>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</si>
  <si>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</si>
  <si>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</si>
  <si>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</si>
  <si>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</si>
  <si>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</si>
  <si>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</si>
  <si>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</si>
  <si>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</si>
  <si>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</si>
  <si>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</si>
  <si>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</si>
  <si>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</si>
  <si>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</si>
  <si>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</si>
  <si>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</si>
  <si>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</si>
  <si>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</si>
  <si>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</si>
  <si>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</si>
  <si>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</si>
  <si>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</si>
  <si>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</si>
  <si>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</si>
  <si>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</si>
  <si>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</si>
  <si>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</si>
  <si>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</si>
  <si>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</si>
  <si>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</si>
  <si>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</si>
  <si>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</si>
  <si>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</si>
  <si>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</si>
  <si>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</si>
  <si>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</si>
  <si>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</si>
  <si>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</si>
  <si>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</si>
  <si>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</si>
  <si>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</si>
  <si>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</si>
  <si>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</si>
  <si>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</si>
  <si>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</si>
  <si>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</si>
  <si>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</si>
  <si>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</si>
  <si>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</si>
  <si>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</si>
  <si>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</si>
  <si>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</si>
  <si>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</si>
  <si>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</si>
  <si>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</si>
  <si>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</si>
  <si>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</si>
  <si>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</si>
  <si>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</si>
  <si>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</si>
  <si>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</si>
  <si>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</si>
  <si>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</si>
  <si>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</si>
  <si>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</si>
  <si>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</si>
  <si>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</si>
  <si>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</si>
  <si>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</si>
  <si>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</si>
  <si>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</si>
  <si>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</si>
  <si>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</si>
  <si>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</si>
  <si>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</si>
  <si>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</si>
  <si>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</si>
  <si>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</si>
  <si>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</si>
  <si>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</si>
  <si>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</si>
  <si>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</si>
  <si>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</si>
  <si>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</si>
  <si>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</si>
  <si>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</si>
  <si>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</si>
  <si>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</si>
  <si>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</si>
  <si>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</si>
  <si>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</si>
  <si>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</si>
  <si>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</si>
  <si>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</si>
  <si>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</si>
  <si>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</si>
  <si>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</si>
  <si>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</si>
  <si>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</si>
  <si>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</si>
  <si>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</si>
  <si>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</si>
  <si>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</si>
  <si>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</si>
  <si>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</si>
  <si>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</si>
  <si>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</si>
  <si>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</si>
  <si>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</si>
  <si>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</si>
  <si>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</si>
  <si>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</si>
  <si>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</si>
  <si>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</si>
  <si>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</si>
  <si>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</si>
  <si>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</si>
  <si>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</si>
  <si>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</si>
  <si>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</si>
  <si>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</si>
  <si>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</si>
  <si>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</si>
  <si>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</si>
  <si>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</si>
  <si>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</si>
  <si>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</si>
  <si>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</si>
  <si>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</si>
  <si>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</si>
  <si>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</si>
  <si>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</si>
  <si>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</si>
  <si>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</si>
  <si>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</si>
  <si>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</si>
  <si>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</si>
  <si>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</si>
  <si>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</si>
  <si>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</si>
  <si>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</si>
  <si>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</si>
  <si>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</si>
  <si>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</si>
  <si>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</si>
  <si>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</si>
  <si>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</si>
  <si>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</si>
  <si>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</si>
  <si>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</si>
  <si>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</si>
  <si>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</si>
  <si>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</si>
  <si>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</si>
  <si>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</si>
  <si>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</si>
  <si>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</si>
  <si>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</si>
  <si>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</si>
  <si>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</si>
  <si>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</si>
  <si>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</si>
  <si>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</si>
  <si>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</si>
  <si>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</si>
  <si>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</si>
  <si>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</si>
  <si>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</si>
  <si>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</si>
  <si>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</si>
  <si>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</si>
  <si>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</si>
  <si>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</si>
  <si>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</si>
  <si>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</si>
  <si>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</si>
  <si>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</si>
  <si>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</si>
  <si>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</si>
  <si>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</si>
  <si>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</si>
  <si>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</si>
  <si>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</si>
  <si>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</si>
  <si>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</si>
  <si>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</si>
  <si>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</si>
  <si>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</si>
  <si>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</si>
  <si>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</si>
  <si>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</si>
  <si>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</si>
  <si>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</si>
  <si>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</si>
  <si>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</si>
  <si>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</si>
  <si>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</si>
  <si>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</si>
  <si>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</si>
  <si>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</si>
  <si>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</si>
  <si>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</si>
  <si>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</si>
  <si>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</si>
  <si>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</si>
  <si>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</si>
  <si>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</si>
  <si>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</si>
  <si>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</si>
  <si>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</si>
  <si>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</si>
  <si>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</si>
  <si>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</si>
  <si>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</si>
  <si>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</si>
  <si>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</si>
  <si>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</si>
  <si>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</si>
  <si>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</si>
  <si>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</si>
  <si>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</si>
  <si>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</si>
  <si>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</si>
  <si>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</si>
  <si>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</si>
  <si>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</si>
  <si>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</si>
  <si>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</si>
  <si>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</si>
  <si>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</si>
  <si>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</si>
  <si>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</si>
  <si>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</si>
  <si>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</si>
  <si>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</si>
  <si>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</si>
  <si>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</si>
  <si>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</si>
  <si>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</si>
  <si>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</si>
  <si>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</si>
  <si>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</si>
  <si>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</si>
  <si>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</si>
  <si>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</si>
  <si>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</si>
  <si>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</si>
  <si>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</si>
  <si>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</si>
  <si>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</si>
  <si>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</si>
  <si>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</si>
  <si>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</si>
  <si>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</si>
  <si>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</si>
  <si>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</si>
  <si>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</si>
  <si>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</si>
  <si>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</si>
  <si>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</si>
  <si>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</si>
  <si>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</si>
  <si>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</si>
  <si>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</si>
  <si>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</si>
  <si>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</si>
  <si>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</si>
  <si>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</si>
  <si>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</si>
  <si>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</si>
  <si>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</si>
  <si>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</si>
  <si>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</si>
  <si>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</si>
  <si>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</si>
  <si>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</si>
  <si>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</si>
  <si>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</si>
  <si>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</si>
  <si>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</si>
  <si>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</si>
  <si>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</si>
  <si>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</si>
  <si>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</si>
  <si>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</si>
  <si>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</si>
  <si>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</si>
  <si>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</si>
  <si>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</si>
  <si>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</si>
  <si>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</si>
  <si>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</si>
  <si>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</si>
  <si>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</si>
  <si>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</si>
  <si>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</si>
  <si>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</si>
  <si>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</si>
  <si>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</si>
  <si>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</si>
  <si>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</si>
  <si>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</si>
  <si>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</si>
  <si>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</si>
  <si>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</si>
  <si>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</si>
  <si>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</si>
  <si>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</si>
  <si>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</si>
  <si>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</si>
  <si>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</si>
  <si>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</si>
  <si>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</si>
  <si>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</si>
  <si>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</si>
  <si>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</si>
  <si>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</si>
  <si>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</si>
  <si>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</si>
  <si>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</si>
  <si>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</si>
  <si>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</si>
  <si>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</si>
  <si>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</si>
  <si>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</si>
  <si>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</si>
  <si>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</si>
  <si>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</si>
  <si>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</si>
  <si>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</si>
  <si>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</si>
  <si>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</si>
  <si>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</si>
  <si>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</si>
  <si>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</si>
  <si>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</si>
  <si>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</si>
  <si>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</si>
  <si>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</si>
  <si>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</si>
  <si>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</si>
  <si>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</si>
  <si>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</si>
  <si>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</si>
  <si>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</si>
  <si>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</si>
  <si>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</si>
  <si>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</si>
  <si>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</si>
  <si>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</si>
  <si>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</si>
  <si>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</si>
  <si>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</si>
  <si>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</si>
  <si>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</si>
  <si>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</si>
  <si>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</si>
  <si>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</si>
  <si>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</si>
  <si>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</si>
  <si>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</si>
  <si>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</si>
  <si>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</si>
  <si>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</si>
  <si>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</si>
  <si>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</si>
  <si>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</si>
  <si>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</si>
  <si>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</si>
  <si>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</si>
  <si>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</si>
  <si>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</si>
  <si>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</si>
  <si>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</si>
  <si>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</si>
  <si>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</si>
  <si>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</si>
  <si>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</si>
  <si>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</si>
  <si>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</si>
  <si>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</si>
  <si>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</si>
  <si>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</si>
  <si>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</si>
  <si>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</si>
  <si>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</si>
  <si>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</si>
  <si>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</si>
  <si>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</si>
  <si>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</si>
  <si>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</si>
  <si>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</si>
  <si>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</si>
  <si>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</si>
  <si>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</si>
  <si>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</si>
  <si>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</si>
  <si>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</si>
  <si>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</si>
  <si>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</si>
  <si>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</si>
  <si>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</si>
  <si>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</si>
  <si>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</si>
  <si>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</si>
  <si>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</si>
  <si>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</si>
  <si>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</si>
  <si>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</si>
  <si>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</si>
  <si>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</si>
  <si>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</si>
  <si>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</si>
  <si>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</si>
  <si>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</si>
  <si>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</si>
  <si>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</si>
  <si>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</si>
  <si>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</si>
  <si>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</si>
  <si>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</si>
  <si>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</si>
  <si>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</si>
  <si>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</si>
  <si>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</si>
  <si>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</si>
  <si>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</si>
  <si>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</si>
  <si>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</si>
  <si>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</si>
  <si>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</si>
  <si>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</si>
  <si>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</si>
  <si>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</si>
  <si>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</si>
  <si>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</si>
  <si>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</si>
  <si>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</si>
  <si>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</si>
  <si>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</si>
  <si>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</si>
  <si>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</si>
  <si>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</si>
  <si>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</si>
  <si>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</si>
  <si>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</si>
  <si>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</si>
  <si>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</si>
  <si>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</si>
  <si>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</si>
  <si>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</si>
  <si>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</si>
  <si>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</si>
  <si>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</si>
  <si>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</si>
  <si>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</si>
  <si>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</si>
  <si>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</si>
  <si>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</si>
  <si>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</si>
  <si>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</si>
  <si>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</si>
  <si>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</si>
  <si>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</si>
  <si>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</si>
  <si>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</si>
  <si>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</si>
  <si>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</si>
  <si>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</si>
  <si>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</si>
  <si>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</si>
  <si>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</si>
  <si>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</si>
  <si>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</si>
  <si>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</si>
  <si>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</si>
  <si>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</si>
  <si>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</si>
  <si>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</si>
  <si>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</si>
  <si>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</si>
  <si>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</si>
  <si>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</si>
  <si>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</si>
  <si>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</si>
  <si>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</si>
  <si>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</si>
  <si>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</si>
  <si>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</si>
  <si>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</si>
  <si>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</si>
  <si>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</si>
  <si>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</si>
  <si>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</si>
  <si>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</si>
  <si>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</si>
  <si>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</si>
  <si>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</si>
  <si>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</si>
  <si>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</si>
  <si>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</si>
  <si>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</si>
  <si>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</si>
  <si>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</si>
  <si>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</si>
  <si>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</si>
  <si>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</si>
  <si>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</si>
  <si>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</si>
  <si>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</si>
  <si>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</si>
  <si>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</si>
  <si>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</si>
  <si>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</si>
  <si>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</si>
  <si>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</si>
  <si>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</si>
  <si>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</si>
  <si>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</si>
  <si>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</si>
  <si>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</si>
  <si>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</si>
  <si>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</si>
  <si>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</si>
  <si>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</si>
  <si>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</si>
  <si>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</si>
  <si>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</si>
  <si>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</si>
  <si>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</si>
  <si>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</si>
  <si>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</si>
  <si>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</si>
  <si>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</si>
  <si>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</si>
  <si>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</si>
  <si>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</si>
  <si>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</si>
  <si>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</si>
  <si>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</si>
  <si>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</si>
  <si>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</si>
  <si>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</si>
  <si>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</si>
  <si>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</si>
  <si>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</si>
  <si>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</si>
  <si>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</si>
  <si>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</si>
  <si>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</si>
  <si>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</si>
  <si>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</si>
  <si>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</si>
  <si>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</si>
  <si>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</si>
  <si>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</si>
  <si>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</si>
  <si>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</si>
  <si>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</si>
  <si>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</si>
  <si>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</si>
  <si>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</si>
  <si>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</si>
  <si>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</si>
  <si>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</si>
  <si>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</si>
  <si>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</si>
  <si>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</si>
  <si>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</si>
  <si>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</si>
  <si>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</si>
  <si>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</si>
  <si>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</si>
  <si>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</si>
  <si>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</si>
  <si>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</si>
  <si>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</si>
  <si>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</si>
  <si>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</si>
  <si>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</si>
  <si>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</si>
  <si>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</si>
  <si>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</si>
  <si>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</si>
  <si>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</si>
  <si>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</si>
  <si>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</si>
  <si>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</si>
  <si>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</si>
  <si>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</si>
  <si>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</si>
  <si>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</si>
  <si>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</si>
  <si>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</si>
  <si>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</si>
  <si>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</si>
  <si>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</si>
  <si>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</si>
  <si>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</si>
  <si>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</si>
  <si>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</si>
  <si>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</si>
  <si>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</si>
  <si>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</si>
  <si>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</si>
  <si>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</si>
  <si>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</si>
  <si>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</si>
  <si>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</si>
  <si>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</si>
  <si>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</si>
  <si>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</si>
  <si>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</si>
  <si>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</si>
  <si>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</si>
  <si>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</si>
  <si>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</si>
  <si>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</si>
  <si>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</si>
  <si>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</si>
  <si>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</si>
  <si>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</si>
  <si>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</si>
  <si>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</si>
  <si>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56-099-255U-61</t>
  </si>
  <si>
    <t>Will County</t>
  </si>
  <si>
    <t>Southern Will County Cooperative for Special Education</t>
  </si>
  <si>
    <t>1207 N. Larkin Avenue</t>
  </si>
  <si>
    <t>Joliet</t>
  </si>
  <si>
    <t>mturk@sowic.org</t>
  </si>
  <si>
    <t>X</t>
  </si>
  <si>
    <t>Bill Roseland</t>
  </si>
  <si>
    <t>broseland@sowic.org</t>
  </si>
  <si>
    <t>815-741-7777</t>
  </si>
  <si>
    <t>815-741-7779</t>
  </si>
  <si>
    <t>Mack &amp; Associates, P.C.</t>
  </si>
  <si>
    <t>Tawnya Mack, CPA</t>
  </si>
  <si>
    <t>116 E. Washington Street, Suite One</t>
  </si>
  <si>
    <t>Morris</t>
  </si>
  <si>
    <t>IL</t>
  </si>
  <si>
    <t>815-942-3306</t>
  </si>
  <si>
    <t>815-942-9430</t>
  </si>
  <si>
    <t>066-005100</t>
  </si>
  <si>
    <t>tmack@mackcpas.com</t>
  </si>
  <si>
    <t>PDF in Opinion Page with signature</t>
  </si>
  <si>
    <t>x</t>
  </si>
  <si>
    <t>Lincoln Way Area Affiliation</t>
  </si>
  <si>
    <t>Direct Energy</t>
  </si>
  <si>
    <t>Joliet Township District 204; Wilmington 209U</t>
  </si>
  <si>
    <t>Greenscape</t>
  </si>
  <si>
    <t>Mudron Kane Insurance</t>
  </si>
  <si>
    <t>PMA</t>
  </si>
  <si>
    <t>Franczek Radelet; Hinshaw &amp; Culbertson</t>
  </si>
  <si>
    <t>IAASE; Professional Development Alliance</t>
  </si>
  <si>
    <t>See Below</t>
  </si>
  <si>
    <t>Dave's D Computers</t>
  </si>
  <si>
    <t>Illinois Central School Bus</t>
  </si>
  <si>
    <t>Line 16 Continued:  Reed Custer 255U; Channahon #17.</t>
  </si>
  <si>
    <t xml:space="preserve">Line 26:  Reed Custer 255U; Troy District 30C; Channahon District 17; Union District 81; Elwood CCSD 203; Beecher CUSD 200U; Wilmington 209U; Laraway CCSD 70C; </t>
  </si>
  <si>
    <t>Peotone 207U; Rockdale 84.</t>
  </si>
  <si>
    <t>1999 - Other Local Revenues - Health Ins. Reimb., TRS Reimb.</t>
  </si>
  <si>
    <t>4999 - Other Federal Sources - STEP Grant</t>
  </si>
  <si>
    <t>NO CONTRACTS PAID OUT OF APPLICABLE FUNCTIONS</t>
  </si>
  <si>
    <t>N/A</t>
  </si>
  <si>
    <t>Audit Check - Item #13 - SOWIC paid no contracts out of the applicable line items for the year ended June 30, 2018</t>
  </si>
  <si>
    <r>
      <t xml:space="preserve">The accompanying Schedule of Expenditures of Federal Awards includes the federal grant activity of </t>
    </r>
    <r>
      <rPr>
        <b/>
        <sz val="9"/>
        <rFont val="Calibri"/>
        <family val="2"/>
        <scheme val="minor"/>
      </rPr>
      <t>Southern Will County Cooperative for Special Education</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t>
    </r>
    <r>
      <rPr>
        <sz val="9"/>
        <rFont val="Calibri"/>
        <family val="2"/>
        <scheme val="minor"/>
      </rPr>
      <t xml:space="preserve"> financial statements.</t>
    </r>
  </si>
  <si>
    <r>
      <t xml:space="preserve">Of the federal expenditures presented in the schedule, </t>
    </r>
    <r>
      <rPr>
        <b/>
        <sz val="9"/>
        <rFont val="Calibri"/>
        <family val="2"/>
        <scheme val="minor"/>
      </rPr>
      <t>Southern Will County Cooperative for Special Education</t>
    </r>
    <r>
      <rPr>
        <sz val="9"/>
        <rFont val="Calibri"/>
        <family val="2"/>
        <scheme val="minor"/>
      </rPr>
      <t xml:space="preserve"> provided federal awards to subrecipients as follows:</t>
    </r>
  </si>
  <si>
    <t>SEE PAGE 43 OF AUDIT PDF IN OPINION TAB</t>
  </si>
  <si>
    <t>84.173A</t>
  </si>
  <si>
    <t>84.027A</t>
  </si>
  <si>
    <r>
      <t xml:space="preserve">The following amounts were expended in the form of non-cash assistance by </t>
    </r>
    <r>
      <rPr>
        <b/>
        <sz val="9"/>
        <rFont val="Calibri"/>
        <family val="2"/>
        <scheme val="minor"/>
      </rPr>
      <t>Southern Will County Cooperative for Special Education</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</si>
  <si>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yes</t>
  </si>
  <si>
    <t>US DEPARTMENT OF EDUCATION:</t>
  </si>
  <si>
    <t xml:space="preserve">  PASSED THROUGH ISBE:</t>
  </si>
  <si>
    <t xml:space="preserve">    SPECIAL EDUCATION (IDEA) CLUSTER (M):</t>
  </si>
  <si>
    <t xml:space="preserve">      PRESCHOOL FLOW-THROUGH 2017</t>
  </si>
  <si>
    <t>2017-4600</t>
  </si>
  <si>
    <t xml:space="preserve">      PRESCHOOL FLOW-THROUGH 2018</t>
  </si>
  <si>
    <t>2018-4600</t>
  </si>
  <si>
    <t xml:space="preserve">      IDEA FLOW-THROUGH 2017</t>
  </si>
  <si>
    <t>2017-4620</t>
  </si>
  <si>
    <t xml:space="preserve">      IDEA FLOW-THROUGH 2018</t>
  </si>
  <si>
    <t>2018-4620</t>
  </si>
  <si>
    <t xml:space="preserve">    TOTAL SPECIAL EDUCATION (IDEA) CLUSTER</t>
  </si>
  <si>
    <t xml:space="preserve">  PASSED THROUGH IL DEPT OF REHABILITATION:</t>
  </si>
  <si>
    <t xml:space="preserve">    STEP GRANT</t>
  </si>
  <si>
    <t>46CWF00174</t>
  </si>
  <si>
    <t>TOTAL US DEPARTMENT OF EDUCATION</t>
  </si>
  <si>
    <t>US DEPARTMENT OF HEALTH AND HUMAN SERVICES:</t>
  </si>
  <si>
    <t xml:space="preserve">  PASSED THROUGH IL DHCFS:</t>
  </si>
  <si>
    <t xml:space="preserve">    MEDICAL ASSITANCE PROGRAM - 2017</t>
  </si>
  <si>
    <t>2017-4991</t>
  </si>
  <si>
    <t xml:space="preserve">    MEDICAL ASSITANCE PROGRAM - 2018</t>
  </si>
  <si>
    <t>2018-4991</t>
  </si>
  <si>
    <t>TOTAL US DEPARTMENT OF HEALTH AND HUMAN SERVICES</t>
  </si>
  <si>
    <t>US DEPARTMENT OF AGRICULTURE:</t>
  </si>
  <si>
    <t xml:space="preserve">    NATIONAL SCHOOL LUNCH PROGRAM - 2017</t>
  </si>
  <si>
    <t>2017-4210</t>
  </si>
  <si>
    <t xml:space="preserve">    NATIONAL SCHOOL LUNCH PROGRAM - 2018</t>
  </si>
  <si>
    <t>2018-4210</t>
  </si>
  <si>
    <t xml:space="preserve">    SCHOOL BREAKFAST PROGRAM - 2017</t>
  </si>
  <si>
    <t>2017-4220</t>
  </si>
  <si>
    <t xml:space="preserve">    SCHOOL BREAKFAST PROGRAM - 2018</t>
  </si>
  <si>
    <t>2018-4220</t>
  </si>
  <si>
    <t xml:space="preserve">    SPECIAL MILK PROGRAM - 2017</t>
  </si>
  <si>
    <t>2017-4215</t>
  </si>
  <si>
    <t xml:space="preserve">    SPECIAL MILK PROGRAM - 2018</t>
  </si>
  <si>
    <t>2018-4215</t>
  </si>
  <si>
    <t>TOTAL US DEPARTMENT OF AGRICULTURE</t>
  </si>
  <si>
    <t>TOTAL FEDERAL AWARDS</t>
  </si>
  <si>
    <t>ADVERSE</t>
  </si>
  <si>
    <t>UNMODIFIED</t>
  </si>
  <si>
    <t>84.173A / 84.027A</t>
  </si>
  <si>
    <t>SPECIAL EDUCATION (IDEA) CLUSTER</t>
  </si>
  <si>
    <t>NONE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</si>
</sst>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C8C9C8A-6E76-4E56-A753-8453FB3DA74F}"/>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790575</xdr:colOff>
          <xdr:row>8</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AE0C3809-3DDA-4BDA-9B75-D26BEADC532D}"/>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1</xdr:col>
          <xdr:colOff>790575</xdr:colOff>
          <xdr:row>12</xdr:row>
          <xdr:rowOff>38100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79DFB0F-EBA9-4554-9CB5-1571DA6D9DEC}"/>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1</xdr:col>
          <xdr:colOff>790575</xdr:colOff>
          <xdr:row>15</xdr:row>
          <xdr:rowOff>200025</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77EBDFF9-2761-4C92-9FFE-A7C685BB1A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5.vml"/><Relationship Id="rId7" Type="http://schemas.openxmlformats.org/officeDocument/2006/relationships/oleObject" Target="../embeddings/oleObject3.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23" sqref="A23:H2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4" t="s">
        <v>425</v>
      </c>
      <c r="J1" s="2035"/>
      <c r="K1" s="2035"/>
      <c r="L1" s="2035"/>
      <c r="M1" s="2035"/>
      <c r="N1" s="2035"/>
      <c r="O1" s="2035"/>
      <c r="P1" s="2035"/>
      <c r="Q1" s="2035"/>
      <c r="R1" s="2035"/>
      <c r="S1" s="2035"/>
    </row>
    <row r="2" spans="1:28" ht="12" customHeight="1" x14ac:dyDescent="0.2">
      <c r="A2" s="47" t="s">
        <v>1684</v>
      </c>
      <c r="D2" s="48"/>
      <c r="I2" s="2036" t="s">
        <v>1036</v>
      </c>
      <c r="J2" s="2035"/>
      <c r="K2" s="2035"/>
      <c r="L2" s="2035"/>
      <c r="M2" s="2035"/>
      <c r="N2" s="2035"/>
      <c r="O2" s="2035"/>
      <c r="P2" s="2035"/>
      <c r="Q2" s="2035"/>
      <c r="R2" s="2035"/>
      <c r="S2" s="2035"/>
    </row>
    <row r="3" spans="1:28" ht="12" customHeight="1" x14ac:dyDescent="0.2">
      <c r="A3" s="155" t="s">
        <v>1685</v>
      </c>
      <c r="B3" s="156"/>
      <c r="C3" s="156"/>
      <c r="D3" s="157"/>
      <c r="I3" s="2036" t="s">
        <v>54</v>
      </c>
      <c r="J3" s="2035"/>
      <c r="K3" s="2035"/>
      <c r="L3" s="2035"/>
      <c r="M3" s="2035"/>
      <c r="N3" s="2035"/>
      <c r="O3" s="2035"/>
      <c r="P3" s="2035"/>
      <c r="Q3" s="2035"/>
      <c r="R3" s="2035"/>
      <c r="S3" s="2035"/>
    </row>
    <row r="4" spans="1:28" ht="12" customHeight="1" x14ac:dyDescent="0.2">
      <c r="A4" s="37"/>
      <c r="I4" s="2036" t="s">
        <v>545</v>
      </c>
      <c r="J4" s="2035"/>
      <c r="K4" s="2035"/>
      <c r="L4" s="2035"/>
      <c r="M4" s="2035"/>
      <c r="N4" s="2035"/>
      <c r="O4" s="2035"/>
      <c r="P4" s="2035"/>
      <c r="Q4" s="2035"/>
      <c r="R4" s="2035"/>
      <c r="S4" s="2035"/>
    </row>
    <row r="5" spans="1:28" ht="14.1" customHeight="1" x14ac:dyDescent="0.2">
      <c r="B5" s="104"/>
      <c r="C5" s="26" t="s">
        <v>966</v>
      </c>
      <c r="D5" s="84"/>
      <c r="E5" s="84"/>
      <c r="H5" s="38"/>
      <c r="I5" s="2043" t="s">
        <v>701</v>
      </c>
      <c r="J5" s="1988"/>
      <c r="K5" s="1988"/>
      <c r="L5" s="1988"/>
      <c r="M5" s="1988"/>
      <c r="N5" s="1988"/>
      <c r="O5" s="1988"/>
      <c r="P5" s="1988"/>
      <c r="Q5" s="1988"/>
      <c r="R5" s="1988"/>
      <c r="S5" s="1988"/>
    </row>
    <row r="6" spans="1:28" ht="14.1" customHeight="1" x14ac:dyDescent="0.2">
      <c r="B6" s="104" t="s">
        <v>2080</v>
      </c>
      <c r="C6" s="26" t="s">
        <v>967</v>
      </c>
      <c r="D6" s="84"/>
      <c r="E6" s="84"/>
      <c r="I6" s="2042" t="s">
        <v>938</v>
      </c>
      <c r="J6" s="1988"/>
      <c r="K6" s="1988"/>
      <c r="L6" s="1988"/>
      <c r="M6" s="1988"/>
      <c r="N6" s="1988"/>
      <c r="O6" s="1988"/>
      <c r="P6" s="1988"/>
      <c r="Q6" s="1988"/>
      <c r="R6" s="1988"/>
      <c r="S6" s="1988"/>
    </row>
    <row r="7" spans="1:28" ht="12.2" customHeight="1" x14ac:dyDescent="0.2">
      <c r="I7" s="2037">
        <v>43281</v>
      </c>
      <c r="J7" s="2038"/>
      <c r="K7" s="2038"/>
      <c r="L7" s="2038"/>
      <c r="M7" s="2038"/>
      <c r="N7" s="2038"/>
      <c r="O7" s="2038"/>
      <c r="P7" s="2038"/>
      <c r="Q7" s="2038"/>
      <c r="R7" s="2038"/>
      <c r="S7" s="203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9" t="s">
        <v>695</v>
      </c>
      <c r="J9" s="2040"/>
      <c r="K9" s="2040"/>
      <c r="L9" s="2040"/>
      <c r="M9" s="2040"/>
      <c r="N9" s="2040"/>
      <c r="O9" s="2040"/>
      <c r="P9" s="2040"/>
      <c r="Q9" s="2040"/>
      <c r="R9" s="2040"/>
      <c r="S9" s="2041"/>
      <c r="T9" s="1984" t="s">
        <v>554</v>
      </c>
      <c r="U9" s="1985"/>
      <c r="V9" s="1985"/>
      <c r="W9" s="1985"/>
      <c r="X9" s="1985"/>
      <c r="Y9" s="1985"/>
      <c r="Z9" s="1985"/>
      <c r="AA9" s="1986"/>
    </row>
    <row r="10" spans="1:28" ht="13.5" customHeight="1" x14ac:dyDescent="0.2">
      <c r="A10" s="1993" t="s">
        <v>696</v>
      </c>
      <c r="B10" s="1994"/>
      <c r="C10" s="1994"/>
      <c r="D10" s="1994"/>
      <c r="E10" s="1994"/>
      <c r="F10" s="1994"/>
      <c r="G10" s="1994"/>
      <c r="H10" s="1995"/>
      <c r="I10" s="29"/>
      <c r="J10" s="30"/>
      <c r="K10" s="28"/>
      <c r="R10" s="30"/>
      <c r="S10" s="30"/>
      <c r="T10" s="1987"/>
      <c r="U10" s="1988"/>
      <c r="V10" s="1988"/>
      <c r="W10" s="1988"/>
      <c r="X10" s="1988"/>
      <c r="Y10" s="1988"/>
      <c r="Z10" s="1988"/>
      <c r="AA10" s="1989"/>
    </row>
    <row r="11" spans="1:28" ht="14.25" customHeight="1" x14ac:dyDescent="0.2">
      <c r="A11" s="1996" t="s">
        <v>1012</v>
      </c>
      <c r="B11" s="1997"/>
      <c r="C11" s="1997"/>
      <c r="D11" s="1997"/>
      <c r="E11" s="1997"/>
      <c r="F11" s="1997"/>
      <c r="G11" s="1997"/>
      <c r="H11" s="1998"/>
      <c r="I11" s="27"/>
      <c r="J11" s="74"/>
      <c r="K11" s="27"/>
      <c r="O11" s="148" t="s">
        <v>2080</v>
      </c>
      <c r="P11" s="100" t="s">
        <v>210</v>
      </c>
      <c r="Q11" s="30"/>
      <c r="R11" s="28"/>
      <c r="S11" s="27"/>
      <c r="T11" s="1990"/>
      <c r="U11" s="1991"/>
      <c r="V11" s="1991"/>
      <c r="W11" s="1991"/>
      <c r="X11" s="1991"/>
      <c r="Y11" s="1991"/>
      <c r="Z11" s="1991"/>
      <c r="AA11" s="1992"/>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4" t="s">
        <v>2074</v>
      </c>
      <c r="B13" s="2005"/>
      <c r="C13" s="2005"/>
      <c r="D13" s="2005"/>
      <c r="E13" s="2005"/>
      <c r="F13" s="2005"/>
      <c r="G13" s="2005"/>
      <c r="H13" s="2006"/>
      <c r="I13" s="31"/>
      <c r="J13" s="30"/>
      <c r="K13" s="28"/>
      <c r="L13" s="30"/>
      <c r="M13" s="30"/>
      <c r="N13" s="30"/>
      <c r="O13" s="30"/>
      <c r="P13" s="30"/>
      <c r="Q13" s="30"/>
      <c r="R13" s="30"/>
      <c r="S13" s="30"/>
      <c r="T13" s="2009" t="s">
        <v>2085</v>
      </c>
      <c r="U13" s="2010"/>
      <c r="V13" s="2010"/>
      <c r="W13" s="2010"/>
      <c r="X13" s="2010"/>
      <c r="Y13" s="2011"/>
      <c r="Z13" s="2011"/>
      <c r="AA13" s="201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2" t="s">
        <v>2075</v>
      </c>
      <c r="B15" s="2007"/>
      <c r="C15" s="2007"/>
      <c r="D15" s="2007"/>
      <c r="E15" s="2007"/>
      <c r="F15" s="2007"/>
      <c r="G15" s="2007"/>
      <c r="H15" s="2008"/>
      <c r="T15" s="1970" t="s">
        <v>2086</v>
      </c>
      <c r="U15" s="1971"/>
      <c r="V15" s="1971"/>
      <c r="W15" s="1971"/>
      <c r="X15" s="1971"/>
      <c r="Y15" s="2013"/>
      <c r="Z15" s="2013"/>
      <c r="AA15" s="201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2" t="s">
        <v>2076</v>
      </c>
      <c r="B17" s="2032"/>
      <c r="C17" s="2032"/>
      <c r="D17" s="2032"/>
      <c r="E17" s="2032"/>
      <c r="F17" s="2032"/>
      <c r="G17" s="2032"/>
      <c r="H17" s="2033"/>
      <c r="T17" s="2019" t="s">
        <v>2087</v>
      </c>
      <c r="U17" s="2020"/>
      <c r="V17" s="2020"/>
      <c r="W17" s="2020"/>
      <c r="X17" s="2020"/>
      <c r="Y17" s="2020"/>
      <c r="Z17" s="2020"/>
      <c r="AA17" s="2021"/>
    </row>
    <row r="18" spans="1:27" ht="13.5" customHeight="1" x14ac:dyDescent="0.2">
      <c r="A18" s="85" t="s">
        <v>551</v>
      </c>
      <c r="B18" s="76"/>
      <c r="C18" s="72"/>
      <c r="D18" s="76"/>
      <c r="E18" s="76"/>
      <c r="F18" s="76"/>
      <c r="G18" s="76"/>
      <c r="H18" s="56"/>
      <c r="I18" s="2029" t="s">
        <v>697</v>
      </c>
      <c r="J18" s="2030"/>
      <c r="K18" s="2030"/>
      <c r="L18" s="2030"/>
      <c r="M18" s="2030"/>
      <c r="N18" s="2030"/>
      <c r="O18" s="2030"/>
      <c r="P18" s="2030"/>
      <c r="Q18" s="2030"/>
      <c r="R18" s="2030"/>
      <c r="S18" s="2031"/>
      <c r="T18" s="85" t="s">
        <v>735</v>
      </c>
      <c r="U18" s="51"/>
      <c r="V18" s="72"/>
      <c r="W18" s="50"/>
      <c r="X18" s="85" t="s">
        <v>284</v>
      </c>
      <c r="Y18" s="81"/>
      <c r="Z18" s="159" t="s">
        <v>698</v>
      </c>
      <c r="AA18" s="46"/>
    </row>
    <row r="19" spans="1:27" ht="13.5" customHeight="1" x14ac:dyDescent="0.2">
      <c r="A19" s="2002" t="s">
        <v>2077</v>
      </c>
      <c r="B19" s="2003"/>
      <c r="C19" s="2003"/>
      <c r="D19" s="2003"/>
      <c r="E19" s="2003"/>
      <c r="F19" s="2003"/>
      <c r="G19" s="2003"/>
      <c r="H19" s="2001"/>
      <c r="I19" s="30"/>
      <c r="J19" s="99"/>
      <c r="K19" s="40"/>
      <c r="L19" s="38"/>
      <c r="M19" s="112" t="s">
        <v>333</v>
      </c>
      <c r="P19" s="27"/>
      <c r="Q19" s="27"/>
      <c r="R19" s="27"/>
      <c r="S19" s="31"/>
      <c r="T19" s="2002" t="s">
        <v>2088</v>
      </c>
      <c r="U19" s="2000"/>
      <c r="V19" s="2000"/>
      <c r="W19" s="2001"/>
      <c r="X19" s="2017" t="s">
        <v>2089</v>
      </c>
      <c r="Y19" s="2018"/>
      <c r="Z19" s="2015">
        <v>60450</v>
      </c>
      <c r="AA19" s="201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9" t="s">
        <v>2078</v>
      </c>
      <c r="B21" s="2000"/>
      <c r="C21" s="2000"/>
      <c r="D21" s="2000"/>
      <c r="E21" s="2000"/>
      <c r="F21" s="2000"/>
      <c r="G21" s="2000"/>
      <c r="H21" s="2001"/>
      <c r="I21" s="2025" t="s">
        <v>699</v>
      </c>
      <c r="J21" s="1988"/>
      <c r="K21" s="1988"/>
      <c r="L21" s="1988"/>
      <c r="M21" s="1988"/>
      <c r="N21" s="1988"/>
      <c r="O21" s="1988"/>
      <c r="P21" s="1988"/>
      <c r="Q21" s="1988"/>
      <c r="R21" s="1988"/>
      <c r="S21" s="1989"/>
      <c r="T21" s="1967" t="s">
        <v>2090</v>
      </c>
      <c r="U21" s="1968"/>
      <c r="V21" s="1968"/>
      <c r="W21" s="1968"/>
      <c r="X21" s="1981" t="s">
        <v>2091</v>
      </c>
      <c r="Y21" s="1982"/>
      <c r="Z21" s="1982"/>
      <c r="AA21" s="1983"/>
    </row>
    <row r="22" spans="1:27" ht="13.5" customHeight="1" x14ac:dyDescent="0.2">
      <c r="A22" s="87" t="s">
        <v>552</v>
      </c>
      <c r="B22" s="59"/>
      <c r="C22" s="59"/>
      <c r="D22" s="59"/>
      <c r="E22" s="59"/>
      <c r="F22" s="59"/>
      <c r="G22" s="59"/>
      <c r="H22" s="60"/>
      <c r="I22" s="2026" t="s">
        <v>1504</v>
      </c>
      <c r="J22" s="2027"/>
      <c r="K22" s="2027"/>
      <c r="L22" s="2027"/>
      <c r="M22" s="2027"/>
      <c r="N22" s="2027"/>
      <c r="O22" s="2027"/>
      <c r="P22" s="2027"/>
      <c r="Q22" s="2027"/>
      <c r="R22" s="2027"/>
      <c r="S22" s="2028"/>
      <c r="T22" s="85" t="s">
        <v>1596</v>
      </c>
      <c r="U22" s="51"/>
      <c r="V22" s="72"/>
      <c r="W22" s="51"/>
      <c r="X22" s="160" t="s">
        <v>1385</v>
      </c>
      <c r="Z22" s="45"/>
      <c r="AA22" s="46"/>
    </row>
    <row r="23" spans="1:27" ht="13.5" customHeight="1" x14ac:dyDescent="0.2">
      <c r="A23" s="2022" t="s">
        <v>2079</v>
      </c>
      <c r="B23" s="2023"/>
      <c r="C23" s="2023"/>
      <c r="D23" s="2023"/>
      <c r="E23" s="2023"/>
      <c r="F23" s="2023"/>
      <c r="G23" s="2023"/>
      <c r="H23" s="2024"/>
      <c r="T23" s="1962" t="s">
        <v>2092</v>
      </c>
      <c r="U23" s="1963"/>
      <c r="V23" s="1963"/>
      <c r="W23" s="1963"/>
      <c r="X23" s="1978">
        <v>43434</v>
      </c>
      <c r="Y23" s="1979"/>
      <c r="Z23" s="1979"/>
      <c r="AA23" s="1980"/>
    </row>
    <row r="24" spans="1:27" ht="14.1" customHeight="1" x14ac:dyDescent="0.2">
      <c r="A24" s="88" t="s">
        <v>698</v>
      </c>
      <c r="B24" s="49"/>
      <c r="C24" s="49"/>
      <c r="D24" s="49"/>
      <c r="E24" s="49"/>
      <c r="F24" s="49"/>
      <c r="G24" s="49"/>
      <c r="H24" s="61"/>
      <c r="J24" s="2064" t="str">
        <f>IF(B5="x",IF(AUDITCHECK!D29="AFR form Incomplete.","",IF(AUDITCHECK!D29="Deficit reduction plan is required.","School District must complete a deficit reduction plan in the 2018-2019 Budget",)),"")</f>
        <v/>
      </c>
      <c r="K24" s="2064"/>
      <c r="L24" s="2064"/>
      <c r="M24" s="2064"/>
      <c r="N24" s="2064"/>
      <c r="O24" s="2064"/>
      <c r="P24" s="2064"/>
      <c r="Q24" s="2064"/>
      <c r="R24" s="2064"/>
      <c r="S24" s="2065"/>
      <c r="T24" s="105" t="s">
        <v>552</v>
      </c>
      <c r="U24" s="106"/>
      <c r="V24" s="106"/>
      <c r="W24" s="106"/>
      <c r="X24" s="107"/>
      <c r="Y24" s="107"/>
      <c r="Z24" s="107"/>
      <c r="AA24" s="108"/>
    </row>
    <row r="25" spans="1:27" ht="14.1" customHeight="1" x14ac:dyDescent="0.2">
      <c r="A25" s="1999">
        <v>60435</v>
      </c>
      <c r="B25" s="2000"/>
      <c r="C25" s="2000"/>
      <c r="D25" s="2000"/>
      <c r="E25" s="2000"/>
      <c r="F25" s="2000"/>
      <c r="G25" s="2000"/>
      <c r="H25" s="2001"/>
      <c r="I25" s="113"/>
      <c r="J25" s="2066"/>
      <c r="K25" s="2066"/>
      <c r="L25" s="2066"/>
      <c r="M25" s="2066"/>
      <c r="N25" s="2066"/>
      <c r="O25" s="2066"/>
      <c r="P25" s="2066"/>
      <c r="Q25" s="2066"/>
      <c r="R25" s="2066"/>
      <c r="S25" s="2067"/>
      <c r="T25" s="1959" t="s">
        <v>2093</v>
      </c>
      <c r="U25" s="1960"/>
      <c r="V25" s="1960"/>
      <c r="W25" s="1960"/>
      <c r="X25" s="1960"/>
      <c r="Y25" s="1960"/>
      <c r="Z25" s="1960"/>
      <c r="AA25" s="19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7" t="s">
        <v>1591</v>
      </c>
      <c r="J27" s="2030"/>
      <c r="K27" s="2030"/>
      <c r="L27" s="2030"/>
      <c r="M27" s="2030"/>
      <c r="N27" s="2030"/>
      <c r="O27" s="2030"/>
      <c r="P27" s="2030"/>
      <c r="Q27" s="2030"/>
      <c r="R27" s="2030"/>
      <c r="S27" s="203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t="s">
        <v>2080</v>
      </c>
      <c r="C29" s="124" t="s">
        <v>874</v>
      </c>
      <c r="D29" s="114"/>
      <c r="E29" s="136"/>
      <c r="F29" s="141" t="s">
        <v>1383</v>
      </c>
      <c r="G29" s="114"/>
      <c r="I29" s="54"/>
      <c r="J29" s="148" t="s">
        <v>2080</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2080</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2080</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3"/>
      <c r="Q35" s="2000"/>
      <c r="R35" s="200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2" t="s">
        <v>2081</v>
      </c>
      <c r="B38" s="2032"/>
      <c r="C38" s="2032"/>
      <c r="D38" s="2032"/>
      <c r="E38" s="2032"/>
      <c r="F38" s="2000"/>
      <c r="G38" s="2000"/>
      <c r="H38" s="2001"/>
      <c r="I38" s="2051"/>
      <c r="J38" s="1971"/>
      <c r="K38" s="1971"/>
      <c r="L38" s="1971"/>
      <c r="M38" s="1971"/>
      <c r="N38" s="1971"/>
      <c r="O38" s="1971"/>
      <c r="P38" s="1972"/>
      <c r="Q38" s="1972"/>
      <c r="R38" s="1972"/>
      <c r="S38" s="1973"/>
      <c r="T38" s="1970"/>
      <c r="U38" s="1971"/>
      <c r="V38" s="1971"/>
      <c r="W38" s="1971"/>
      <c r="X38" s="1972"/>
      <c r="Y38" s="1972"/>
      <c r="Z38" s="1972"/>
      <c r="AA38" s="1973"/>
    </row>
    <row r="39" spans="1:27" ht="12" customHeight="1" x14ac:dyDescent="0.2">
      <c r="A39" s="2055" t="s">
        <v>552</v>
      </c>
      <c r="B39" s="2056"/>
      <c r="C39" s="72"/>
      <c r="D39" s="69"/>
      <c r="E39" s="69"/>
      <c r="F39" s="79"/>
      <c r="G39" s="69"/>
      <c r="H39" s="56"/>
      <c r="I39" s="2055" t="s">
        <v>552</v>
      </c>
      <c r="J39" s="2056"/>
      <c r="K39" s="2056"/>
      <c r="L39" s="2056"/>
      <c r="M39" s="2056"/>
      <c r="N39" s="67"/>
      <c r="O39" s="72"/>
      <c r="P39" s="72"/>
      <c r="Q39" s="78"/>
      <c r="R39" s="72"/>
      <c r="S39" s="56"/>
      <c r="T39" s="72" t="s">
        <v>552</v>
      </c>
      <c r="U39" s="51"/>
      <c r="V39" s="72"/>
      <c r="W39" s="50"/>
      <c r="X39" s="78"/>
      <c r="Y39" s="45"/>
      <c r="Z39" s="45"/>
      <c r="AA39" s="46"/>
    </row>
    <row r="40" spans="1:27" ht="13.5" customHeight="1" x14ac:dyDescent="0.2">
      <c r="A40" s="2058" t="s">
        <v>2082</v>
      </c>
      <c r="B40" s="2059"/>
      <c r="C40" s="2060"/>
      <c r="D40" s="2060"/>
      <c r="E40" s="2060"/>
      <c r="F40" s="2061"/>
      <c r="G40" s="2061"/>
      <c r="H40" s="2062"/>
      <c r="I40" s="1974"/>
      <c r="J40" s="1976"/>
      <c r="K40" s="1976"/>
      <c r="L40" s="1976"/>
      <c r="M40" s="1976"/>
      <c r="N40" s="1976"/>
      <c r="O40" s="1976"/>
      <c r="P40" s="1976"/>
      <c r="Q40" s="1976"/>
      <c r="R40" s="1976"/>
      <c r="S40" s="1977"/>
      <c r="T40" s="1974"/>
      <c r="U40" s="1975"/>
      <c r="V40" s="1976"/>
      <c r="W40" s="1976"/>
      <c r="X40" s="1976"/>
      <c r="Y40" s="1976"/>
      <c r="Z40" s="1976"/>
      <c r="AA40" s="197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8" t="s">
        <v>2083</v>
      </c>
      <c r="B42" s="2049"/>
      <c r="C42" s="2050"/>
      <c r="D42" s="2063" t="s">
        <v>2084</v>
      </c>
      <c r="E42" s="2049"/>
      <c r="F42" s="2049"/>
      <c r="G42" s="2049"/>
      <c r="H42" s="2050"/>
      <c r="I42" s="1969"/>
      <c r="J42" s="1965"/>
      <c r="K42" s="1965"/>
      <c r="L42" s="1965"/>
      <c r="M42" s="1965"/>
      <c r="N42" s="1965"/>
      <c r="O42" s="1966"/>
      <c r="P42" s="1964"/>
      <c r="Q42" s="1965"/>
      <c r="R42" s="1965"/>
      <c r="S42" s="1966"/>
      <c r="T42" s="1969"/>
      <c r="U42" s="1965"/>
      <c r="V42" s="1965"/>
      <c r="W42" s="1966"/>
      <c r="X42" s="1964"/>
      <c r="Y42" s="1965"/>
      <c r="Z42" s="1965"/>
      <c r="AA42" s="196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2"/>
      <c r="B44" s="2053"/>
      <c r="C44" s="2053"/>
      <c r="D44" s="2053"/>
      <c r="E44" s="2053"/>
      <c r="F44" s="2053"/>
      <c r="G44" s="2053"/>
      <c r="H44" s="2054"/>
      <c r="I44" s="2044"/>
      <c r="J44" s="2046"/>
      <c r="K44" s="2046"/>
      <c r="L44" s="2046"/>
      <c r="M44" s="2046"/>
      <c r="N44" s="2046"/>
      <c r="O44" s="2046"/>
      <c r="P44" s="2046"/>
      <c r="Q44" s="2046"/>
      <c r="R44" s="2046"/>
      <c r="S44" s="2047"/>
      <c r="T44" s="2044"/>
      <c r="U44" s="2045"/>
      <c r="V44" s="2045"/>
      <c r="W44" s="2045"/>
      <c r="X44" s="2045"/>
      <c r="Y44" s="2045"/>
      <c r="Z44" s="2046"/>
      <c r="AA44" s="204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2062</v>
      </c>
      <c r="R47" s="41"/>
      <c r="S47" s="41"/>
      <c r="T47" s="41"/>
      <c r="U47" s="41"/>
      <c r="V47" s="41"/>
      <c r="W47" s="41"/>
      <c r="X47" s="41"/>
      <c r="Y47" s="41"/>
      <c r="Z47" s="41"/>
      <c r="AA47" s="41"/>
    </row>
    <row r="48" spans="1:27" x14ac:dyDescent="0.2">
      <c r="Q48" s="41" t="s">
        <v>2063</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F3" sqref="F3"/>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1902</v>
      </c>
      <c r="B2" s="1550" t="s">
        <v>2032</v>
      </c>
      <c r="C2" s="715" t="s">
        <v>1907</v>
      </c>
      <c r="D2" s="715" t="s">
        <v>1908</v>
      </c>
      <c r="E2" s="715" t="s">
        <v>1909</v>
      </c>
      <c r="F2" s="715" t="s">
        <v>1910</v>
      </c>
    </row>
    <row r="3" spans="1:6" ht="12" customHeight="1" x14ac:dyDescent="0.2">
      <c r="A3" s="2202"/>
      <c r="B3" s="1547"/>
      <c r="C3" s="1548"/>
      <c r="D3" s="1549" t="s">
        <v>274</v>
      </c>
      <c r="E3" s="1548"/>
      <c r="F3" s="1549" t="s">
        <v>275</v>
      </c>
    </row>
    <row r="4" spans="1:6" ht="13.7" customHeight="1" x14ac:dyDescent="0.2">
      <c r="A4" s="716" t="s">
        <v>1217</v>
      </c>
      <c r="B4" s="1771">
        <f>'Revenues 9-14'!C5</f>
        <v>0</v>
      </c>
      <c r="C4" s="1546"/>
      <c r="D4" s="1774">
        <f>B4-C4</f>
        <v>0</v>
      </c>
      <c r="E4" s="1546"/>
      <c r="F4" s="1774">
        <f>E4-C4</f>
        <v>0</v>
      </c>
    </row>
    <row r="5" spans="1:6" ht="13.7" customHeight="1" x14ac:dyDescent="0.2">
      <c r="A5" s="716" t="s">
        <v>925</v>
      </c>
      <c r="B5" s="1772">
        <f>'Revenues 9-14'!D5</f>
        <v>0</v>
      </c>
      <c r="C5" s="585"/>
      <c r="D5" s="1775">
        <f t="shared" ref="D5:D18" si="0">B5-C5</f>
        <v>0</v>
      </c>
      <c r="E5" s="585"/>
      <c r="F5" s="1775">
        <f>E5-C5</f>
        <v>0</v>
      </c>
    </row>
    <row r="6" spans="1:6" ht="13.7" customHeight="1" x14ac:dyDescent="0.2">
      <c r="A6" s="716" t="s">
        <v>431</v>
      </c>
      <c r="B6" s="1772">
        <f>'Revenues 9-14'!E5</f>
        <v>0</v>
      </c>
      <c r="C6" s="585"/>
      <c r="D6" s="1775">
        <f t="shared" si="0"/>
        <v>0</v>
      </c>
      <c r="E6" s="585"/>
      <c r="F6" s="1775">
        <f t="shared" ref="F6:F18" si="1">E6-C6</f>
        <v>0</v>
      </c>
    </row>
    <row r="7" spans="1:6" ht="13.7" customHeight="1" x14ac:dyDescent="0.2">
      <c r="A7" s="716" t="s">
        <v>157</v>
      </c>
      <c r="B7" s="1772">
        <f>'Revenues 9-14'!F5</f>
        <v>0</v>
      </c>
      <c r="C7" s="585"/>
      <c r="D7" s="1775">
        <f t="shared" si="0"/>
        <v>0</v>
      </c>
      <c r="E7" s="585"/>
      <c r="F7" s="1775">
        <f t="shared" si="1"/>
        <v>0</v>
      </c>
    </row>
    <row r="8" spans="1:6" ht="13.7" customHeight="1" x14ac:dyDescent="0.2">
      <c r="A8" s="716" t="s">
        <v>1241</v>
      </c>
      <c r="B8" s="1772">
        <f>'Revenues 9-14'!G5</f>
        <v>0</v>
      </c>
      <c r="C8" s="585"/>
      <c r="D8" s="1775">
        <f t="shared" si="0"/>
        <v>0</v>
      </c>
      <c r="E8" s="585"/>
      <c r="F8" s="1775">
        <f t="shared" si="1"/>
        <v>0</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0</v>
      </c>
      <c r="C10" s="585"/>
      <c r="D10" s="1775">
        <f t="shared" si="0"/>
        <v>0</v>
      </c>
      <c r="E10" s="585"/>
      <c r="F10" s="1775">
        <f t="shared" si="1"/>
        <v>0</v>
      </c>
    </row>
    <row r="11" spans="1:6" x14ac:dyDescent="0.2">
      <c r="A11" s="716" t="s">
        <v>429</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0</v>
      </c>
      <c r="C14" s="585"/>
      <c r="D14" s="1775">
        <f t="shared" si="0"/>
        <v>0</v>
      </c>
      <c r="E14" s="585"/>
      <c r="F14" s="1775">
        <f t="shared" si="1"/>
        <v>0</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0</v>
      </c>
      <c r="C16" s="585"/>
      <c r="D16" s="1775">
        <f t="shared" si="0"/>
        <v>0</v>
      </c>
      <c r="E16" s="585"/>
      <c r="F16" s="1775">
        <f t="shared" si="1"/>
        <v>0</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0</v>
      </c>
      <c r="C19" s="1773">
        <f>SUM(C4:C18)</f>
        <v>0</v>
      </c>
      <c r="D19" s="1773">
        <f>SUM(D4:D18)</f>
        <v>0</v>
      </c>
      <c r="E19" s="1773">
        <f>SUM(E4:E18)</f>
        <v>0</v>
      </c>
      <c r="F19" s="1773">
        <f>SUM(F4:F18)</f>
        <v>0</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650</v>
      </c>
      <c r="B1" s="2208"/>
      <c r="C1" s="722"/>
    </row>
    <row r="2" spans="1:7" ht="33.75" x14ac:dyDescent="0.2">
      <c r="A2" s="2216" t="s">
        <v>1902</v>
      </c>
      <c r="B2" s="2217"/>
      <c r="C2" s="1909" t="s">
        <v>2033</v>
      </c>
      <c r="D2" s="724" t="s">
        <v>2040</v>
      </c>
      <c r="E2" s="724" t="s">
        <v>2041</v>
      </c>
      <c r="F2" s="1909" t="s">
        <v>2034</v>
      </c>
    </row>
    <row r="3" spans="1:7" ht="15.75" customHeight="1" x14ac:dyDescent="0.2">
      <c r="A3" s="2220" t="s">
        <v>1176</v>
      </c>
      <c r="B3" s="2221"/>
      <c r="C3" s="2209"/>
      <c r="D3" s="2210"/>
      <c r="E3" s="2210"/>
      <c r="F3" s="2211"/>
    </row>
    <row r="4" spans="1:7" ht="12.75" customHeight="1" thickBot="1" x14ac:dyDescent="0.25">
      <c r="A4" s="2218" t="s">
        <v>651</v>
      </c>
      <c r="B4" s="2219"/>
      <c r="C4" s="581"/>
      <c r="D4" s="581"/>
      <c r="E4" s="581"/>
      <c r="F4" s="1777">
        <f>SUM(C4+D4)-E4</f>
        <v>0</v>
      </c>
    </row>
    <row r="5" spans="1:7" ht="15.75" customHeight="1" thickTop="1" x14ac:dyDescent="0.2">
      <c r="A5" s="2203" t="s">
        <v>1172</v>
      </c>
      <c r="B5" s="2204"/>
      <c r="C5" s="2212"/>
      <c r="D5" s="2213"/>
      <c r="E5" s="2213"/>
      <c r="F5" s="2214"/>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5" t="s">
        <v>652</v>
      </c>
      <c r="B15" s="2206"/>
      <c r="C15" s="1777">
        <f>SUM(C6:C14)</f>
        <v>0</v>
      </c>
      <c r="D15" s="1777">
        <f>SUM(D6:D14)</f>
        <v>0</v>
      </c>
      <c r="E15" s="1777">
        <f>SUM(E6:E14)</f>
        <v>0</v>
      </c>
      <c r="F15" s="1777">
        <f>SUM(F6:F14)</f>
        <v>0</v>
      </c>
      <c r="G15" s="552"/>
    </row>
    <row r="16" spans="1:7" s="202" customFormat="1" ht="15.75" customHeight="1" thickTop="1" x14ac:dyDescent="0.2">
      <c r="A16" s="2215" t="s">
        <v>1173</v>
      </c>
      <c r="B16" s="2204"/>
      <c r="C16" s="2212"/>
      <c r="D16" s="2213"/>
      <c r="E16" s="2213"/>
      <c r="F16" s="2214"/>
    </row>
    <row r="17" spans="1:11" ht="12.75" customHeight="1" thickBot="1" x14ac:dyDescent="0.25">
      <c r="A17" s="2228" t="s">
        <v>66</v>
      </c>
      <c r="B17" s="2229"/>
      <c r="C17" s="727"/>
      <c r="D17" s="585"/>
      <c r="E17" s="727"/>
      <c r="F17" s="1777">
        <f>SUM(C17+D17)-E17</f>
        <v>0</v>
      </c>
    </row>
    <row r="18" spans="1:11" ht="12.75" customHeight="1" thickTop="1" thickBot="1" x14ac:dyDescent="0.25">
      <c r="A18" s="2228" t="s">
        <v>6</v>
      </c>
      <c r="B18" s="2229"/>
      <c r="C18" s="727"/>
      <c r="D18" s="585"/>
      <c r="E18" s="727"/>
      <c r="F18" s="1777">
        <f>SUM(C18+D18)-E18</f>
        <v>0</v>
      </c>
    </row>
    <row r="19" spans="1:11" ht="12.75" customHeight="1" thickTop="1" thickBot="1" x14ac:dyDescent="0.25">
      <c r="A19" s="2228" t="s">
        <v>406</v>
      </c>
      <c r="B19" s="2229"/>
      <c r="C19" s="727"/>
      <c r="D19" s="585"/>
      <c r="E19" s="727"/>
      <c r="F19" s="1777">
        <f>SUM(C19+D19)-E19</f>
        <v>0</v>
      </c>
    </row>
    <row r="20" spans="1:11" ht="12.75" customHeight="1" thickTop="1" thickBot="1" x14ac:dyDescent="0.25">
      <c r="A20" s="2228" t="s">
        <v>468</v>
      </c>
      <c r="B20" s="2229"/>
      <c r="C20" s="727"/>
      <c r="D20" s="585"/>
      <c r="E20" s="727"/>
      <c r="F20" s="1777">
        <f>SUM(C20+D20)-E20</f>
        <v>0</v>
      </c>
    </row>
    <row r="21" spans="1:11" ht="14.25" thickTop="1" thickBot="1" x14ac:dyDescent="0.25">
      <c r="A21" s="2205" t="s">
        <v>653</v>
      </c>
      <c r="B21" s="2206"/>
      <c r="C21" s="1777">
        <f>SUM(C17:C20)</f>
        <v>0</v>
      </c>
      <c r="D21" s="1777">
        <f>SUM(D17:D20)</f>
        <v>0</v>
      </c>
      <c r="E21" s="1777">
        <f>SUM(E17:E20)</f>
        <v>0</v>
      </c>
      <c r="F21" s="1777">
        <f>SUM(F17:F20)</f>
        <v>0</v>
      </c>
      <c r="G21" s="552"/>
    </row>
    <row r="22" spans="1:11" ht="15.75" customHeight="1" thickTop="1" x14ac:dyDescent="0.2">
      <c r="A22" s="2230" t="s">
        <v>1174</v>
      </c>
      <c r="B22" s="2204"/>
      <c r="C22" s="2212"/>
      <c r="D22" s="2213"/>
      <c r="E22" s="2213"/>
      <c r="F22" s="2214"/>
    </row>
    <row r="23" spans="1:11" ht="13.5" thickBot="1" x14ac:dyDescent="0.25">
      <c r="A23" s="2218" t="s">
        <v>654</v>
      </c>
      <c r="B23" s="2219"/>
      <c r="C23" s="581"/>
      <c r="D23" s="581"/>
      <c r="E23" s="581"/>
      <c r="F23" s="1777">
        <f>SUM(C23+D23)-E23</f>
        <v>0</v>
      </c>
      <c r="G23" s="552"/>
    </row>
    <row r="24" spans="1:11" ht="15.75" customHeight="1" thickTop="1" x14ac:dyDescent="0.2">
      <c r="A24" s="2230" t="s">
        <v>1175</v>
      </c>
      <c r="B24" s="2204"/>
      <c r="C24" s="2212"/>
      <c r="D24" s="2213"/>
      <c r="E24" s="2213"/>
      <c r="F24" s="2214"/>
    </row>
    <row r="25" spans="1:11" ht="13.5" thickBot="1" x14ac:dyDescent="0.25">
      <c r="A25" s="2218" t="s">
        <v>655</v>
      </c>
      <c r="B25" s="2219"/>
      <c r="C25" s="581"/>
      <c r="D25" s="581"/>
      <c r="E25" s="581"/>
      <c r="F25" s="1777">
        <f>SUM(C25+D25)-E25</f>
        <v>0</v>
      </c>
      <c r="G25" s="552"/>
    </row>
    <row r="26" spans="1:11" ht="15.75" customHeight="1" thickTop="1" x14ac:dyDescent="0.2">
      <c r="A26" s="2203" t="s">
        <v>678</v>
      </c>
      <c r="B26" s="2204"/>
      <c r="C26" s="728"/>
      <c r="D26" s="728"/>
      <c r="E26" s="728"/>
      <c r="F26" s="729"/>
    </row>
    <row r="27" spans="1:11" ht="13.5" thickBot="1" x14ac:dyDescent="0.25">
      <c r="A27" s="2205" t="s">
        <v>1130</v>
      </c>
      <c r="B27" s="2206"/>
      <c r="C27" s="585"/>
      <c r="D27" s="585"/>
      <c r="E27" s="585"/>
      <c r="F27" s="1777">
        <f>SUM(C27+D27)-E27</f>
        <v>0</v>
      </c>
      <c r="G27" s="552"/>
    </row>
    <row r="28" spans="1:11" ht="7.5" customHeight="1" thickTop="1" x14ac:dyDescent="0.2">
      <c r="A28" s="594"/>
    </row>
    <row r="29" spans="1:11" ht="23.25" customHeight="1" x14ac:dyDescent="0.2">
      <c r="A29" s="2231" t="s">
        <v>603</v>
      </c>
      <c r="B29" s="2208"/>
      <c r="C29" s="730"/>
      <c r="D29" s="730"/>
      <c r="E29" s="730"/>
      <c r="F29" s="730"/>
      <c r="G29" s="730"/>
      <c r="H29" s="730"/>
      <c r="I29" s="730"/>
      <c r="J29" s="730"/>
    </row>
    <row r="30" spans="1:11" ht="33.75" x14ac:dyDescent="0.2">
      <c r="A30" s="1551" t="s">
        <v>1131</v>
      </c>
      <c r="B30" s="731" t="s">
        <v>1186</v>
      </c>
      <c r="C30" s="1910" t="s">
        <v>604</v>
      </c>
      <c r="D30" s="1910" t="s">
        <v>1772</v>
      </c>
      <c r="E30" s="1910" t="s">
        <v>2035</v>
      </c>
      <c r="F30" s="1910" t="s">
        <v>2036</v>
      </c>
      <c r="G30" s="1910" t="s">
        <v>2039</v>
      </c>
      <c r="H30" s="1910" t="s">
        <v>2037</v>
      </c>
      <c r="I30" s="1910" t="s">
        <v>2038</v>
      </c>
      <c r="J30" s="1911" t="s">
        <v>2</v>
      </c>
      <c r="K30" s="732"/>
    </row>
    <row r="31" spans="1:11" ht="12" customHeight="1" x14ac:dyDescent="0.2">
      <c r="A31" s="733"/>
      <c r="B31" s="734"/>
      <c r="C31" s="735"/>
      <c r="D31" s="736"/>
      <c r="E31" s="735"/>
      <c r="F31" s="735"/>
      <c r="G31" s="735"/>
      <c r="H31" s="735"/>
      <c r="I31" s="1778">
        <f>((E31+F31)-H31)+G31</f>
        <v>0</v>
      </c>
      <c r="J31" s="735"/>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0</v>
      </c>
      <c r="D49" s="746"/>
      <c r="E49" s="1778">
        <f t="shared" ref="E49:J49" si="2">SUM(E31:E48)</f>
        <v>0</v>
      </c>
      <c r="F49" s="1778">
        <f t="shared" si="2"/>
        <v>0</v>
      </c>
      <c r="G49" s="1778">
        <f t="shared" si="2"/>
        <v>0</v>
      </c>
      <c r="H49" s="1778">
        <f t="shared" si="2"/>
        <v>0</v>
      </c>
      <c r="I49" s="1778">
        <f t="shared" si="2"/>
        <v>0</v>
      </c>
      <c r="J49" s="1778">
        <f t="shared" si="2"/>
        <v>0</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968</v>
      </c>
      <c r="B52" s="2222" t="s">
        <v>605</v>
      </c>
      <c r="C52" s="2223"/>
      <c r="D52" s="2223"/>
      <c r="E52" s="750" t="s">
        <v>900</v>
      </c>
      <c r="F52" s="2224"/>
      <c r="G52" s="2225"/>
      <c r="H52" s="737"/>
      <c r="I52" s="737"/>
      <c r="J52" s="747"/>
    </row>
    <row r="53" spans="1:11" ht="11.25" customHeight="1" x14ac:dyDescent="0.2">
      <c r="A53" s="751" t="s">
        <v>969</v>
      </c>
      <c r="B53" s="752" t="s">
        <v>1008</v>
      </c>
      <c r="C53" s="747"/>
      <c r="D53" s="738"/>
      <c r="E53" s="750" t="s">
        <v>518</v>
      </c>
      <c r="F53" s="2226"/>
      <c r="G53" s="2227"/>
      <c r="H53" s="737"/>
      <c r="I53" s="737"/>
      <c r="J53" s="747"/>
    </row>
    <row r="54" spans="1:11" ht="11.25" customHeight="1" x14ac:dyDescent="0.2">
      <c r="A54" s="753" t="s">
        <v>970</v>
      </c>
      <c r="B54" s="748" t="s">
        <v>1009</v>
      </c>
      <c r="C54" s="747"/>
      <c r="D54" s="738"/>
      <c r="E54" s="750" t="s">
        <v>519</v>
      </c>
      <c r="F54" s="2226"/>
      <c r="G54" s="222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1"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J19" sqref="J1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6" t="s">
        <v>911</v>
      </c>
      <c r="B1" s="2257"/>
      <c r="C1" s="2257"/>
      <c r="D1" s="2257"/>
      <c r="E1" s="2257"/>
      <c r="F1" s="2257"/>
      <c r="G1" s="2258"/>
      <c r="H1" s="1552"/>
      <c r="I1" s="761"/>
      <c r="J1" s="433"/>
    </row>
    <row r="2" spans="1:11" ht="26.25" x14ac:dyDescent="0.2">
      <c r="A2" s="2235" t="s">
        <v>1776</v>
      </c>
      <c r="B2" s="2236"/>
      <c r="C2" s="2236"/>
      <c r="D2" s="2236"/>
      <c r="E2" s="2237"/>
      <c r="F2" s="762" t="s">
        <v>960</v>
      </c>
      <c r="G2" s="763" t="s">
        <v>1773</v>
      </c>
      <c r="H2" s="763" t="s">
        <v>430</v>
      </c>
      <c r="I2" s="763" t="s">
        <v>1220</v>
      </c>
      <c r="J2" s="763" t="s">
        <v>1916</v>
      </c>
      <c r="K2" s="763" t="s">
        <v>140</v>
      </c>
    </row>
    <row r="3" spans="1:11" x14ac:dyDescent="0.2">
      <c r="A3" s="2238" t="s">
        <v>1698</v>
      </c>
      <c r="B3" s="2239"/>
      <c r="C3" s="2239"/>
      <c r="D3" s="2239"/>
      <c r="E3" s="2240"/>
      <c r="F3" s="764"/>
      <c r="G3" s="765"/>
      <c r="H3" s="765"/>
      <c r="I3" s="765"/>
      <c r="J3" s="766"/>
      <c r="K3" s="766"/>
    </row>
    <row r="4" spans="1:11" x14ac:dyDescent="0.2">
      <c r="A4" s="2241" t="s">
        <v>387</v>
      </c>
      <c r="B4" s="2242"/>
      <c r="C4" s="2242"/>
      <c r="D4" s="2242"/>
      <c r="E4" s="2223"/>
      <c r="F4" s="767"/>
      <c r="G4" s="768"/>
      <c r="H4" s="769"/>
      <c r="I4" s="768"/>
      <c r="J4" s="770"/>
      <c r="K4" s="770"/>
    </row>
    <row r="5" spans="1:11" x14ac:dyDescent="0.2">
      <c r="A5" s="2259" t="s">
        <v>1129</v>
      </c>
      <c r="B5" s="2232"/>
      <c r="C5" s="2232"/>
      <c r="D5" s="2232"/>
      <c r="E5" s="2260"/>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59" t="s">
        <v>1917</v>
      </c>
      <c r="B10" s="2232"/>
      <c r="C10" s="2232"/>
      <c r="D10" s="2232"/>
      <c r="E10" s="2261"/>
      <c r="F10" s="784" t="s">
        <v>917</v>
      </c>
      <c r="G10" s="783"/>
      <c r="H10" s="785"/>
      <c r="I10" s="765"/>
      <c r="J10" s="766"/>
      <c r="K10" s="766"/>
    </row>
    <row r="11" spans="1:11" x14ac:dyDescent="0.2">
      <c r="A11" s="2259" t="s">
        <v>162</v>
      </c>
      <c r="B11" s="2232"/>
      <c r="C11" s="2232"/>
      <c r="D11" s="2232"/>
      <c r="E11" s="2260"/>
      <c r="F11" s="771" t="s">
        <v>907</v>
      </c>
      <c r="G11" s="772"/>
      <c r="H11" s="765"/>
      <c r="I11" s="765"/>
      <c r="J11" s="766"/>
      <c r="K11" s="774"/>
    </row>
    <row r="12" spans="1:11" ht="13.5" thickBot="1" x14ac:dyDescent="0.25">
      <c r="A12" s="2249" t="s">
        <v>961</v>
      </c>
      <c r="B12" s="2250"/>
      <c r="C12" s="2250"/>
      <c r="D12" s="2250"/>
      <c r="E12" s="2251"/>
      <c r="F12" s="1779"/>
      <c r="G12" s="1780">
        <f>SUM(G5:G11)</f>
        <v>0</v>
      </c>
      <c r="H12" s="1780">
        <f>SUM(H5:H11)</f>
        <v>0</v>
      </c>
      <c r="I12" s="1780">
        <f>SUM(I5:I11)</f>
        <v>0</v>
      </c>
      <c r="J12" s="1780">
        <f>SUM(J5:J11)</f>
        <v>0</v>
      </c>
      <c r="K12" s="1780">
        <f>SUM(K5:K11)</f>
        <v>0</v>
      </c>
    </row>
    <row r="13" spans="1:11" ht="13.5" thickTop="1" x14ac:dyDescent="0.2">
      <c r="A13" s="2243" t="s">
        <v>388</v>
      </c>
      <c r="B13" s="2244"/>
      <c r="C13" s="2244"/>
      <c r="D13" s="2244"/>
      <c r="E13" s="2245"/>
      <c r="F13" s="786"/>
      <c r="G13" s="787"/>
      <c r="H13" s="788"/>
      <c r="I13" s="789"/>
      <c r="J13" s="789"/>
      <c r="K13" s="789"/>
    </row>
    <row r="14" spans="1:11" x14ac:dyDescent="0.2">
      <c r="A14" s="2265" t="s">
        <v>476</v>
      </c>
      <c r="B14" s="2265"/>
      <c r="C14" s="2265"/>
      <c r="D14" s="2265"/>
      <c r="E14" s="2266"/>
      <c r="F14" s="790" t="s">
        <v>909</v>
      </c>
      <c r="G14" s="783"/>
      <c r="H14" s="765"/>
      <c r="I14" s="772"/>
      <c r="J14" s="774"/>
      <c r="K14" s="766"/>
    </row>
    <row r="15" spans="1:11" x14ac:dyDescent="0.2">
      <c r="A15" s="2232" t="s">
        <v>4</v>
      </c>
      <c r="B15" s="2232"/>
      <c r="C15" s="2232"/>
      <c r="D15" s="2232"/>
      <c r="E15" s="2260"/>
      <c r="F15" s="790" t="s">
        <v>910</v>
      </c>
      <c r="G15" s="772"/>
      <c r="H15" s="765"/>
      <c r="I15" s="765"/>
      <c r="J15" s="766"/>
      <c r="K15" s="766"/>
    </row>
    <row r="16" spans="1:11" x14ac:dyDescent="0.2">
      <c r="A16" s="2232" t="s">
        <v>316</v>
      </c>
      <c r="B16" s="2232"/>
      <c r="C16" s="2232"/>
      <c r="D16" s="2232"/>
      <c r="E16" s="2260"/>
      <c r="F16" s="790" t="s">
        <v>980</v>
      </c>
      <c r="G16" s="773"/>
      <c r="H16" s="768"/>
      <c r="I16" s="768"/>
      <c r="J16" s="770"/>
      <c r="K16" s="770"/>
    </row>
    <row r="17" spans="1:11" x14ac:dyDescent="0.2">
      <c r="A17" s="2254" t="s">
        <v>992</v>
      </c>
      <c r="B17" s="2254"/>
      <c r="C17" s="2254"/>
      <c r="D17" s="2254"/>
      <c r="E17" s="2255"/>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67" t="s">
        <v>1913</v>
      </c>
      <c r="B19" s="2267"/>
      <c r="C19" s="2267"/>
      <c r="D19" s="2267"/>
      <c r="E19" s="2268"/>
      <c r="F19" s="790" t="s">
        <v>990</v>
      </c>
      <c r="G19" s="783"/>
      <c r="H19" s="783"/>
      <c r="I19" s="783"/>
      <c r="J19" s="766"/>
      <c r="K19" s="796"/>
    </row>
    <row r="20" spans="1:11" x14ac:dyDescent="0.2">
      <c r="A20" s="2246" t="s">
        <v>1918</v>
      </c>
      <c r="B20" s="2247"/>
      <c r="C20" s="2247"/>
      <c r="D20" s="2247"/>
      <c r="E20" s="2248"/>
      <c r="F20" s="790" t="s">
        <v>991</v>
      </c>
      <c r="G20" s="783"/>
      <c r="H20" s="783"/>
      <c r="I20" s="783"/>
      <c r="J20" s="766"/>
      <c r="K20" s="796"/>
    </row>
    <row r="21" spans="1:11" ht="13.5" thickBot="1" x14ac:dyDescent="0.25">
      <c r="A21" s="2252" t="s">
        <v>659</v>
      </c>
      <c r="B21" s="2252"/>
      <c r="C21" s="2252"/>
      <c r="D21" s="2252"/>
      <c r="E21" s="2252"/>
      <c r="F21" s="1781"/>
      <c r="G21" s="793"/>
      <c r="H21" s="797"/>
      <c r="I21" s="797"/>
      <c r="J21" s="1782">
        <f>SUM(J18:J20)</f>
        <v>0</v>
      </c>
      <c r="K21" s="794"/>
    </row>
    <row r="22" spans="1:11" ht="13.5" thickTop="1" x14ac:dyDescent="0.2">
      <c r="A22" s="2232" t="s">
        <v>1919</v>
      </c>
      <c r="B22" s="2232"/>
      <c r="C22" s="2232"/>
      <c r="D22" s="2232"/>
      <c r="E22" s="2260"/>
      <c r="F22" s="790" t="s">
        <v>917</v>
      </c>
      <c r="G22" s="783"/>
      <c r="H22" s="765"/>
      <c r="I22" s="765"/>
      <c r="J22" s="798"/>
      <c r="K22" s="766"/>
    </row>
    <row r="23" spans="1:11" ht="13.5" thickBot="1" x14ac:dyDescent="0.25">
      <c r="A23" s="2253" t="s">
        <v>962</v>
      </c>
      <c r="B23" s="2252"/>
      <c r="C23" s="2252"/>
      <c r="D23" s="2252"/>
      <c r="E23" s="2252"/>
      <c r="F23" s="1783"/>
      <c r="G23" s="1780">
        <f>SUM(G14:G16,G21,G22)</f>
        <v>0</v>
      </c>
      <c r="H23" s="1780">
        <f>SUM(H14:H16,H21,H22)</f>
        <v>0</v>
      </c>
      <c r="I23" s="1780">
        <f>SUM(I14:I16,I21,I22)</f>
        <v>0</v>
      </c>
      <c r="J23" s="1780">
        <f>SUM(J14:J16,J21,J22)</f>
        <v>0</v>
      </c>
      <c r="K23" s="1780">
        <f>SUM(K14:K16,K21,K22)</f>
        <v>0</v>
      </c>
    </row>
    <row r="24" spans="1:11" ht="14.25" thickTop="1" thickBot="1" x14ac:dyDescent="0.25">
      <c r="A24" s="2253" t="s">
        <v>2021</v>
      </c>
      <c r="B24" s="2252"/>
      <c r="C24" s="2252"/>
      <c r="D24" s="2252"/>
      <c r="E24" s="2252"/>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2031</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2"/>
      <c r="I31" s="2263"/>
      <c r="J31" s="2263"/>
      <c r="K31" s="2263"/>
    </row>
    <row r="32" spans="1:11" x14ac:dyDescent="0.2">
      <c r="A32" s="810"/>
      <c r="B32" s="237"/>
      <c r="C32" s="237"/>
      <c r="D32" s="237"/>
      <c r="E32" s="806"/>
      <c r="F32" s="812" t="s">
        <v>561</v>
      </c>
      <c r="G32" s="765"/>
      <c r="H32" s="2264"/>
      <c r="I32" s="2263"/>
      <c r="J32" s="2263"/>
      <c r="K32" s="2263"/>
    </row>
    <row r="33" spans="1:11" ht="1.5" customHeight="1" x14ac:dyDescent="0.2">
      <c r="A33" s="813" t="s">
        <v>1231</v>
      </c>
      <c r="B33" s="364"/>
      <c r="C33" s="364"/>
      <c r="D33" s="364"/>
      <c r="E33" s="364"/>
      <c r="F33" s="364"/>
      <c r="G33" s="814"/>
      <c r="H33" s="2264"/>
      <c r="I33" s="2263"/>
      <c r="J33" s="2263"/>
      <c r="K33" s="2263"/>
    </row>
    <row r="34" spans="1:11" x14ac:dyDescent="0.2">
      <c r="A34" s="815" t="s">
        <v>1920</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2" t="s">
        <v>562</v>
      </c>
      <c r="B41" s="2233"/>
      <c r="C41" s="2233"/>
      <c r="D41" s="2233"/>
      <c r="E41" s="2233"/>
      <c r="F41" s="2234"/>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1914</v>
      </c>
      <c r="B46" s="408" t="s">
        <v>1774</v>
      </c>
    </row>
    <row r="47" spans="1:11" s="824" customFormat="1" ht="12.75" customHeight="1" x14ac:dyDescent="0.2">
      <c r="A47" s="822"/>
      <c r="B47" s="823" t="s">
        <v>1775</v>
      </c>
      <c r="E47" s="823"/>
      <c r="K47" s="825"/>
    </row>
    <row r="48" spans="1:11" ht="12.75" customHeight="1" x14ac:dyDescent="0.2">
      <c r="A48" s="1554"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L16" sqref="L16"/>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2030</v>
      </c>
      <c r="B1" s="2272"/>
      <c r="C1" s="2273"/>
      <c r="D1" s="827"/>
      <c r="E1" s="828"/>
      <c r="F1" s="828"/>
      <c r="G1" s="829"/>
      <c r="H1" s="830"/>
      <c r="I1" s="831"/>
      <c r="J1" s="2269"/>
      <c r="K1" s="2270"/>
      <c r="L1" s="2270"/>
    </row>
    <row r="2" spans="1:14" ht="69.75" customHeight="1" x14ac:dyDescent="0.2">
      <c r="A2" s="832" t="s">
        <v>1777</v>
      </c>
      <c r="B2" s="833" t="s">
        <v>396</v>
      </c>
      <c r="C2" s="834" t="s">
        <v>2025</v>
      </c>
      <c r="D2" s="834" t="s">
        <v>2022</v>
      </c>
      <c r="E2" s="834" t="s">
        <v>2023</v>
      </c>
      <c r="F2" s="834" t="s">
        <v>2024</v>
      </c>
      <c r="G2" s="834" t="s">
        <v>626</v>
      </c>
      <c r="H2" s="834" t="s">
        <v>2026</v>
      </c>
      <c r="I2" s="834" t="s">
        <v>2027</v>
      </c>
      <c r="J2" s="834" t="s">
        <v>2042</v>
      </c>
      <c r="K2" s="834" t="s">
        <v>2028</v>
      </c>
      <c r="L2" s="834" t="s">
        <v>2029</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548700</v>
      </c>
      <c r="D5" s="842"/>
      <c r="E5" s="842"/>
      <c r="F5" s="1782">
        <f>(C5+D5)-E5</f>
        <v>548700</v>
      </c>
      <c r="G5" s="838"/>
      <c r="H5" s="843"/>
      <c r="I5" s="843"/>
      <c r="J5" s="843"/>
      <c r="K5" s="794"/>
      <c r="L5" s="1791">
        <f>F5-K5</f>
        <v>548700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630330</v>
      </c>
      <c r="D8" s="845"/>
      <c r="E8" s="845"/>
      <c r="F8" s="1782">
        <f>(C8+D8)-E8</f>
        <v>630330</v>
      </c>
      <c r="G8" s="844">
        <v>50</v>
      </c>
      <c r="H8" s="766">
        <v>394094</v>
      </c>
      <c r="I8" s="766">
        <v>29476</v>
      </c>
      <c r="J8" s="766"/>
      <c r="K8" s="1791">
        <f>(H8+I8)-J8</f>
        <v>423570</v>
      </c>
      <c r="L8" s="1791">
        <f>F8-K8</f>
        <v>206760</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3255089</v>
      </c>
      <c r="D10" s="847"/>
      <c r="E10" s="847"/>
      <c r="F10" s="1786">
        <f>(C10+D10)-E10</f>
        <v>3255089</v>
      </c>
      <c r="G10" s="844">
        <v>20</v>
      </c>
      <c r="H10" s="848">
        <v>954872</v>
      </c>
      <c r="I10" s="848">
        <v>162754</v>
      </c>
      <c r="J10" s="848"/>
      <c r="K10" s="1791">
        <f>(H10+I10)-J10</f>
        <v>1117626</v>
      </c>
      <c r="L10" s="1791">
        <f>F10-K10</f>
        <v>2137463</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c r="D12" s="845"/>
      <c r="E12" s="845"/>
      <c r="F12" s="1782">
        <f>(C12+D12)-E12</f>
        <v>0</v>
      </c>
      <c r="G12" s="844">
        <v>10</v>
      </c>
      <c r="H12" s="766"/>
      <c r="I12" s="766"/>
      <c r="J12" s="766"/>
      <c r="K12" s="1791">
        <f>(H12+I12)-J12</f>
        <v>0</v>
      </c>
      <c r="L12" s="1791">
        <f>F12-K12</f>
        <v>0</v>
      </c>
    </row>
    <row r="13" spans="1:14" ht="14.25" thickTop="1" thickBot="1" x14ac:dyDescent="0.25">
      <c r="A13" s="849" t="s">
        <v>1184</v>
      </c>
      <c r="B13" s="841">
        <v>252</v>
      </c>
      <c r="C13" s="845">
        <v>293607</v>
      </c>
      <c r="D13" s="845">
        <v>13416</v>
      </c>
      <c r="E13" s="845"/>
      <c r="F13" s="1782">
        <f>(C13+D13)-E13</f>
        <v>307023</v>
      </c>
      <c r="G13" s="844">
        <v>5</v>
      </c>
      <c r="H13" s="766">
        <v>273045</v>
      </c>
      <c r="I13" s="766">
        <v>8482</v>
      </c>
      <c r="J13" s="766"/>
      <c r="K13" s="1791">
        <f>(H13+I13)-J13</f>
        <v>281527</v>
      </c>
      <c r="L13" s="1791">
        <f>F13-K13</f>
        <v>25496</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4727726</v>
      </c>
      <c r="D16" s="1782">
        <f>SUM(D3,D5:D6,D8:D10,D12:D15)</f>
        <v>13416</v>
      </c>
      <c r="E16" s="1782">
        <f>SUM(E3,E5:E6,E8:E10,E12:E15)</f>
        <v>0</v>
      </c>
      <c r="F16" s="1782">
        <f>SUM(F3,F5:F6,F8:F10,F12:F15)</f>
        <v>4741142</v>
      </c>
      <c r="G16" s="844"/>
      <c r="H16" s="1782">
        <f>SUM(H3,H6,H8:H10,H12:H14,)</f>
        <v>1622011</v>
      </c>
      <c r="I16" s="1782">
        <f>SUM(I3,I6,I8:I10,I12:I14,)</f>
        <v>200712</v>
      </c>
      <c r="J16" s="1782">
        <f>SUM(J3,J6,J8:J10,J12:J14,)</f>
        <v>0</v>
      </c>
      <c r="K16" s="1782">
        <f>(H16+I16)-J16</f>
        <v>1822723</v>
      </c>
      <c r="L16" s="1782">
        <f>F16-K16</f>
        <v>2918419</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200712</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A187" sqref="A18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14982325</v>
      </c>
      <c r="G8" s="866"/>
    </row>
    <row r="9" spans="1:7" x14ac:dyDescent="0.2">
      <c r="A9" s="870" t="s">
        <v>480</v>
      </c>
      <c r="B9" s="871" t="s">
        <v>1985</v>
      </c>
      <c r="C9" s="872"/>
      <c r="D9" s="870" t="s">
        <v>522</v>
      </c>
      <c r="E9" s="869"/>
      <c r="F9" s="1935">
        <f>'Expenditures 15-22'!K151</f>
        <v>0</v>
      </c>
      <c r="G9" s="873"/>
    </row>
    <row r="10" spans="1:7" x14ac:dyDescent="0.2">
      <c r="A10" s="870" t="s">
        <v>520</v>
      </c>
      <c r="B10" s="871" t="s">
        <v>1986</v>
      </c>
      <c r="C10" s="872"/>
      <c r="D10" s="870" t="s">
        <v>522</v>
      </c>
      <c r="E10" s="869"/>
      <c r="F10" s="1935">
        <f>'Expenditures 15-22'!K174</f>
        <v>0</v>
      </c>
      <c r="G10" s="873"/>
    </row>
    <row r="11" spans="1:7" x14ac:dyDescent="0.2">
      <c r="A11" s="870" t="s">
        <v>481</v>
      </c>
      <c r="B11" s="871" t="s">
        <v>1987</v>
      </c>
      <c r="C11" s="872"/>
      <c r="D11" s="870" t="s">
        <v>522</v>
      </c>
      <c r="E11" s="869"/>
      <c r="F11" s="1935">
        <f>'Expenditures 15-22'!K210</f>
        <v>0</v>
      </c>
      <c r="G11" s="873"/>
    </row>
    <row r="12" spans="1:7" x14ac:dyDescent="0.2">
      <c r="A12" s="870" t="s">
        <v>482</v>
      </c>
      <c r="B12" s="871" t="s">
        <v>1988</v>
      </c>
      <c r="C12" s="872"/>
      <c r="D12" s="870" t="s">
        <v>522</v>
      </c>
      <c r="E12" s="869"/>
      <c r="F12" s="1935">
        <f>'Expenditures 15-22'!K295</f>
        <v>0</v>
      </c>
      <c r="G12" s="873"/>
    </row>
    <row r="13" spans="1:7" x14ac:dyDescent="0.2">
      <c r="A13" s="870" t="s">
        <v>108</v>
      </c>
      <c r="B13" s="871" t="s">
        <v>1989</v>
      </c>
      <c r="C13" s="872"/>
      <c r="D13" s="870" t="s">
        <v>522</v>
      </c>
      <c r="E13" s="869"/>
      <c r="F13" s="1935">
        <f>'Expenditures 15-22'!K342</f>
        <v>0</v>
      </c>
      <c r="G13" s="874"/>
    </row>
    <row r="14" spans="1:7" ht="12" customHeight="1" thickBot="1" x14ac:dyDescent="0.25">
      <c r="A14" s="1792"/>
      <c r="B14" s="1793"/>
      <c r="C14" s="1794"/>
      <c r="D14" s="1795" t="s">
        <v>522</v>
      </c>
      <c r="E14" s="1796" t="s">
        <v>1015</v>
      </c>
      <c r="F14" s="1797">
        <f>SUM(F8:F13)</f>
        <v>14982325</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473315</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122337</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1412706</v>
      </c>
      <c r="G53" s="866"/>
    </row>
    <row r="54" spans="1:7" x14ac:dyDescent="0.2">
      <c r="A54" s="870" t="s">
        <v>479</v>
      </c>
      <c r="B54" s="870" t="s">
        <v>1552</v>
      </c>
      <c r="C54" s="890" t="s">
        <v>1039</v>
      </c>
      <c r="D54" s="886" t="s">
        <v>1157</v>
      </c>
      <c r="E54" s="869"/>
      <c r="F54" s="1939">
        <f>'Expenditures 15-22'!G114</f>
        <v>19129</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1990</v>
      </c>
      <c r="C57" s="890">
        <f>'Expenditures 15-22'!B139</f>
        <v>4000</v>
      </c>
      <c r="D57" s="888" t="str">
        <f>'Expenditures 15-22'!A139</f>
        <v>Total Payments to Other Govt Units</v>
      </c>
      <c r="E57" s="869"/>
      <c r="F57" s="1939">
        <f>'Expenditures 15-22'!K139</f>
        <v>0</v>
      </c>
      <c r="G57" s="866"/>
    </row>
    <row r="58" spans="1:7" x14ac:dyDescent="0.2">
      <c r="A58" s="870" t="s">
        <v>480</v>
      </c>
      <c r="B58" s="870" t="s">
        <v>1991</v>
      </c>
      <c r="C58" s="887" t="s">
        <v>1039</v>
      </c>
      <c r="D58" s="886" t="s">
        <v>1157</v>
      </c>
      <c r="E58" s="869"/>
      <c r="F58" s="1941">
        <f>'Expenditures 15-22'!G151</f>
        <v>0</v>
      </c>
      <c r="G58" s="866"/>
    </row>
    <row r="59" spans="1:7" x14ac:dyDescent="0.2">
      <c r="A59" s="894" t="s">
        <v>480</v>
      </c>
      <c r="B59" s="857" t="s">
        <v>1992</v>
      </c>
      <c r="C59" s="895" t="s">
        <v>1039</v>
      </c>
      <c r="D59" s="857" t="s">
        <v>309</v>
      </c>
      <c r="F59" s="1942">
        <f>'Expenditures 15-22'!I151</f>
        <v>0</v>
      </c>
      <c r="G59" s="866"/>
    </row>
    <row r="60" spans="1:7" x14ac:dyDescent="0.2">
      <c r="A60" s="894" t="s">
        <v>520</v>
      </c>
      <c r="B60" s="857" t="s">
        <v>1993</v>
      </c>
      <c r="C60" s="895">
        <v>4000</v>
      </c>
      <c r="D60" s="857" t="s">
        <v>330</v>
      </c>
      <c r="F60" s="1940">
        <f>'Expenditures 15-22'!K160</f>
        <v>0</v>
      </c>
      <c r="G60" s="866"/>
    </row>
    <row r="61" spans="1:7" x14ac:dyDescent="0.2">
      <c r="A61" s="896" t="s">
        <v>520</v>
      </c>
      <c r="B61" s="896" t="s">
        <v>1994</v>
      </c>
      <c r="C61" s="897" t="str">
        <f>'Expenditures 15-22'!B170</f>
        <v>5300</v>
      </c>
      <c r="D61" s="898" t="s">
        <v>329</v>
      </c>
      <c r="E61" s="880"/>
      <c r="F61" s="1939">
        <f>'Expenditures 15-22'!K170</f>
        <v>0</v>
      </c>
      <c r="G61" s="866"/>
    </row>
    <row r="62" spans="1:7" x14ac:dyDescent="0.2">
      <c r="A62" s="870" t="s">
        <v>481</v>
      </c>
      <c r="B62" s="870" t="s">
        <v>1995</v>
      </c>
      <c r="C62" s="887">
        <f>'Expenditures 15-22'!B185</f>
        <v>3000</v>
      </c>
      <c r="D62" s="877" t="s">
        <v>469</v>
      </c>
      <c r="E62" s="869"/>
      <c r="F62" s="1939">
        <f>'Expenditures 15-22'!K185-SUM('Expenditures 15-22'!G185,'Expenditures 15-22'!I185)</f>
        <v>0</v>
      </c>
      <c r="G62" s="866"/>
    </row>
    <row r="63" spans="1:7" x14ac:dyDescent="0.2">
      <c r="A63" s="870" t="s">
        <v>481</v>
      </c>
      <c r="B63" s="870" t="s">
        <v>1996</v>
      </c>
      <c r="C63" s="887" t="str">
        <f>'Expenditures 15-22'!B196</f>
        <v>4000</v>
      </c>
      <c r="D63" s="888" t="str">
        <f>'Expenditures 15-22'!A196</f>
        <v>Total Payments to Other Govt Units</v>
      </c>
      <c r="E63" s="869"/>
      <c r="F63" s="1939">
        <f>'Expenditures 15-22'!K196</f>
        <v>0</v>
      </c>
      <c r="G63" s="866"/>
    </row>
    <row r="64" spans="1:7" x14ac:dyDescent="0.2">
      <c r="A64" s="896" t="s">
        <v>481</v>
      </c>
      <c r="B64" s="896" t="s">
        <v>1997</v>
      </c>
      <c r="C64" s="897" t="str">
        <f>'Expenditures 15-22'!B206</f>
        <v>5300</v>
      </c>
      <c r="D64" s="893" t="s">
        <v>329</v>
      </c>
      <c r="E64" s="869"/>
      <c r="F64" s="1939">
        <f>'Expenditures 15-22'!K206</f>
        <v>0</v>
      </c>
      <c r="G64" s="866"/>
    </row>
    <row r="65" spans="1:8" x14ac:dyDescent="0.2">
      <c r="A65" s="870" t="s">
        <v>481</v>
      </c>
      <c r="B65" s="870" t="s">
        <v>1998</v>
      </c>
      <c r="C65" s="887" t="s">
        <v>1039</v>
      </c>
      <c r="D65" s="886" t="s">
        <v>1157</v>
      </c>
      <c r="E65" s="869"/>
      <c r="F65" s="1939">
        <f>'Expenditures 15-22'!G210</f>
        <v>0</v>
      </c>
      <c r="G65" s="866"/>
    </row>
    <row r="66" spans="1:8" x14ac:dyDescent="0.2">
      <c r="A66" s="870" t="s">
        <v>481</v>
      </c>
      <c r="B66" s="870" t="s">
        <v>1999</v>
      </c>
      <c r="C66" s="887" t="s">
        <v>1039</v>
      </c>
      <c r="D66" s="886" t="s">
        <v>309</v>
      </c>
      <c r="E66" s="869"/>
      <c r="F66" s="1939">
        <f>'Expenditures 15-22'!I210</f>
        <v>0</v>
      </c>
      <c r="G66" s="866"/>
    </row>
    <row r="67" spans="1:8" x14ac:dyDescent="0.2">
      <c r="A67" s="870" t="s">
        <v>482</v>
      </c>
      <c r="B67" s="870" t="s">
        <v>2000</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2001</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2002</v>
      </c>
      <c r="C70" s="887">
        <f>'Expenditures 15-22'!B221</f>
        <v>1300</v>
      </c>
      <c r="D70" s="888" t="str">
        <f>'Expenditures 15-22'!A221</f>
        <v>Adult/Continuing Education Programs</v>
      </c>
      <c r="E70" s="869"/>
      <c r="F70" s="1939">
        <f>'Expenditures 15-22'!K221</f>
        <v>0</v>
      </c>
      <c r="G70" s="866"/>
    </row>
    <row r="71" spans="1:8" x14ac:dyDescent="0.2">
      <c r="A71" s="870" t="s">
        <v>482</v>
      </c>
      <c r="B71" s="870" t="s">
        <v>2003</v>
      </c>
      <c r="C71" s="887">
        <f>'Expenditures 15-22'!B224</f>
        <v>1600</v>
      </c>
      <c r="D71" s="888" t="str">
        <f>'Expenditures 15-22'!A224</f>
        <v>Summer School Programs</v>
      </c>
      <c r="E71" s="869"/>
      <c r="F71" s="1939">
        <f>'Expenditures 15-22'!K224</f>
        <v>0</v>
      </c>
      <c r="G71" s="866"/>
    </row>
    <row r="72" spans="1:8" x14ac:dyDescent="0.2">
      <c r="A72" s="870" t="s">
        <v>482</v>
      </c>
      <c r="B72" s="870" t="s">
        <v>2004</v>
      </c>
      <c r="C72" s="887">
        <f>'Expenditures 15-22'!B280</f>
        <v>3000</v>
      </c>
      <c r="D72" s="877" t="s">
        <v>469</v>
      </c>
      <c r="E72" s="869"/>
      <c r="F72" s="1939">
        <f>'Expenditures 15-22'!K280</f>
        <v>0</v>
      </c>
      <c r="G72" s="866"/>
    </row>
    <row r="73" spans="1:8" x14ac:dyDescent="0.2">
      <c r="A73" s="870" t="s">
        <v>482</v>
      </c>
      <c r="B73" s="870" t="s">
        <v>2005</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2006</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2007</v>
      </c>
      <c r="E76" s="1796" t="s">
        <v>1015</v>
      </c>
      <c r="F76" s="1800">
        <f>SUM(F18:F74)</f>
        <v>2027487</v>
      </c>
      <c r="G76" s="866"/>
    </row>
    <row r="77" spans="1:8" s="894" customFormat="1" ht="12" customHeight="1" thickTop="1" thickBot="1" x14ac:dyDescent="0.25">
      <c r="A77" s="1801"/>
      <c r="B77" s="1798"/>
      <c r="C77" s="1794"/>
      <c r="D77" s="1799" t="s">
        <v>2008</v>
      </c>
      <c r="E77" s="1796"/>
      <c r="F77" s="1802">
        <f>(F14-F76)</f>
        <v>12954838</v>
      </c>
      <c r="G77" s="870"/>
    </row>
    <row r="78" spans="1:8" s="894" customFormat="1" ht="12" customHeight="1" thickTop="1" x14ac:dyDescent="0.2">
      <c r="A78" s="1803"/>
      <c r="B78" s="1798"/>
      <c r="C78" s="1794"/>
      <c r="D78" s="1799" t="s">
        <v>2054</v>
      </c>
      <c r="E78" s="1796"/>
      <c r="F78" s="899">
        <v>0</v>
      </c>
      <c r="G78" s="900"/>
      <c r="H78" s="870"/>
    </row>
    <row r="79" spans="1:8" s="894" customFormat="1" ht="12" customHeight="1" thickBot="1" x14ac:dyDescent="0.25">
      <c r="A79" s="1804"/>
      <c r="B79" s="1798"/>
      <c r="C79" s="1794"/>
      <c r="D79" s="1799" t="s">
        <v>2009</v>
      </c>
      <c r="E79" s="1796" t="s">
        <v>1015</v>
      </c>
      <c r="F79" s="1805"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2376</v>
      </c>
      <c r="G94" s="913"/>
    </row>
    <row r="95" spans="1:7" x14ac:dyDescent="0.2">
      <c r="A95" s="909" t="s">
        <v>142</v>
      </c>
      <c r="B95" s="909" t="s">
        <v>177</v>
      </c>
      <c r="C95" s="911">
        <v>1700</v>
      </c>
      <c r="D95" s="919" t="str">
        <f>'Revenues 9-14'!A82</f>
        <v>Total District/School Activity Income</v>
      </c>
      <c r="E95" s="907"/>
      <c r="F95" s="1811">
        <f>SUM('Revenues 9-14'!C82,'Revenues 9-14'!D82)</f>
        <v>0</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595840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1102386</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698</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753</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0</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59705</v>
      </c>
      <c r="G129" s="931"/>
    </row>
    <row r="130" spans="1:7" x14ac:dyDescent="0.2">
      <c r="A130" s="928" t="s">
        <v>689</v>
      </c>
      <c r="B130" s="928" t="s">
        <v>804</v>
      </c>
      <c r="C130" s="933">
        <v>4300</v>
      </c>
      <c r="D130" s="934" t="str">
        <f>'Revenues 9-14'!A211</f>
        <v>Total Title I</v>
      </c>
      <c r="E130" s="907"/>
      <c r="F130" s="1811">
        <f>SUM('Revenues 9-14'!C211,'Revenues 9-14'!D211,'Revenues 9-14'!F211,'Revenues 9-14'!G211)</f>
        <v>0</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2151010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196327</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240199</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33566</v>
      </c>
      <c r="G174" s="928"/>
    </row>
    <row r="175" spans="1:7" x14ac:dyDescent="0.2">
      <c r="A175" s="1944" t="s">
        <v>5</v>
      </c>
      <c r="B175" s="1945" t="s">
        <v>2053</v>
      </c>
      <c r="C175" s="1946">
        <v>3100</v>
      </c>
      <c r="D175" s="1947" t="s">
        <v>2056</v>
      </c>
      <c r="E175" s="907"/>
      <c r="F175" s="1931"/>
      <c r="G175" s="928"/>
    </row>
    <row r="176" spans="1:7" x14ac:dyDescent="0.2">
      <c r="A176" s="1944" t="s">
        <v>685</v>
      </c>
      <c r="B176" s="1945" t="s">
        <v>2053</v>
      </c>
      <c r="C176" s="1946">
        <v>3300</v>
      </c>
      <c r="D176" s="1947" t="s">
        <v>2057</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2010</v>
      </c>
      <c r="E178" s="1809" t="s">
        <v>1015</v>
      </c>
      <c r="F178" s="1810">
        <f>SUM(F84:F136,F161:F176)</f>
        <v>4382860</v>
      </c>
    </row>
    <row r="179" spans="1:7" ht="12" customHeight="1" x14ac:dyDescent="0.2">
      <c r="A179" s="1792"/>
      <c r="B179" s="1806"/>
      <c r="C179" s="1807"/>
      <c r="D179" s="1808" t="s">
        <v>2011</v>
      </c>
      <c r="E179" s="1809"/>
      <c r="F179" s="1811">
        <f>'PCTC-OEPP 27-28'!F77-F178</f>
        <v>8571978</v>
      </c>
    </row>
    <row r="180" spans="1:7" ht="12" customHeight="1" x14ac:dyDescent="0.2">
      <c r="A180" s="1792"/>
      <c r="B180" s="1806"/>
      <c r="C180" s="1807"/>
      <c r="D180" s="1808" t="s">
        <v>1921</v>
      </c>
      <c r="E180" s="1809"/>
      <c r="F180" s="1811">
        <f>'Cap Outlay Deprec 26'!I18</f>
        <v>200712</v>
      </c>
    </row>
    <row r="181" spans="1:7" ht="12" customHeight="1" x14ac:dyDescent="0.2">
      <c r="A181" s="1792"/>
      <c r="B181" s="1806"/>
      <c r="C181" s="1807"/>
      <c r="D181" s="1808" t="s">
        <v>2012</v>
      </c>
      <c r="E181" s="1809"/>
      <c r="F181" s="1811">
        <f>F179+F180</f>
        <v>8772690</v>
      </c>
    </row>
    <row r="182" spans="1:7" ht="12" customHeight="1" x14ac:dyDescent="0.2">
      <c r="A182" s="1792"/>
      <c r="B182" s="1812"/>
      <c r="C182" s="1807"/>
      <c r="D182" s="1808" t="str">
        <f>D78</f>
        <v>9 Month ADA from District Average Daily Attendance/Prior General State Aid Inquiry 2017-2018</v>
      </c>
      <c r="E182" s="1809"/>
      <c r="F182" s="1813">
        <f>'PCTC-OEPP 27-28'!F78</f>
        <v>0</v>
      </c>
      <c r="G182" s="931"/>
    </row>
    <row r="183" spans="1:7" ht="12" customHeight="1" thickBot="1" x14ac:dyDescent="0.25">
      <c r="A183" s="1792"/>
      <c r="B183" s="1812"/>
      <c r="C183" s="1807"/>
      <c r="D183" s="1808" t="s">
        <v>2013</v>
      </c>
      <c r="E183" s="1809" t="s">
        <v>1626</v>
      </c>
      <c r="F183" s="1814" t="e">
        <f>F181/F182</f>
        <v>#DIV/0!</v>
      </c>
      <c r="G183" s="857">
        <v>6323</v>
      </c>
    </row>
    <row r="184" spans="1:7" ht="12" thickTop="1" x14ac:dyDescent="0.2">
      <c r="B184" s="931"/>
      <c r="C184" s="950"/>
      <c r="D184" s="931"/>
      <c r="E184" s="950"/>
      <c r="F184" s="931"/>
      <c r="G184" s="952">
        <v>6326</v>
      </c>
    </row>
    <row r="185" spans="1:7" ht="12.2" customHeight="1" x14ac:dyDescent="0.2">
      <c r="A185" s="931" t="s">
        <v>2055</v>
      </c>
      <c r="B185" s="931"/>
      <c r="C185" s="950"/>
      <c r="D185" s="931"/>
      <c r="E185" s="950"/>
      <c r="F185" s="931"/>
      <c r="G185" s="931"/>
    </row>
    <row r="186" spans="1:7" s="1948" customFormat="1" ht="12.2" customHeight="1" x14ac:dyDescent="0.2">
      <c r="A186" s="1948" t="s">
        <v>2060</v>
      </c>
      <c r="B186" s="1949"/>
      <c r="C186" s="1950"/>
      <c r="D186" s="1949"/>
      <c r="E186" s="1950"/>
      <c r="F186" s="1949"/>
      <c r="G186" s="1949"/>
    </row>
    <row r="187" spans="1:7" s="1948" customFormat="1" ht="12.2" customHeight="1" x14ac:dyDescent="0.2">
      <c r="A187" s="1951" t="s">
        <v>2061</v>
      </c>
      <c r="C187" s="1950"/>
      <c r="D187" s="1949"/>
      <c r="E187" s="1950"/>
      <c r="F187" s="1949"/>
      <c r="G187" s="1949"/>
    </row>
    <row r="188" spans="1:7" ht="12" customHeight="1" x14ac:dyDescent="0.2">
      <c r="C188" s="950"/>
      <c r="D188" s="931"/>
      <c r="E188" s="950"/>
      <c r="F188" s="931"/>
      <c r="G188" s="931"/>
    </row>
    <row r="189" spans="1:7" x14ac:dyDescent="0.2">
      <c r="A189" s="1952" t="s">
        <v>2059</v>
      </c>
      <c r="B189" s="1953" t="s">
        <v>2058</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D18" sqref="D18"/>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1937</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1922</v>
      </c>
      <c r="B4" s="2289"/>
      <c r="C4" s="2289"/>
      <c r="D4" s="2289"/>
      <c r="E4" s="2289"/>
      <c r="F4" s="2289"/>
      <c r="G4" s="2290"/>
    </row>
    <row r="5" spans="1:7" x14ac:dyDescent="0.25">
      <c r="A5" s="2291"/>
      <c r="B5" s="2292"/>
      <c r="C5" s="2292"/>
      <c r="D5" s="2292"/>
      <c r="E5" s="2292"/>
      <c r="F5" s="2292"/>
      <c r="G5" s="2293"/>
    </row>
    <row r="6" spans="1:7" ht="18.75" x14ac:dyDescent="0.25">
      <c r="A6" s="1556" t="s">
        <v>1923</v>
      </c>
      <c r="B6" s="1557"/>
      <c r="C6" s="1557"/>
      <c r="D6" s="1557"/>
      <c r="E6" s="1557"/>
      <c r="F6" s="1557"/>
      <c r="G6" s="1558"/>
    </row>
    <row r="7" spans="1:7" ht="30.75" customHeight="1" x14ac:dyDescent="0.25">
      <c r="A7" s="2294" t="s">
        <v>2070</v>
      </c>
      <c r="B7" s="2295"/>
      <c r="C7" s="2295"/>
      <c r="D7" s="2295"/>
      <c r="E7" s="2295"/>
      <c r="F7" s="2295"/>
      <c r="G7" s="2296"/>
    </row>
    <row r="8" spans="1:7" ht="15.75" customHeight="1" x14ac:dyDescent="0.25">
      <c r="A8" s="2297" t="s">
        <v>2019</v>
      </c>
      <c r="B8" s="2298"/>
      <c r="C8" s="2298"/>
      <c r="D8" s="2298"/>
      <c r="E8" s="2298"/>
      <c r="F8" s="2298"/>
      <c r="G8" s="2299"/>
    </row>
    <row r="9" spans="1:7" ht="35.25" customHeight="1" x14ac:dyDescent="0.25">
      <c r="A9" s="2294" t="s">
        <v>2073</v>
      </c>
      <c r="B9" s="2295"/>
      <c r="C9" s="2295"/>
      <c r="D9" s="2295"/>
      <c r="E9" s="2295"/>
      <c r="F9" s="2295"/>
      <c r="G9" s="2296"/>
    </row>
    <row r="10" spans="1:7" ht="15" customHeight="1" x14ac:dyDescent="0.25">
      <c r="A10" s="1559" t="s">
        <v>1924</v>
      </c>
      <c r="B10" s="1560"/>
      <c r="C10" s="1560"/>
      <c r="D10" s="1560"/>
      <c r="E10" s="1560"/>
      <c r="F10" s="1560"/>
      <c r="G10" s="1561"/>
    </row>
    <row r="11" spans="1:7" ht="17.25" customHeight="1" x14ac:dyDescent="0.25">
      <c r="A11" s="2294" t="s">
        <v>2072</v>
      </c>
      <c r="B11" s="2295"/>
      <c r="C11" s="2295"/>
      <c r="D11" s="2295"/>
      <c r="E11" s="2295"/>
      <c r="F11" s="2295"/>
      <c r="G11" s="2296"/>
    </row>
    <row r="12" spans="1:7" ht="15" customHeight="1" x14ac:dyDescent="0.25">
      <c r="A12" s="1559" t="s">
        <v>1929</v>
      </c>
      <c r="B12" s="1560"/>
      <c r="C12" s="1560"/>
      <c r="D12" s="1560"/>
      <c r="E12" s="1560"/>
      <c r="F12" s="1560"/>
      <c r="G12" s="1561"/>
    </row>
    <row r="13" spans="1:7" ht="32.25" customHeight="1" x14ac:dyDescent="0.25">
      <c r="A13" s="2285" t="s">
        <v>1930</v>
      </c>
      <c r="B13" s="2286"/>
      <c r="C13" s="2286"/>
      <c r="D13" s="2286"/>
      <c r="E13" s="2286"/>
      <c r="F13" s="2286"/>
      <c r="G13" s="2287"/>
    </row>
    <row r="14" spans="1:7" x14ac:dyDescent="0.25">
      <c r="A14" s="1683" t="s">
        <v>1938</v>
      </c>
      <c r="B14" s="1684"/>
      <c r="C14" s="1684"/>
      <c r="D14" s="1684"/>
      <c r="E14" s="1684"/>
      <c r="F14" s="1684"/>
      <c r="G14" s="1685"/>
    </row>
    <row r="15" spans="1:7" ht="61.5" customHeight="1" x14ac:dyDescent="0.25">
      <c r="A15" s="1568" t="s">
        <v>1931</v>
      </c>
      <c r="B15" s="1568" t="s">
        <v>1932</v>
      </c>
      <c r="C15" s="1568" t="s">
        <v>1933</v>
      </c>
      <c r="D15" s="1569" t="s">
        <v>1934</v>
      </c>
      <c r="E15" s="1569" t="s">
        <v>1925</v>
      </c>
      <c r="F15" s="1569" t="s">
        <v>1935</v>
      </c>
      <c r="G15" s="1569" t="s">
        <v>1936</v>
      </c>
    </row>
    <row r="16" spans="1:7" x14ac:dyDescent="0.25">
      <c r="A16" s="1670" t="s">
        <v>1939</v>
      </c>
      <c r="B16" s="1671" t="s">
        <v>1928</v>
      </c>
      <c r="C16" s="1672" t="s">
        <v>1926</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2112</v>
      </c>
      <c r="B17" s="1957" t="s">
        <v>2113</v>
      </c>
      <c r="C17" s="1958" t="s">
        <v>2113</v>
      </c>
      <c r="D17" s="1867">
        <v>0</v>
      </c>
      <c r="E17" s="1562">
        <f t="shared" ref="E17:E141" si="1">IF(D17&lt;=25000,D17,IF(D17&gt;25000,25000,0))</f>
        <v>0</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0</v>
      </c>
      <c r="E141" s="1563">
        <f t="shared" si="1"/>
        <v>0</v>
      </c>
      <c r="F141" s="1817">
        <f>SUM(F17:F140)</f>
        <v>0</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2071</v>
      </c>
      <c r="B10" s="972"/>
      <c r="C10" s="977"/>
      <c r="D10" s="973"/>
      <c r="E10" s="974">
        <v>59705</v>
      </c>
      <c r="F10" s="975"/>
      <c r="G10" s="976"/>
      <c r="H10" s="162"/>
      <c r="I10" s="162"/>
    </row>
    <row r="11" spans="1:9" s="669" customFormat="1" ht="22.5" customHeight="1" x14ac:dyDescent="0.2">
      <c r="A11" s="2305" t="s">
        <v>1941</v>
      </c>
      <c r="B11" s="2306"/>
      <c r="C11" s="2306"/>
      <c r="D11" s="2307"/>
      <c r="E11" s="978">
        <v>0</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7862018</v>
      </c>
      <c r="F19" s="1822"/>
      <c r="G19" s="1824">
        <f>'Expenditures 15-22'!K33-SUM('Expenditures 15-22'!G33,'Expenditures 15-22'!I33)+'Expenditures 15-22'!D229</f>
        <v>7862018</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3714380</v>
      </c>
      <c r="F21" s="1825"/>
      <c r="G21" s="1828">
        <f>'Expenditures 15-22'!K42-SUM('Expenditures 15-22'!G42,'Expenditures 15-22'!I42)+'Expenditures 15-22'!K120-SUM('Expenditures 15-22'!G120,'Expenditures 15-22'!I120)+'Expenditures 15-22'!K180-SUM('Expenditures 15-22'!G180,'Expenditures 15-22'!I180)+'Expenditures 15-22'!D238</f>
        <v>3714380</v>
      </c>
      <c r="H21" s="988"/>
      <c r="I21" s="162"/>
    </row>
    <row r="22" spans="1:9" s="669" customFormat="1" ht="12" customHeight="1" x14ac:dyDescent="0.2">
      <c r="A22" s="995" t="s">
        <v>585</v>
      </c>
      <c r="B22" s="996"/>
      <c r="C22" s="994">
        <v>2200</v>
      </c>
      <c r="D22" s="1825"/>
      <c r="E22" s="1827">
        <f>'Expenditures 15-22'!K47-SUM('Expenditures 15-22'!G47,'Expenditures 15-22'!I47)+'Expenditures 15-22'!D243</f>
        <v>96612</v>
      </c>
      <c r="F22" s="1825"/>
      <c r="G22" s="1828">
        <f>'Expenditures 15-22'!K47-SUM('Expenditures 15-22'!G47,'Expenditures 15-22'!I47)+'Expenditures 15-22'!D243</f>
        <v>96612</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1875210</v>
      </c>
      <c r="F23" s="1825"/>
      <c r="G23" s="1827">
        <f>'Expenditures 15-22'!K53-SUM('Expenditures 15-22'!G53,'Expenditures 15-22'!I53)+'Expenditures 15-22'!D257+'Expenditures 15-22'!K330-SUM('Expenditures 15-22'!G330,'Expenditures 15-22'!I330)</f>
        <v>1875210</v>
      </c>
      <c r="H23" s="988"/>
      <c r="I23" s="162"/>
    </row>
    <row r="24" spans="1:9" s="669" customFormat="1" ht="12" customHeight="1" x14ac:dyDescent="0.2">
      <c r="A24" s="995" t="s">
        <v>587</v>
      </c>
      <c r="B24" s="996"/>
      <c r="C24" s="994">
        <v>2400</v>
      </c>
      <c r="D24" s="1825"/>
      <c r="E24" s="1827">
        <f>'Expenditures 15-22'!K57-SUM('Expenditures 15-22'!G57,'Expenditures 15-22'!I57)+'Expenditures 15-22'!D261</f>
        <v>0</v>
      </c>
      <c r="F24" s="1825"/>
      <c r="G24" s="1828">
        <f>'Expenditures 15-22'!K57-SUM('Expenditures 15-22'!G57,'Expenditures 15-22'!I57)+'Expenditures 15-22'!D261</f>
        <v>0</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0</v>
      </c>
      <c r="E27" s="1827">
        <f>E8</f>
        <v>0</v>
      </c>
      <c r="F27" s="1827">
        <f>'Expenditures 15-22'!K60-SUM('Expenditures 15-22'!G60,'Expenditures 15-22'!I60)+'Expenditures 15-22'!D264-E8</f>
        <v>0</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2270</v>
      </c>
      <c r="F28" s="1829">
        <f>'Expenditures 15-22'!K61-SUM('Expenditures 15-22'!G61,'Expenditures 15-22'!I61)+'Expenditures 15-22'!K124-SUM('Expenditures 15-22'!G124,'Expenditures 15-22'!I124)+'Expenditures 15-22'!D266-E9</f>
        <v>2270</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0</v>
      </c>
      <c r="F29" s="1825"/>
      <c r="G29" s="1828">
        <f>'Expenditures 15-22'!K62-SUM('Expenditures 15-22'!G62,'Expenditures 15-22'!I62)+'Expenditures 15-22'!K125-SUM('Expenditures 15-22'!G125,'Expenditures 15-22'!I125)+'Expenditures 15-22'!K182-SUM('Expenditures 15-22'!G182,'Expenditures 15-22'!I182)+'Expenditures 15-22'!D267</f>
        <v>0</v>
      </c>
      <c r="H29" s="986"/>
    </row>
    <row r="30" spans="1:9" ht="12" customHeight="1" x14ac:dyDescent="0.2">
      <c r="A30" s="995" t="s">
        <v>102</v>
      </c>
      <c r="B30" s="998"/>
      <c r="C30" s="994">
        <v>2560</v>
      </c>
      <c r="D30" s="1825"/>
      <c r="E30" s="1827">
        <f>'Expenditures 15-22'!K63-SUM('Expenditures 15-22'!G63,'Expenditures 15-22'!I63)+'Expenditures 15-22'!D268-E10</f>
        <v>-59705</v>
      </c>
      <c r="F30" s="1825"/>
      <c r="G30" s="1827">
        <f>'Expenditures 15-22'!K63-SUM('Expenditures 15-22'!G63,'Expenditures 15-22'!I63)+'Expenditures 15-22'!D268-E10</f>
        <v>-59705</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1927</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0</v>
      </c>
      <c r="E41" s="1829">
        <f>SUM(E19:E40)</f>
        <v>13490785</v>
      </c>
      <c r="F41" s="1829">
        <f>SUM(F19:F39)</f>
        <v>2270</v>
      </c>
      <c r="G41" s="1829">
        <f>SUM(G19:G40)</f>
        <v>13488515</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0</v>
      </c>
      <c r="F43" s="1830" t="s">
        <v>495</v>
      </c>
      <c r="G43" s="1831">
        <f>F41</f>
        <v>2270</v>
      </c>
    </row>
    <row r="44" spans="1:7" ht="12" customHeight="1" x14ac:dyDescent="0.2">
      <c r="A44" s="988"/>
      <c r="B44" s="162"/>
      <c r="C44" s="1002"/>
      <c r="D44" s="1830" t="s">
        <v>494</v>
      </c>
      <c r="E44" s="1831">
        <f>E41</f>
        <v>13490785</v>
      </c>
      <c r="F44" s="1830" t="s">
        <v>494</v>
      </c>
      <c r="G44" s="1831">
        <f>G41</f>
        <v>13488515</v>
      </c>
    </row>
    <row r="45" spans="1:7" ht="12" customHeight="1" x14ac:dyDescent="0.2">
      <c r="A45" s="988"/>
      <c r="B45" s="162"/>
      <c r="C45" s="162"/>
      <c r="D45" s="1832" t="s">
        <v>1063</v>
      </c>
      <c r="E45" s="1833">
        <f>(E43/E44)</f>
        <v>0</v>
      </c>
      <c r="F45" s="1832" t="s">
        <v>1063</v>
      </c>
      <c r="G45" s="1833">
        <f>(G43/G44)</f>
        <v>1.6829132043075164E-4</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45" sqref="A4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1" t="s">
        <v>1446</v>
      </c>
      <c r="B1" s="2311"/>
      <c r="C1" s="2311"/>
      <c r="D1" s="2311"/>
      <c r="E1" s="2311"/>
      <c r="F1" s="2311"/>
    </row>
    <row r="2" spans="1:10" x14ac:dyDescent="0.2">
      <c r="A2" s="1912" t="s">
        <v>2043</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2" t="s">
        <v>1627</v>
      </c>
      <c r="B5" s="2313"/>
      <c r="C5" s="2314"/>
      <c r="D5" s="2314"/>
      <c r="E5" s="2314"/>
      <c r="F5" s="2314"/>
    </row>
    <row r="6" spans="1:10" ht="12" customHeight="1" x14ac:dyDescent="0.25">
      <c r="A6" s="1875"/>
      <c r="B6" s="1876"/>
      <c r="C6" s="2315" t="str">
        <f>COVER!A17</f>
        <v>Southern Will County Cooperative for Special Education</v>
      </c>
      <c r="D6" s="2315"/>
      <c r="E6" s="2315"/>
      <c r="F6" s="1877"/>
    </row>
    <row r="7" spans="1:10" ht="11.25" customHeight="1" thickBot="1" x14ac:dyDescent="0.3">
      <c r="A7" s="1875"/>
      <c r="B7" s="1876"/>
      <c r="C7" s="2316" t="str">
        <f>COVER!A13</f>
        <v>56-099-255U-61</v>
      </c>
      <c r="D7" s="2316"/>
      <c r="E7" s="2316"/>
      <c r="F7" s="1877"/>
    </row>
    <row r="8" spans="1:10" ht="25.5" customHeight="1" thickBot="1" x14ac:dyDescent="0.25">
      <c r="A8" s="1918" t="s">
        <v>2020</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t="s">
        <v>2095</v>
      </c>
      <c r="D14" s="1890" t="s">
        <v>2095</v>
      </c>
      <c r="E14" s="1893"/>
      <c r="F14" s="1892" t="s">
        <v>2096</v>
      </c>
      <c r="H14" s="1903">
        <f t="shared" si="0"/>
        <v>5</v>
      </c>
      <c r="I14" s="1903">
        <f t="shared" si="1"/>
        <v>5</v>
      </c>
      <c r="J14" s="1903">
        <f t="shared" si="2"/>
        <v>0</v>
      </c>
    </row>
    <row r="15" spans="1:10" ht="12" customHeight="1" x14ac:dyDescent="0.2">
      <c r="A15" s="1888" t="s">
        <v>1454</v>
      </c>
      <c r="B15" s="1889"/>
      <c r="C15" s="1890" t="s">
        <v>2095</v>
      </c>
      <c r="D15" s="1890" t="s">
        <v>2095</v>
      </c>
      <c r="E15" s="1893"/>
      <c r="F15" s="1892" t="s">
        <v>2097</v>
      </c>
      <c r="H15" s="1903">
        <f t="shared" si="0"/>
        <v>5</v>
      </c>
      <c r="I15" s="1903">
        <f t="shared" si="1"/>
        <v>5</v>
      </c>
      <c r="J15" s="1903">
        <f t="shared" si="2"/>
        <v>0</v>
      </c>
    </row>
    <row r="16" spans="1:10" ht="12" customHeight="1" x14ac:dyDescent="0.2">
      <c r="A16" s="1888" t="s">
        <v>1455</v>
      </c>
      <c r="B16" s="1889"/>
      <c r="C16" s="1890" t="s">
        <v>2095</v>
      </c>
      <c r="D16" s="1890" t="s">
        <v>2095</v>
      </c>
      <c r="E16" s="1893"/>
      <c r="F16" s="1892" t="s">
        <v>2098</v>
      </c>
      <c r="H16" s="1903">
        <f t="shared" si="0"/>
        <v>5</v>
      </c>
      <c r="I16" s="1903">
        <f t="shared" si="1"/>
        <v>5</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t="s">
        <v>2095</v>
      </c>
      <c r="D18" s="1890" t="s">
        <v>2095</v>
      </c>
      <c r="E18" s="1893"/>
      <c r="F18" s="1892" t="s">
        <v>2099</v>
      </c>
      <c r="H18" s="1903">
        <f t="shared" si="0"/>
        <v>5</v>
      </c>
      <c r="I18" s="1903">
        <f t="shared" si="1"/>
        <v>5</v>
      </c>
      <c r="J18" s="1903">
        <f t="shared" si="2"/>
        <v>0</v>
      </c>
    </row>
    <row r="19" spans="1:12" ht="12" customHeight="1" x14ac:dyDescent="0.2">
      <c r="A19" s="1888" t="s">
        <v>1608</v>
      </c>
      <c r="B19" s="1889"/>
      <c r="C19" s="1890" t="s">
        <v>2095</v>
      </c>
      <c r="D19" s="1890" t="s">
        <v>2095</v>
      </c>
      <c r="E19" s="1893"/>
      <c r="F19" s="1892" t="s">
        <v>2100</v>
      </c>
      <c r="H19" s="1903">
        <f t="shared" si="0"/>
        <v>5</v>
      </c>
      <c r="I19" s="1903">
        <f t="shared" si="1"/>
        <v>5</v>
      </c>
      <c r="J19" s="1903">
        <f t="shared" si="2"/>
        <v>0</v>
      </c>
    </row>
    <row r="20" spans="1:12" ht="12" customHeight="1" x14ac:dyDescent="0.2">
      <c r="A20" s="1888" t="s">
        <v>1609</v>
      </c>
      <c r="B20" s="1889"/>
      <c r="C20" s="1890" t="s">
        <v>2095</v>
      </c>
      <c r="D20" s="1890" t="s">
        <v>2095</v>
      </c>
      <c r="E20" s="1893"/>
      <c r="F20" s="1892" t="s">
        <v>2101</v>
      </c>
      <c r="H20" s="1903">
        <f t="shared" si="0"/>
        <v>5</v>
      </c>
      <c r="I20" s="1903">
        <f t="shared" si="1"/>
        <v>5</v>
      </c>
      <c r="J20" s="1903">
        <f t="shared" si="2"/>
        <v>0</v>
      </c>
    </row>
    <row r="21" spans="1:12" ht="12" customHeight="1" x14ac:dyDescent="0.2">
      <c r="A21" s="1888" t="s">
        <v>1610</v>
      </c>
      <c r="B21" s="1889"/>
      <c r="C21" s="1890" t="s">
        <v>2095</v>
      </c>
      <c r="D21" s="1890" t="s">
        <v>2095</v>
      </c>
      <c r="E21" s="1893"/>
      <c r="F21" s="1892" t="s">
        <v>2102</v>
      </c>
      <c r="H21" s="1903">
        <f t="shared" si="0"/>
        <v>5</v>
      </c>
      <c r="I21" s="1903">
        <f t="shared" si="1"/>
        <v>5</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t="s">
        <v>2095</v>
      </c>
      <c r="D24" s="1890" t="s">
        <v>2095</v>
      </c>
      <c r="E24" s="1893"/>
      <c r="F24" s="1892" t="s">
        <v>2103</v>
      </c>
      <c r="H24" s="1903">
        <f t="shared" si="0"/>
        <v>5</v>
      </c>
      <c r="I24" s="1903">
        <f t="shared" si="1"/>
        <v>5</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2095</v>
      </c>
      <c r="D26" s="1890" t="s">
        <v>2095</v>
      </c>
      <c r="E26" s="1893"/>
      <c r="F26" s="1892" t="s">
        <v>2104</v>
      </c>
      <c r="H26" s="1903">
        <f t="shared" si="0"/>
        <v>5</v>
      </c>
      <c r="I26" s="1903">
        <f t="shared" si="1"/>
        <v>5</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t="s">
        <v>2095</v>
      </c>
      <c r="D29" s="1890" t="s">
        <v>2095</v>
      </c>
      <c r="E29" s="1893"/>
      <c r="F29" s="1892" t="s">
        <v>2105</v>
      </c>
      <c r="H29" s="1903">
        <f t="shared" si="0"/>
        <v>5</v>
      </c>
      <c r="I29" s="1903">
        <f t="shared" si="1"/>
        <v>5</v>
      </c>
      <c r="J29" s="1903">
        <f t="shared" si="2"/>
        <v>0</v>
      </c>
    </row>
    <row r="30" spans="1:12" ht="12" customHeight="1" x14ac:dyDescent="0.2">
      <c r="A30" s="1888" t="s">
        <v>1619</v>
      </c>
      <c r="B30" s="1889"/>
      <c r="C30" s="1890" t="s">
        <v>2095</v>
      </c>
      <c r="D30" s="1890" t="s">
        <v>2095</v>
      </c>
      <c r="E30" s="1893"/>
      <c r="F30" s="1892" t="s">
        <v>2106</v>
      </c>
      <c r="H30" s="1903">
        <f t="shared" si="0"/>
        <v>5</v>
      </c>
      <c r="I30" s="1903">
        <f t="shared" si="1"/>
        <v>5</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55</v>
      </c>
      <c r="I34" s="1903">
        <f>SUM(I11:I32)</f>
        <v>55</v>
      </c>
      <c r="J34" s="1903">
        <f>SUM(J11:J32)</f>
        <v>0</v>
      </c>
      <c r="K34" s="1903">
        <f>SUM(H34:J34)</f>
        <v>110</v>
      </c>
    </row>
    <row r="35" spans="1:11" ht="12" customHeight="1" x14ac:dyDescent="0.2">
      <c r="A35" s="1896" t="s">
        <v>1459</v>
      </c>
      <c r="B35" s="1897"/>
      <c r="C35" s="2317"/>
      <c r="D35" s="2317"/>
      <c r="E35" s="2317"/>
      <c r="F35" s="2318"/>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22"/>
      <c r="B38" s="2323"/>
      <c r="C38" s="2323"/>
      <c r="D38" s="2323"/>
      <c r="E38" s="2323"/>
      <c r="F38" s="2324"/>
    </row>
    <row r="39" spans="1:11" ht="4.5" hidden="1" customHeight="1" x14ac:dyDescent="0.2">
      <c r="A39" s="1898"/>
      <c r="B39" s="1898"/>
      <c r="C39" s="1898"/>
      <c r="D39" s="1898"/>
      <c r="E39" s="1898"/>
      <c r="F39" s="1898"/>
    </row>
    <row r="40" spans="1:11" s="1895" customFormat="1" ht="12" customHeight="1" x14ac:dyDescent="0.25">
      <c r="A40" s="1899" t="s">
        <v>1458</v>
      </c>
      <c r="B40" s="1900"/>
      <c r="C40" s="2325"/>
      <c r="D40" s="2325"/>
      <c r="E40" s="2325"/>
      <c r="F40" s="2326"/>
      <c r="H40" s="1904"/>
      <c r="I40" s="1904"/>
      <c r="J40" s="1904"/>
      <c r="K40" s="1904"/>
    </row>
    <row r="41" spans="1:11" s="1895" customFormat="1" ht="12" customHeight="1" x14ac:dyDescent="0.25">
      <c r="A41" s="2327" t="s">
        <v>2107</v>
      </c>
      <c r="B41" s="2328"/>
      <c r="C41" s="2328"/>
      <c r="D41" s="2328"/>
      <c r="E41" s="2328"/>
      <c r="F41" s="2329"/>
      <c r="H41" s="1904"/>
      <c r="I41" s="1904"/>
      <c r="J41" s="1904"/>
      <c r="K41" s="1904"/>
    </row>
    <row r="42" spans="1:11" s="1895" customFormat="1" ht="12" customHeight="1" x14ac:dyDescent="0.25">
      <c r="A42" s="2327" t="s">
        <v>2108</v>
      </c>
      <c r="B42" s="2328"/>
      <c r="C42" s="2328"/>
      <c r="D42" s="2328"/>
      <c r="E42" s="2328"/>
      <c r="F42" s="2329"/>
      <c r="H42" s="1904"/>
      <c r="I42" s="1904"/>
      <c r="J42" s="1904"/>
      <c r="K42" s="1904"/>
    </row>
    <row r="43" spans="1:11" s="1895" customFormat="1" ht="15" x14ac:dyDescent="0.25">
      <c r="A43" s="2319" t="s">
        <v>2109</v>
      </c>
      <c r="B43" s="2320"/>
      <c r="C43" s="2320"/>
      <c r="D43" s="2320"/>
      <c r="E43" s="2320"/>
      <c r="F43" s="2321"/>
      <c r="H43" s="1904"/>
      <c r="I43" s="1904"/>
      <c r="J43" s="1904"/>
      <c r="K43" s="1904"/>
    </row>
    <row r="44" spans="1:11" s="1895" customFormat="1" ht="12" hidden="1" customHeight="1" x14ac:dyDescent="0.25">
      <c r="A44" s="2319"/>
      <c r="B44" s="2320"/>
      <c r="C44" s="2320"/>
      <c r="D44" s="2320"/>
      <c r="E44" s="2320"/>
      <c r="F44" s="2321"/>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5" t="str">
        <f>COVER!A17</f>
        <v>Southern Will County Cooperative for Special Education</v>
      </c>
      <c r="J6" s="2336"/>
      <c r="Q6" s="1686"/>
    </row>
    <row r="7" spans="1:17" x14ac:dyDescent="0.2">
      <c r="A7" s="2337" t="s">
        <v>924</v>
      </c>
      <c r="B7" s="2338"/>
      <c r="C7" s="2338"/>
      <c r="D7" s="2338"/>
      <c r="E7" s="2339"/>
      <c r="F7" s="1018"/>
      <c r="G7" s="1010"/>
      <c r="H7" s="1017" t="s">
        <v>390</v>
      </c>
      <c r="I7" s="2340" t="str">
        <f>COVER!A13</f>
        <v>56-099-255U-61</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1875765</v>
      </c>
      <c r="F12" s="1040"/>
      <c r="G12" s="1834">
        <f t="shared" ref="G12:G18" si="0">SUM(E12:F12)</f>
        <v>1875765</v>
      </c>
      <c r="H12" s="1041"/>
      <c r="I12" s="1040"/>
      <c r="J12" s="1834">
        <f t="shared" ref="J12:J18" si="1">SUM(H12:I12)</f>
        <v>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1875765</v>
      </c>
      <c r="F19" s="1836">
        <f t="shared" si="2"/>
        <v>0</v>
      </c>
      <c r="G19" s="1836">
        <f t="shared" si="2"/>
        <v>1875765</v>
      </c>
      <c r="H19" s="1836">
        <f t="shared" si="2"/>
        <v>0</v>
      </c>
      <c r="I19" s="1836">
        <f t="shared" si="2"/>
        <v>0</v>
      </c>
      <c r="J19" s="1836">
        <f t="shared" si="2"/>
        <v>0</v>
      </c>
    </row>
    <row r="20" spans="1:10" ht="13.5" thickTop="1" x14ac:dyDescent="0.2">
      <c r="A20" s="1036">
        <v>9</v>
      </c>
      <c r="B20" s="2347" t="s">
        <v>1703</v>
      </c>
      <c r="C20" s="2347"/>
      <c r="D20" s="2348"/>
      <c r="E20" s="1047"/>
      <c r="F20" s="1047"/>
      <c r="G20" s="1047"/>
      <c r="H20" s="1047"/>
      <c r="I20" s="1047"/>
      <c r="J20" s="1837" t="str">
        <f>IF(AND(G19&gt;0,J19&gt;0),(((J19-G19)/G19)),"Enter Budget Data")</f>
        <v>Enter Budget Data</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1940</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8" sqref="B8"/>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2110</v>
      </c>
    </row>
    <row r="6" spans="1:2" x14ac:dyDescent="0.2">
      <c r="A6" s="1069">
        <v>2</v>
      </c>
      <c r="B6" s="329" t="s">
        <v>2111</v>
      </c>
    </row>
    <row r="7" spans="1:2" x14ac:dyDescent="0.2">
      <c r="A7" s="1069">
        <v>3</v>
      </c>
      <c r="B7" s="329" t="s">
        <v>2114</v>
      </c>
    </row>
    <row r="8" spans="1:2" x14ac:dyDescent="0.2">
      <c r="A8" s="1069">
        <v>4</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Southern Will County Cooperative for Special Education</v>
      </c>
    </row>
    <row r="65" spans="2:2" x14ac:dyDescent="0.2">
      <c r="B65" s="1071" t="str">
        <f>COVER!A13</f>
        <v>56-099-255U-61</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1967</v>
      </c>
      <c r="C4" s="162" t="s">
        <v>1231</v>
      </c>
      <c r="D4" s="169" t="s">
        <v>10</v>
      </c>
      <c r="E4" s="170" t="s">
        <v>22</v>
      </c>
    </row>
    <row r="5" spans="1:5" x14ac:dyDescent="0.2">
      <c r="A5" s="168" t="s">
        <v>1969</v>
      </c>
      <c r="C5" s="162" t="s">
        <v>1231</v>
      </c>
      <c r="D5" s="169" t="s">
        <v>10</v>
      </c>
      <c r="E5" s="170" t="s">
        <v>22</v>
      </c>
    </row>
    <row r="6" spans="1:5" x14ac:dyDescent="0.2">
      <c r="A6" s="168" t="s">
        <v>1968</v>
      </c>
      <c r="C6" s="162" t="s">
        <v>1231</v>
      </c>
      <c r="D6" s="167" t="s">
        <v>11</v>
      </c>
      <c r="E6" s="170" t="s">
        <v>998</v>
      </c>
    </row>
    <row r="7" spans="1:5" x14ac:dyDescent="0.2">
      <c r="A7" s="168" t="s">
        <v>1970</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1971</v>
      </c>
      <c r="C11" s="162" t="s">
        <v>1231</v>
      </c>
      <c r="D11" s="169" t="s">
        <v>14</v>
      </c>
      <c r="E11" s="170" t="s">
        <v>1218</v>
      </c>
    </row>
    <row r="12" spans="1:5" x14ac:dyDescent="0.2">
      <c r="B12" s="169" t="s">
        <v>1972</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1973</v>
      </c>
      <c r="C15" s="162" t="s">
        <v>1231</v>
      </c>
      <c r="D15" s="169" t="s">
        <v>17</v>
      </c>
      <c r="E15" s="170" t="s">
        <v>657</v>
      </c>
    </row>
    <row r="16" spans="1:5" x14ac:dyDescent="0.2">
      <c r="A16" s="172"/>
      <c r="B16" s="162" t="s">
        <v>1974</v>
      </c>
      <c r="C16" s="162" t="s">
        <v>1231</v>
      </c>
      <c r="D16" s="169" t="s">
        <v>702</v>
      </c>
      <c r="E16" s="170" t="s">
        <v>1100</v>
      </c>
    </row>
    <row r="17" spans="1:5" x14ac:dyDescent="0.2">
      <c r="B17" s="167" t="s">
        <v>1045</v>
      </c>
      <c r="C17" s="162" t="s">
        <v>1231</v>
      </c>
    </row>
    <row r="18" spans="1:5" x14ac:dyDescent="0.2">
      <c r="B18" s="167" t="s">
        <v>1980</v>
      </c>
      <c r="D18" s="169" t="s">
        <v>18</v>
      </c>
      <c r="E18" s="170" t="s">
        <v>1101</v>
      </c>
    </row>
    <row r="19" spans="1:5" x14ac:dyDescent="0.2">
      <c r="A19" s="168" t="s">
        <v>1161</v>
      </c>
      <c r="C19" s="162" t="s">
        <v>1231</v>
      </c>
      <c r="D19" s="169"/>
      <c r="E19" s="171"/>
    </row>
    <row r="20" spans="1:5" x14ac:dyDescent="0.2">
      <c r="B20" s="167" t="s">
        <v>1975</v>
      </c>
      <c r="C20" s="162" t="s">
        <v>1231</v>
      </c>
      <c r="D20" s="169" t="s">
        <v>19</v>
      </c>
      <c r="E20" s="170" t="s">
        <v>53</v>
      </c>
    </row>
    <row r="21" spans="1:5" x14ac:dyDescent="0.2">
      <c r="B21" s="167" t="s">
        <v>1976</v>
      </c>
      <c r="C21" s="162" t="s">
        <v>1231</v>
      </c>
      <c r="D21" s="169" t="s">
        <v>20</v>
      </c>
      <c r="E21" s="170" t="s">
        <v>1708</v>
      </c>
    </row>
    <row r="22" spans="1:5" x14ac:dyDescent="0.2">
      <c r="A22" s="168"/>
      <c r="B22" s="162" t="s">
        <v>1964</v>
      </c>
      <c r="C22" s="162" t="s">
        <v>1231</v>
      </c>
      <c r="D22" s="167" t="s">
        <v>1966</v>
      </c>
      <c r="E22" s="1859" t="s">
        <v>1709</v>
      </c>
    </row>
    <row r="23" spans="1:5" x14ac:dyDescent="0.2">
      <c r="A23" s="168"/>
      <c r="B23" s="162" t="s">
        <v>1965</v>
      </c>
      <c r="D23" s="167" t="s">
        <v>658</v>
      </c>
      <c r="E23" s="1859" t="s">
        <v>1016</v>
      </c>
    </row>
    <row r="24" spans="1:5" x14ac:dyDescent="0.2">
      <c r="A24" s="168" t="s">
        <v>1707</v>
      </c>
      <c r="C24" s="162" t="s">
        <v>1231</v>
      </c>
      <c r="D24" s="167" t="s">
        <v>1460</v>
      </c>
      <c r="E24" s="170" t="s">
        <v>1017</v>
      </c>
    </row>
    <row r="25" spans="1:5" x14ac:dyDescent="0.2">
      <c r="A25" s="168" t="s">
        <v>1977</v>
      </c>
      <c r="C25" s="162" t="s">
        <v>1231</v>
      </c>
      <c r="D25" s="169" t="s">
        <v>21</v>
      </c>
      <c r="E25" s="170" t="s">
        <v>1102</v>
      </c>
    </row>
    <row r="26" spans="1:5" x14ac:dyDescent="0.2">
      <c r="A26" s="168" t="s">
        <v>1978</v>
      </c>
      <c r="C26" s="162" t="s">
        <v>1231</v>
      </c>
      <c r="D26" s="169" t="s">
        <v>584</v>
      </c>
      <c r="E26" s="170" t="s">
        <v>1103</v>
      </c>
    </row>
    <row r="27" spans="1:5" x14ac:dyDescent="0.2">
      <c r="A27" s="168" t="s">
        <v>1979</v>
      </c>
      <c r="C27" s="162" t="s">
        <v>1231</v>
      </c>
      <c r="D27" s="169" t="s">
        <v>578</v>
      </c>
      <c r="E27" s="170" t="s">
        <v>704</v>
      </c>
    </row>
    <row r="28" spans="1:5" x14ac:dyDescent="0.2">
      <c r="A28" s="168" t="s">
        <v>1981</v>
      </c>
      <c r="D28" s="169" t="s">
        <v>705</v>
      </c>
      <c r="E28" s="170" t="s">
        <v>1433</v>
      </c>
    </row>
    <row r="29" spans="1:5" x14ac:dyDescent="0.2">
      <c r="A29" s="168" t="s">
        <v>1982</v>
      </c>
      <c r="D29" s="169" t="s">
        <v>1461</v>
      </c>
      <c r="E29" s="170" t="s">
        <v>1442</v>
      </c>
    </row>
    <row r="30" spans="1:5" x14ac:dyDescent="0.2">
      <c r="A30" s="173" t="s">
        <v>1983</v>
      </c>
      <c r="C30" s="162" t="s">
        <v>1231</v>
      </c>
      <c r="D30" s="169" t="s">
        <v>42</v>
      </c>
      <c r="E30" s="170" t="s">
        <v>1039</v>
      </c>
    </row>
    <row r="31" spans="1:5" x14ac:dyDescent="0.2">
      <c r="A31" s="168" t="s">
        <v>1602</v>
      </c>
      <c r="C31" s="162" t="s">
        <v>1231</v>
      </c>
      <c r="D31" s="167"/>
      <c r="E31" s="171"/>
    </row>
    <row r="32" spans="1:5" x14ac:dyDescent="0.2">
      <c r="B32" s="167" t="s">
        <v>1984</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2014</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7" t="s">
        <v>1876</v>
      </c>
    </row>
    <row r="60" spans="1:3" x14ac:dyDescent="0.2">
      <c r="A60" s="196"/>
      <c r="B60" s="1507"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9"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8"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A13" sqref="A13"/>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11" dvAspect="DVASPECT_ICON" shapeId="35841"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Exch.Document.11" dvAspect="DVASPECT_ICON" shapeId="35841" r:id="rId4"/>
      </mc:Fallback>
    </mc:AlternateContent>
    <mc:AlternateContent xmlns:mc="http://schemas.openxmlformats.org/markup-compatibility/2006">
      <mc:Choice Requires="x14">
        <oleObject progId="AcroExch.Document.11" dvAspect="DVASPECT_ICON" shapeId="35842" r:id="rId6">
          <objectPr defaultSize="0" r:id="rId5">
            <anchor moveWithCells="1">
              <from>
                <xdr:col>0</xdr:col>
                <xdr:colOff>0</xdr:colOff>
                <xdr:row>4</xdr:row>
                <xdr:rowOff>0</xdr:rowOff>
              </from>
              <to>
                <xdr:col>1</xdr:col>
                <xdr:colOff>790575</xdr:colOff>
                <xdr:row>8</xdr:row>
                <xdr:rowOff>38100</xdr:rowOff>
              </to>
            </anchor>
          </objectPr>
        </oleObject>
      </mc:Choice>
      <mc:Fallback>
        <oleObject progId="AcroExch.Document.11" dvAspect="DVASPECT_ICON" shapeId="35842" r:id="rId6"/>
      </mc:Fallback>
    </mc:AlternateContent>
    <mc:AlternateContent xmlns:mc="http://schemas.openxmlformats.org/markup-compatibility/2006">
      <mc:Choice Requires="x14">
        <oleObject progId="AcroExch.Document.11" dvAspect="DVASPECT_ICON" shapeId="35843" r:id="rId7">
          <objectPr defaultSize="0" r:id="rId5">
            <anchor moveWithCells="1">
              <from>
                <xdr:col>0</xdr:col>
                <xdr:colOff>0</xdr:colOff>
                <xdr:row>8</xdr:row>
                <xdr:rowOff>0</xdr:rowOff>
              </from>
              <to>
                <xdr:col>1</xdr:col>
                <xdr:colOff>790575</xdr:colOff>
                <xdr:row>12</xdr:row>
                <xdr:rowOff>38100</xdr:rowOff>
              </to>
            </anchor>
          </objectPr>
        </oleObject>
      </mc:Choice>
      <mc:Fallback>
        <oleObject progId="AcroExch.Document.11" dvAspect="DVASPECT_ICON" shapeId="35843" r:id="rId7"/>
      </mc:Fallback>
    </mc:AlternateContent>
    <mc:AlternateContent xmlns:mc="http://schemas.openxmlformats.org/markup-compatibility/2006">
      <mc:Choice Requires="x14">
        <oleObject progId="AcroExch.Document.11" dvAspect="DVASPECT_ICON" shapeId="35844" r:id="rId8">
          <objectPr defaultSize="0" r:id="rId5">
            <anchor moveWithCells="1">
              <from>
                <xdr:col>0</xdr:col>
                <xdr:colOff>0</xdr:colOff>
                <xdr:row>12</xdr:row>
                <xdr:rowOff>0</xdr:rowOff>
              </from>
              <to>
                <xdr:col>1</xdr:col>
                <xdr:colOff>790575</xdr:colOff>
                <xdr:row>15</xdr:row>
                <xdr:rowOff>200025</xdr:rowOff>
              </to>
            </anchor>
          </objectPr>
        </oleObject>
      </mc:Choice>
      <mc:Fallback>
        <oleObject progId="AcroExch.Document.11" dvAspect="DVASPECT_ICON" shapeId="35844"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2051</v>
      </c>
      <c r="B4" s="2375"/>
      <c r="C4" s="2375"/>
      <c r="D4" s="2375"/>
      <c r="E4" s="2375"/>
      <c r="F4" s="2376"/>
      <c r="G4" s="1075"/>
      <c r="H4" s="1075"/>
    </row>
    <row r="5" spans="1:8" ht="14.25" customHeight="1" x14ac:dyDescent="0.2">
      <c r="A5" s="2377" t="s">
        <v>2052</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15493127</v>
      </c>
      <c r="C8" s="1838">
        <f>'Acct Summary 7-8'!D8</f>
        <v>0</v>
      </c>
      <c r="D8" s="1838">
        <f>'Acct Summary 7-8'!F8</f>
        <v>0</v>
      </c>
      <c r="E8" s="1838">
        <f>'Acct Summary 7-8'!I8</f>
        <v>0</v>
      </c>
      <c r="F8" s="1838">
        <f>SUM(B8:E8)</f>
        <v>15493127</v>
      </c>
    </row>
    <row r="9" spans="1:8" s="1080" customFormat="1" ht="14.25" customHeight="1" thickBot="1" x14ac:dyDescent="0.25">
      <c r="A9" s="1079" t="s">
        <v>1436</v>
      </c>
      <c r="B9" s="1839">
        <f>'Acct Summary 7-8'!C17</f>
        <v>14982325</v>
      </c>
      <c r="C9" s="1839">
        <f>'Acct Summary 7-8'!D17</f>
        <v>0</v>
      </c>
      <c r="D9" s="1839">
        <f>'Acct Summary 7-8'!F17</f>
        <v>0</v>
      </c>
      <c r="E9" s="1838"/>
      <c r="F9" s="1838">
        <f>SUM(B9:E9)</f>
        <v>14982325</v>
      </c>
    </row>
    <row r="10" spans="1:8" s="1080" customFormat="1" ht="14.25" thickTop="1" thickBot="1" x14ac:dyDescent="0.25">
      <c r="A10" s="1081" t="s">
        <v>1437</v>
      </c>
      <c r="B10" s="1840">
        <f>(B8-B9)</f>
        <v>510802</v>
      </c>
      <c r="C10" s="1840">
        <f>(C8-C9)</f>
        <v>0</v>
      </c>
      <c r="D10" s="1840">
        <f>(D8-D9)</f>
        <v>0</v>
      </c>
      <c r="E10" s="1839">
        <f>(E8-E9)</f>
        <v>0</v>
      </c>
      <c r="F10" s="1841">
        <f>SUM(F8-F9)</f>
        <v>510802</v>
      </c>
    </row>
    <row r="11" spans="1:8" s="1080" customFormat="1" ht="14.25" thickTop="1" thickBot="1" x14ac:dyDescent="0.25">
      <c r="A11" s="1082" t="s">
        <v>1785</v>
      </c>
      <c r="B11" s="1842">
        <f>'Acct Summary 7-8'!C81</f>
        <v>4094783</v>
      </c>
      <c r="C11" s="1842">
        <f>'Acct Summary 7-8'!D81</f>
        <v>0</v>
      </c>
      <c r="D11" s="1842">
        <f>'Acct Summary 7-8'!F81</f>
        <v>0</v>
      </c>
      <c r="E11" s="1842">
        <f>'Acct Summary 7-8'!I81</f>
        <v>0</v>
      </c>
      <c r="F11" s="1843">
        <f>SUM(B11:E11)</f>
        <v>4094783</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32" colorId="8" zoomScale="110" zoomScaleNormal="110" workbookViewId="0">
      <selection activeCell="C22" sqref="C22:D22"/>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1942</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2044</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2045</v>
      </c>
      <c r="D66" s="1126"/>
    </row>
    <row r="67" spans="1:4" x14ac:dyDescent="0.2">
      <c r="A67" s="1120"/>
      <c r="B67" s="1141"/>
      <c r="C67" s="1148" t="s">
        <v>1079</v>
      </c>
      <c r="D67" s="1126"/>
    </row>
    <row r="68" spans="1:4" x14ac:dyDescent="0.2">
      <c r="A68" s="1101"/>
      <c r="B68" s="1111"/>
      <c r="C68" s="1103" t="s">
        <v>2046</v>
      </c>
      <c r="D68" s="1125" t="str">
        <f>IF('Short-Term Long-Term Debt 24'!F49=SUM(,'Acct Summary 7-8'!C33:K33),"OK","ERROR!")</f>
        <v>OK</v>
      </c>
    </row>
    <row r="69" spans="1:4" x14ac:dyDescent="0.2">
      <c r="A69" s="1101"/>
      <c r="B69" s="1111"/>
      <c r="C69" s="1103" t="s">
        <v>2047</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2048</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2049</v>
      </c>
      <c r="D78" s="1125" t="str">
        <f>IF(ISNUMBER('Acct Summary 7-8'!C9),"OK","ENTRY IS REQUIRED!")</f>
        <v>OK</v>
      </c>
    </row>
    <row r="79" spans="1:4" x14ac:dyDescent="0.2">
      <c r="A79" s="1120"/>
      <c r="B79" s="1121">
        <f>B74+1+1</f>
        <v>12</v>
      </c>
      <c r="C79" s="1131" t="s">
        <v>2015</v>
      </c>
      <c r="D79" s="1132" t="str">
        <f>IF(OR(COVER!$B$6="X",'PCTC-OEPP 27-28'!F78&gt;0),"OK","PLEASE ENTER 9 MO ADA.")</f>
        <v>OK</v>
      </c>
    </row>
    <row r="80" spans="1:4" x14ac:dyDescent="0.2">
      <c r="A80" s="1099"/>
      <c r="B80" s="1121">
        <v>13</v>
      </c>
      <c r="C80" s="1131" t="s">
        <v>2050</v>
      </c>
      <c r="D80" s="1132" t="str">
        <f>IF('Contracts Paid in CY 29'!D141&gt;0,"OK","PLEASE ENTER CONTRACTS PAID IN CURRENT YEAR.")</f>
        <v>PLEASE ENTER CONTRACTS PAID IN CURRENT YEAR.</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56-099-255U-61</v>
      </c>
    </row>
    <row r="3" spans="1:2" x14ac:dyDescent="0.2">
      <c r="A3" t="s">
        <v>1013</v>
      </c>
      <c r="B3" s="138" t="str">
        <f>COVER!A15</f>
        <v>Will County</v>
      </c>
    </row>
    <row r="4" spans="1:2" x14ac:dyDescent="0.2">
      <c r="A4" t="s">
        <v>1064</v>
      </c>
      <c r="B4" s="138" t="str">
        <f>COVER!A17</f>
        <v>Southern Will County Cooperative for Special Education</v>
      </c>
    </row>
    <row r="5" spans="1:2" x14ac:dyDescent="0.2">
      <c r="A5" t="s">
        <v>728</v>
      </c>
      <c r="B5" s="138" t="str">
        <f>COVER!A38</f>
        <v>Bill Roseland</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066-005100</v>
      </c>
    </row>
    <row r="16" spans="1:2" x14ac:dyDescent="0.2">
      <c r="A16" t="s">
        <v>442</v>
      </c>
      <c r="B16" s="138" t="str">
        <f>COVER!T13</f>
        <v>Mack &amp; Associates, P.C.</v>
      </c>
    </row>
    <row r="17" spans="1:2" x14ac:dyDescent="0.2">
      <c r="A17" t="s">
        <v>939</v>
      </c>
      <c r="B17" s="138" t="str">
        <f>COVER!T15</f>
        <v>Tawnya Mack, CPA</v>
      </c>
    </row>
    <row r="18" spans="1:2" x14ac:dyDescent="0.2">
      <c r="A18" t="s">
        <v>1212</v>
      </c>
      <c r="B18" s="138" t="str">
        <f>COVER!T17</f>
        <v>116 E. Washington Street, Suite One</v>
      </c>
    </row>
    <row r="19" spans="1:2" x14ac:dyDescent="0.2">
      <c r="A19" t="s">
        <v>941</v>
      </c>
      <c r="B19" s="138" t="str">
        <f>COVER!T25</f>
        <v>tmack@mackcpas.com</v>
      </c>
    </row>
    <row r="20" spans="1:2" x14ac:dyDescent="0.2">
      <c r="A20" t="s">
        <v>942</v>
      </c>
      <c r="B20" s="138" t="str">
        <f>COVER!T19</f>
        <v>Morris</v>
      </c>
    </row>
    <row r="21" spans="1:2" x14ac:dyDescent="0.2">
      <c r="A21" t="s">
        <v>500</v>
      </c>
      <c r="B21" s="138" t="str">
        <f>COVER!X19</f>
        <v>IL</v>
      </c>
    </row>
    <row r="22" spans="1:2" x14ac:dyDescent="0.2">
      <c r="A22" t="s">
        <v>943</v>
      </c>
      <c r="B22" s="138">
        <f>COVER!Z19</f>
        <v>60450</v>
      </c>
    </row>
    <row r="23" spans="1:2" x14ac:dyDescent="0.2">
      <c r="A23" t="s">
        <v>1214</v>
      </c>
      <c r="B23" s="138" t="str">
        <f>COVER!T21</f>
        <v>815-942-3306</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4094783</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3260833</v>
      </c>
      <c r="D92" s="2" t="str">
        <f t="shared" si="0"/>
        <v>Error?</v>
      </c>
    </row>
    <row r="93" spans="1:4" x14ac:dyDescent="0.2">
      <c r="A93" s="5">
        <v>32</v>
      </c>
      <c r="B93" s="138">
        <f>'Assets-Liab 5-6'!C41</f>
        <v>4094783</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548700</v>
      </c>
      <c r="D273" s="2" t="str">
        <f t="shared" si="3"/>
        <v>Error?</v>
      </c>
    </row>
    <row r="274" spans="1:4" x14ac:dyDescent="0.2">
      <c r="A274" s="5">
        <v>213</v>
      </c>
      <c r="B274" s="138">
        <f>'Assets-Liab 5-6'!M17</f>
        <v>2344223</v>
      </c>
      <c r="D274" s="2" t="str">
        <f t="shared" si="3"/>
        <v>Error?</v>
      </c>
    </row>
    <row r="275" spans="1:4" x14ac:dyDescent="0.2">
      <c r="A275" s="5">
        <v>214</v>
      </c>
      <c r="B275" s="138">
        <f>'Assets-Liab 5-6'!M18</f>
        <v>0</v>
      </c>
      <c r="D275" s="2" t="str">
        <f t="shared" si="3"/>
        <v>Error?</v>
      </c>
    </row>
    <row r="276" spans="1:4" x14ac:dyDescent="0.2">
      <c r="A276" s="5">
        <v>215</v>
      </c>
      <c r="B276" s="138">
        <f>'Assets-Liab 5-6'!M19</f>
        <v>25496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2918419</v>
      </c>
      <c r="C279" s="2" t="s">
        <v>594</v>
      </c>
      <c r="D279" s="2" t="str">
        <f t="shared" si="3"/>
        <v>Error?</v>
      </c>
    </row>
    <row r="280" spans="1:4" x14ac:dyDescent="0.2">
      <c r="A280" s="5">
        <v>219</v>
      </c>
      <c r="B280" s="138">
        <f>'Assets-Liab 5-6'!M40</f>
        <v>2918419</v>
      </c>
      <c r="D280" s="2" t="str">
        <f t="shared" si="3"/>
        <v>Error?</v>
      </c>
    </row>
    <row r="281" spans="1:4" x14ac:dyDescent="0.2">
      <c r="A281" s="5">
        <v>220</v>
      </c>
      <c r="B281" s="138">
        <f>'Assets-Liab 5-6'!M41</f>
        <v>2918419</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28985</v>
      </c>
      <c r="D717" s="2" t="str">
        <f t="shared" si="10"/>
        <v>Error?</v>
      </c>
    </row>
    <row r="718" spans="1:4" x14ac:dyDescent="0.2">
      <c r="A718" s="5">
        <v>657</v>
      </c>
      <c r="B718" s="138">
        <f>'Expenditures 15-22'!C14</f>
        <v>0</v>
      </c>
      <c r="D718" s="2" t="str">
        <f t="shared" si="10"/>
        <v>Error?</v>
      </c>
    </row>
    <row r="719" spans="1:4" x14ac:dyDescent="0.2">
      <c r="A719" s="5">
        <v>658</v>
      </c>
      <c r="B719" s="138">
        <f>'Expenditures 15-22'!C15</f>
        <v>111725</v>
      </c>
      <c r="D719" s="2" t="str">
        <f t="shared" si="10"/>
        <v>Error?</v>
      </c>
    </row>
    <row r="720" spans="1:4" x14ac:dyDescent="0.2">
      <c r="A720" s="5">
        <v>659</v>
      </c>
      <c r="B720" s="138">
        <f>'Expenditures 15-22'!C33</f>
        <v>6289063</v>
      </c>
      <c r="C720" s="2" t="s">
        <v>594</v>
      </c>
      <c r="D720" s="2" t="str">
        <f t="shared" si="10"/>
        <v>Error?</v>
      </c>
    </row>
    <row r="721" spans="1:4" x14ac:dyDescent="0.2">
      <c r="A721" s="5">
        <v>660</v>
      </c>
      <c r="B721" s="138">
        <f>'Expenditures 15-22'!C36</f>
        <v>557395</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23357</v>
      </c>
      <c r="D723" s="2" t="str">
        <f t="shared" si="10"/>
        <v>Error?</v>
      </c>
    </row>
    <row r="724" spans="1:4" x14ac:dyDescent="0.2">
      <c r="A724" s="5">
        <v>663</v>
      </c>
      <c r="B724" s="138">
        <f>'Expenditures 15-22'!C39</f>
        <v>930925</v>
      </c>
      <c r="D724" s="2" t="str">
        <f t="shared" si="10"/>
        <v>Error?</v>
      </c>
    </row>
    <row r="725" spans="1:4" x14ac:dyDescent="0.2">
      <c r="A725" s="5">
        <v>664</v>
      </c>
      <c r="B725" s="138">
        <f>'Expenditures 15-22'!C40</f>
        <v>1568974</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3080651</v>
      </c>
      <c r="C727" s="2" t="s">
        <v>594</v>
      </c>
      <c r="D727" s="2" t="str">
        <f t="shared" si="10"/>
        <v>Error?</v>
      </c>
    </row>
    <row r="728" spans="1:4" x14ac:dyDescent="0.2">
      <c r="A728" s="5">
        <v>667</v>
      </c>
      <c r="B728" s="138">
        <f>'Expenditures 15-22'!C44</f>
        <v>38086</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38086</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1002249</v>
      </c>
      <c r="D733" s="2" t="str">
        <f t="shared" si="10"/>
        <v>Error?</v>
      </c>
    </row>
    <row r="734" spans="1:4" x14ac:dyDescent="0.2">
      <c r="A734" s="5">
        <v>673</v>
      </c>
      <c r="B734" s="138">
        <f>'Expenditures 15-22'!C53</f>
        <v>1002249</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4120986</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10410049</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5423</v>
      </c>
      <c r="D775" s="2" t="str">
        <f t="shared" si="11"/>
        <v>Error?</v>
      </c>
    </row>
    <row r="776" spans="1:4" x14ac:dyDescent="0.2">
      <c r="A776" s="5">
        <v>715</v>
      </c>
      <c r="B776" s="138">
        <f>'Expenditures 15-22'!D14</f>
        <v>0</v>
      </c>
      <c r="D776" s="2" t="str">
        <f t="shared" si="11"/>
        <v>Error?</v>
      </c>
    </row>
    <row r="777" spans="1:4" x14ac:dyDescent="0.2">
      <c r="A777" s="5">
        <v>716</v>
      </c>
      <c r="B777" s="138">
        <f>'Expenditures 15-22'!D15</f>
        <v>8866</v>
      </c>
      <c r="D777" s="2" t="str">
        <f t="shared" si="11"/>
        <v>Error?</v>
      </c>
    </row>
    <row r="778" spans="1:4" x14ac:dyDescent="0.2">
      <c r="A778" s="5">
        <v>717</v>
      </c>
      <c r="B778" s="138">
        <f>'Expenditures 15-22'!D33</f>
        <v>1275544</v>
      </c>
      <c r="C778" s="2" t="s">
        <v>594</v>
      </c>
      <c r="D778" s="2" t="str">
        <f t="shared" si="11"/>
        <v>Error?</v>
      </c>
    </row>
    <row r="779" spans="1:4" x14ac:dyDescent="0.2">
      <c r="A779" s="5">
        <v>718</v>
      </c>
      <c r="B779" s="138">
        <f>'Expenditures 15-22'!D36</f>
        <v>51474</v>
      </c>
      <c r="D779" s="2" t="str">
        <f t="shared" si="11"/>
        <v>Error?</v>
      </c>
    </row>
    <row r="780" spans="1:4" x14ac:dyDescent="0.2">
      <c r="A780" s="5">
        <v>719</v>
      </c>
      <c r="B780" s="138">
        <f>'Expenditures 15-22'!D37</f>
        <v>0</v>
      </c>
      <c r="D780" s="2" t="str">
        <f t="shared" si="11"/>
        <v>Error?</v>
      </c>
    </row>
    <row r="781" spans="1:4" x14ac:dyDescent="0.2">
      <c r="A781" s="5">
        <v>720</v>
      </c>
      <c r="B781" s="138">
        <f>'Expenditures 15-22'!D38</f>
        <v>4365</v>
      </c>
      <c r="D781" s="2" t="str">
        <f t="shared" si="11"/>
        <v>Error?</v>
      </c>
    </row>
    <row r="782" spans="1:4" x14ac:dyDescent="0.2">
      <c r="A782" s="5">
        <v>721</v>
      </c>
      <c r="B782" s="138">
        <f>'Expenditures 15-22'!D39</f>
        <v>110423</v>
      </c>
      <c r="D782" s="2" t="str">
        <f t="shared" si="11"/>
        <v>Error?</v>
      </c>
    </row>
    <row r="783" spans="1:4" x14ac:dyDescent="0.2">
      <c r="A783" s="5">
        <v>722</v>
      </c>
      <c r="B783" s="138">
        <f>'Expenditures 15-22'!D40</f>
        <v>232374</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398636</v>
      </c>
      <c r="C785" s="2" t="s">
        <v>594</v>
      </c>
      <c r="D785" s="2" t="str">
        <f t="shared" si="11"/>
        <v>Error?</v>
      </c>
    </row>
    <row r="786" spans="1:4" x14ac:dyDescent="0.2">
      <c r="A786" s="5">
        <v>725</v>
      </c>
      <c r="B786" s="138">
        <f>'Expenditures 15-22'!D44</f>
        <v>3847</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3847</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558651</v>
      </c>
      <c r="D791" s="2" t="str">
        <f t="shared" si="11"/>
        <v>Error?</v>
      </c>
    </row>
    <row r="792" spans="1:4" x14ac:dyDescent="0.2">
      <c r="A792" s="5">
        <v>731</v>
      </c>
      <c r="B792" s="138">
        <f>'Expenditures 15-22'!D53</f>
        <v>558651</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961134</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2236678</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192674</v>
      </c>
      <c r="C836" s="2" t="s">
        <v>594</v>
      </c>
      <c r="D836" s="2" t="str">
        <f t="shared" si="12"/>
        <v>Error?</v>
      </c>
    </row>
    <row r="837" spans="1:4" x14ac:dyDescent="0.2">
      <c r="A837" s="5">
        <v>776</v>
      </c>
      <c r="B837" s="138">
        <f>'Expenditures 15-22'!E36</f>
        <v>589</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14215</v>
      </c>
      <c r="D840" s="2" t="str">
        <f t="shared" si="12"/>
        <v>Error?</v>
      </c>
    </row>
    <row r="841" spans="1:4" x14ac:dyDescent="0.2">
      <c r="A841" s="5">
        <v>780</v>
      </c>
      <c r="B841" s="138">
        <f>'Expenditures 15-22'!E40</f>
        <v>211654</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226458</v>
      </c>
      <c r="C843" s="2" t="s">
        <v>594</v>
      </c>
      <c r="D843" s="2" t="str">
        <f t="shared" si="12"/>
        <v>Error?</v>
      </c>
    </row>
    <row r="844" spans="1:4" x14ac:dyDescent="0.2">
      <c r="A844" s="5">
        <v>783</v>
      </c>
      <c r="B844" s="138">
        <f>'Expenditures 15-22'!E44</f>
        <v>54679</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54679</v>
      </c>
      <c r="C847" s="2" t="s">
        <v>594</v>
      </c>
      <c r="D847" s="2" t="str">
        <f t="shared" si="12"/>
        <v>Error?</v>
      </c>
    </row>
    <row r="848" spans="1:4" x14ac:dyDescent="0.2">
      <c r="A848" s="5">
        <v>787</v>
      </c>
      <c r="B848" s="138">
        <f>'Expenditures 15-22'!E49</f>
        <v>0</v>
      </c>
      <c r="D848" s="2" t="str">
        <f t="shared" si="12"/>
        <v>Error?</v>
      </c>
    </row>
    <row r="849" spans="1:4" x14ac:dyDescent="0.2">
      <c r="A849" s="5">
        <v>788</v>
      </c>
      <c r="B849" s="138">
        <f>'Expenditures 15-22'!E50</f>
        <v>228654</v>
      </c>
      <c r="D849" s="2" t="str">
        <f t="shared" si="12"/>
        <v>Error?</v>
      </c>
    </row>
    <row r="850" spans="1:4" x14ac:dyDescent="0.2">
      <c r="A850" s="5">
        <v>789</v>
      </c>
      <c r="B850" s="138">
        <f>'Expenditures 15-22'!E53</f>
        <v>228654</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2270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2270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512061</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704735</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1746</v>
      </c>
      <c r="D893" s="2" t="str">
        <f t="shared" si="12"/>
        <v>Error?</v>
      </c>
    </row>
    <row r="894" spans="1:4" x14ac:dyDescent="0.2">
      <c r="A894" s="5">
        <v>833</v>
      </c>
      <c r="B894" s="138">
        <f>'Expenditures 15-22'!F33</f>
        <v>74157</v>
      </c>
      <c r="C894" s="2" t="s">
        <v>594</v>
      </c>
      <c r="D894" s="2" t="str">
        <f t="shared" si="12"/>
        <v>Error?</v>
      </c>
    </row>
    <row r="895" spans="1:4" x14ac:dyDescent="0.2">
      <c r="A895" s="5">
        <v>834</v>
      </c>
      <c r="B895" s="138">
        <f>'Expenditures 15-22'!F36</f>
        <v>2489</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298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5848</v>
      </c>
      <c r="D899" s="2" t="str">
        <f t="shared" si="13"/>
        <v>Error?</v>
      </c>
    </row>
    <row r="900" spans="1:4" x14ac:dyDescent="0.2">
      <c r="A900" s="5">
        <v>839</v>
      </c>
      <c r="B900" s="138">
        <f>'Expenditures 15-22'!F41</f>
        <v>0</v>
      </c>
      <c r="D900" s="2" t="str">
        <f t="shared" si="13"/>
        <v>Error?</v>
      </c>
    </row>
    <row r="901" spans="1:4" x14ac:dyDescent="0.2">
      <c r="A901" s="5">
        <v>840</v>
      </c>
      <c r="B901" s="138">
        <f>'Expenditures 15-22'!F42</f>
        <v>8635</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52164</v>
      </c>
      <c r="D907" s="2" t="str">
        <f t="shared" si="13"/>
        <v>Error?</v>
      </c>
    </row>
    <row r="908" spans="1:4" x14ac:dyDescent="0.2">
      <c r="A908" s="5">
        <v>847</v>
      </c>
      <c r="B908" s="138">
        <f>'Expenditures 15-22'!F53</f>
        <v>52164</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60799</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134956</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18574</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555</v>
      </c>
      <c r="D965" s="2" t="str">
        <f t="shared" si="14"/>
        <v>Error?</v>
      </c>
    </row>
    <row r="966" spans="1:4" x14ac:dyDescent="0.2">
      <c r="A966" s="5">
        <v>905</v>
      </c>
      <c r="B966" s="138">
        <f>'Expenditures 15-22'!G53</f>
        <v>555</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555</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19129</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30580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33492</v>
      </c>
      <c r="D1023" s="2" t="str">
        <f t="shared" ref="D1023:D1086" si="15">IF(ISBLANK(B1023),"OK",IF(A1023-B1023=0,"OK","Error?"))</f>
        <v>Error?</v>
      </c>
    </row>
    <row r="1024" spans="1:4" x14ac:dyDescent="0.2">
      <c r="A1024" s="5">
        <v>963</v>
      </c>
      <c r="B1024" s="138">
        <f>'Expenditures 15-22'!H53</f>
        <v>33492</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33492</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1412706</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1476778</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34408</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122337</v>
      </c>
      <c r="C1107" s="2" t="s">
        <v>594</v>
      </c>
      <c r="D1107" s="2" t="str">
        <f t="shared" si="16"/>
        <v>Error?</v>
      </c>
    </row>
    <row r="1108" spans="1:4" x14ac:dyDescent="0.2">
      <c r="A1108" s="5">
        <v>1047</v>
      </c>
      <c r="B1108" s="138">
        <f>'Expenditures 15-22'!K33</f>
        <v>7880592</v>
      </c>
      <c r="C1108" s="2" t="s">
        <v>594</v>
      </c>
      <c r="D1108" s="2" t="str">
        <f t="shared" si="16"/>
        <v>Error?</v>
      </c>
    </row>
    <row r="1109" spans="1:4" x14ac:dyDescent="0.2">
      <c r="A1109" s="5">
        <v>1048</v>
      </c>
      <c r="B1109" s="138">
        <f>'Expenditures 15-22'!K36</f>
        <v>611947</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28020</v>
      </c>
      <c r="C1111" s="2" t="s">
        <v>594</v>
      </c>
      <c r="D1111" s="2" t="str">
        <f t="shared" si="16"/>
        <v>Error?</v>
      </c>
    </row>
    <row r="1112" spans="1:4" x14ac:dyDescent="0.2">
      <c r="A1112" s="5">
        <v>1051</v>
      </c>
      <c r="B1112" s="138">
        <f>'Expenditures 15-22'!K39</f>
        <v>1055563</v>
      </c>
      <c r="C1112" s="2" t="s">
        <v>594</v>
      </c>
      <c r="D1112" s="2" t="str">
        <f t="shared" si="16"/>
        <v>Error?</v>
      </c>
    </row>
    <row r="1113" spans="1:4" x14ac:dyDescent="0.2">
      <c r="A1113" s="5">
        <v>1052</v>
      </c>
      <c r="B1113" s="138">
        <f>'Expenditures 15-22'!K40</f>
        <v>2018850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3714380</v>
      </c>
      <c r="C1115" s="2" t="s">
        <v>594</v>
      </c>
      <c r="D1115" s="2" t="str">
        <f t="shared" si="16"/>
        <v>Error?</v>
      </c>
    </row>
    <row r="1116" spans="1:4" x14ac:dyDescent="0.2">
      <c r="A1116" s="5">
        <v>1055</v>
      </c>
      <c r="B1116" s="138">
        <f>'Expenditures 15-22'!K44</f>
        <v>96612</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96612</v>
      </c>
      <c r="C1119" s="2" t="s">
        <v>594</v>
      </c>
      <c r="D1119" s="2" t="str">
        <f t="shared" si="16"/>
        <v>Error?</v>
      </c>
    </row>
    <row r="1120" spans="1:4" x14ac:dyDescent="0.2">
      <c r="A1120" s="5">
        <v>1059</v>
      </c>
      <c r="B1120" s="138">
        <f>'Expenditures 15-22'!K49</f>
        <v>0</v>
      </c>
      <c r="C1120" s="2" t="s">
        <v>594</v>
      </c>
      <c r="D1120" s="2" t="str">
        <f t="shared" si="16"/>
        <v>Error?</v>
      </c>
    </row>
    <row r="1121" spans="1:4" x14ac:dyDescent="0.2">
      <c r="A1121" s="5">
        <v>1060</v>
      </c>
      <c r="B1121" s="138">
        <f>'Expenditures 15-22'!K50</f>
        <v>1875765</v>
      </c>
      <c r="C1121" s="2" t="s">
        <v>594</v>
      </c>
      <c r="D1121" s="2" t="str">
        <f t="shared" si="16"/>
        <v>Error?</v>
      </c>
    </row>
    <row r="1122" spans="1:4" x14ac:dyDescent="0.2">
      <c r="A1122" s="5">
        <v>1061</v>
      </c>
      <c r="B1122" s="138">
        <f>'Expenditures 15-22'!K53</f>
        <v>1875765</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0</v>
      </c>
      <c r="C1127" s="2" t="s">
        <v>594</v>
      </c>
      <c r="D1127" s="2" t="str">
        <f t="shared" si="16"/>
        <v>Error?</v>
      </c>
    </row>
    <row r="1128" spans="1:4" x14ac:dyDescent="0.2">
      <c r="A1128" s="5">
        <v>1067</v>
      </c>
      <c r="B1128" s="138">
        <f>'Expenditures 15-22'!K61</f>
        <v>2270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2270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5689027</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1412706</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14982325</v>
      </c>
      <c r="C1152" s="2" t="s">
        <v>594</v>
      </c>
      <c r="D1152" s="2" t="str">
        <f t="shared" si="17"/>
        <v>Error?</v>
      </c>
    </row>
    <row r="1153" spans="1:4" x14ac:dyDescent="0.2">
      <c r="A1153" s="5">
        <v>1092</v>
      </c>
      <c r="B1153" s="138">
        <f>'Expenditures 15-22'!K115</f>
        <v>510802</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3583981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4094783</v>
      </c>
      <c r="C1630" s="2" t="s">
        <v>594</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548700</v>
      </c>
      <c r="D2008" s="2" t="str">
        <f t="shared" si="30"/>
        <v>Error?</v>
      </c>
    </row>
    <row r="2009" spans="1:4" x14ac:dyDescent="0.2">
      <c r="A2009" s="5">
        <v>1948</v>
      </c>
      <c r="B2009" s="138">
        <f>'Cap Outlay Deprec 26'!C8</f>
        <v>630330</v>
      </c>
      <c r="D2009" s="2" t="str">
        <f t="shared" si="30"/>
        <v>Error?</v>
      </c>
    </row>
    <row r="2010" spans="1:4" x14ac:dyDescent="0.2">
      <c r="A2010" s="5">
        <v>1949</v>
      </c>
      <c r="B2010" s="138">
        <f>'Cap Outlay Deprec 26'!C10</f>
        <v>3255089</v>
      </c>
      <c r="D2010" s="2" t="str">
        <f t="shared" si="30"/>
        <v>Error?</v>
      </c>
    </row>
    <row r="2011" spans="1:4" x14ac:dyDescent="0.2">
      <c r="A2011" s="5">
        <v>1950</v>
      </c>
      <c r="B2011" s="138">
        <f>'Cap Outlay Deprec 26'!C12</f>
        <v>0</v>
      </c>
      <c r="D2011" s="2" t="str">
        <f t="shared" si="30"/>
        <v>Error?</v>
      </c>
    </row>
    <row r="2012" spans="1:4" x14ac:dyDescent="0.2">
      <c r="A2012" s="5">
        <v>1951</v>
      </c>
      <c r="B2012" s="138">
        <f>'Cap Outlay Deprec 26'!C13</f>
        <v>293607</v>
      </c>
      <c r="D2012" s="2" t="str">
        <f t="shared" si="30"/>
        <v>Error?</v>
      </c>
    </row>
    <row r="2013" spans="1:4" x14ac:dyDescent="0.2">
      <c r="A2013" s="5">
        <v>1952</v>
      </c>
      <c r="B2013" s="138">
        <f>'Cap Outlay Deprec 26'!C16</f>
        <v>4727726</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13416</v>
      </c>
      <c r="D2018" s="2" t="str">
        <f t="shared" si="30"/>
        <v>Error?</v>
      </c>
    </row>
    <row r="2019" spans="1:4" x14ac:dyDescent="0.2">
      <c r="A2019" s="5">
        <v>1958</v>
      </c>
      <c r="B2019" s="138">
        <f>'Cap Outlay Deprec 26'!D16</f>
        <v>13416</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548700</v>
      </c>
      <c r="C2026" s="2" t="s">
        <v>594</v>
      </c>
      <c r="D2026" s="2" t="str">
        <f t="shared" si="30"/>
        <v>Error?</v>
      </c>
    </row>
    <row r="2027" spans="1:4" x14ac:dyDescent="0.2">
      <c r="A2027" s="5">
        <v>1966</v>
      </c>
      <c r="B2027" s="138">
        <f>'Cap Outlay Deprec 26'!F8</f>
        <v>630330</v>
      </c>
      <c r="C2027" s="2" t="s">
        <v>594</v>
      </c>
      <c r="D2027" s="2" t="str">
        <f t="shared" si="30"/>
        <v>Error?</v>
      </c>
    </row>
    <row r="2028" spans="1:4" x14ac:dyDescent="0.2">
      <c r="A2028" s="5">
        <v>1967</v>
      </c>
      <c r="B2028" s="138">
        <f>'Cap Outlay Deprec 26'!F10</f>
        <v>3255089</v>
      </c>
      <c r="C2028" s="2" t="s">
        <v>594</v>
      </c>
      <c r="D2028" s="2" t="str">
        <f t="shared" si="30"/>
        <v>Error?</v>
      </c>
    </row>
    <row r="2029" spans="1:4" x14ac:dyDescent="0.2">
      <c r="A2029" s="5">
        <v>1968</v>
      </c>
      <c r="B2029" s="138">
        <f>'Cap Outlay Deprec 26'!F12</f>
        <v>0</v>
      </c>
      <c r="C2029" s="2" t="s">
        <v>594</v>
      </c>
      <c r="D2029" s="2" t="str">
        <f t="shared" si="30"/>
        <v>Error?</v>
      </c>
    </row>
    <row r="2030" spans="1:4" x14ac:dyDescent="0.2">
      <c r="A2030" s="5">
        <v>1969</v>
      </c>
      <c r="B2030" s="138">
        <f>'Cap Outlay Deprec 26'!F13</f>
        <v>307023</v>
      </c>
      <c r="C2030" s="2" t="s">
        <v>594</v>
      </c>
      <c r="D2030" s="2" t="str">
        <f t="shared" si="30"/>
        <v>Error?</v>
      </c>
    </row>
    <row r="2031" spans="1:4" x14ac:dyDescent="0.2">
      <c r="A2031" s="5">
        <v>1970</v>
      </c>
      <c r="B2031" s="138">
        <f>'Cap Outlay Deprec 26'!F16</f>
        <v>4741142</v>
      </c>
      <c r="C2031" s="2" t="s">
        <v>594</v>
      </c>
      <c r="D2031" s="2" t="str">
        <f t="shared" si="30"/>
        <v>Error?</v>
      </c>
    </row>
    <row r="2032" spans="1:4" x14ac:dyDescent="0.2">
      <c r="A2032" s="10">
        <v>1971</v>
      </c>
      <c r="D2032" s="2" t="str">
        <f t="shared" si="30"/>
        <v>OK</v>
      </c>
    </row>
    <row r="2033" spans="1:4" x14ac:dyDescent="0.2">
      <c r="A2033" s="5">
        <v>1972</v>
      </c>
      <c r="B2033" s="138">
        <f>'Cap Outlay Deprec 26'!H8</f>
        <v>394094</v>
      </c>
      <c r="D2033" s="2" t="str">
        <f t="shared" si="30"/>
        <v>Error?</v>
      </c>
    </row>
    <row r="2034" spans="1:4" x14ac:dyDescent="0.2">
      <c r="A2034" s="5">
        <v>1973</v>
      </c>
      <c r="B2034" s="138">
        <f>'Cap Outlay Deprec 26'!H10</f>
        <v>954872</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273045</v>
      </c>
      <c r="D2036" s="2" t="str">
        <f t="shared" si="30"/>
        <v>Error?</v>
      </c>
    </row>
    <row r="2037" spans="1:4" x14ac:dyDescent="0.2">
      <c r="A2037" s="5">
        <v>1976</v>
      </c>
      <c r="B2037" s="138">
        <f>'Cap Outlay Deprec 26'!H16</f>
        <v>1622011</v>
      </c>
      <c r="C2037" s="2" t="s">
        <v>594</v>
      </c>
      <c r="D2037" s="2" t="str">
        <f t="shared" si="30"/>
        <v>Error?</v>
      </c>
    </row>
    <row r="2038" spans="1:4" x14ac:dyDescent="0.2">
      <c r="A2038" s="10">
        <v>1977</v>
      </c>
      <c r="D2038" s="2" t="str">
        <f t="shared" si="30"/>
        <v>OK</v>
      </c>
    </row>
    <row r="2039" spans="1:4" x14ac:dyDescent="0.2">
      <c r="A2039" s="5">
        <v>1978</v>
      </c>
      <c r="B2039" s="138">
        <f>'Cap Outlay Deprec 26'!I8</f>
        <v>29476</v>
      </c>
      <c r="D2039" s="2" t="str">
        <f t="shared" si="30"/>
        <v>Error?</v>
      </c>
    </row>
    <row r="2040" spans="1:4" x14ac:dyDescent="0.2">
      <c r="A2040" s="5">
        <v>1979</v>
      </c>
      <c r="B2040" s="138">
        <f>'Cap Outlay Deprec 26'!I10</f>
        <v>162754</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8482</v>
      </c>
      <c r="D2042" s="2" t="str">
        <f t="shared" si="30"/>
        <v>Error?</v>
      </c>
    </row>
    <row r="2043" spans="1:4" x14ac:dyDescent="0.2">
      <c r="A2043" s="5">
        <v>1982</v>
      </c>
      <c r="B2043" s="138">
        <f>'Cap Outlay Deprec 26'!I16</f>
        <v>200712</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423570</v>
      </c>
      <c r="C2051" s="2" t="s">
        <v>594</v>
      </c>
      <c r="D2051" s="2" t="str">
        <f t="shared" si="31"/>
        <v>Error?</v>
      </c>
    </row>
    <row r="2052" spans="1:4" x14ac:dyDescent="0.2">
      <c r="A2052" s="5">
        <v>1991</v>
      </c>
      <c r="B2052" s="138">
        <f>'Cap Outlay Deprec 26'!K10</f>
        <v>1117626</v>
      </c>
      <c r="C2052" s="2" t="s">
        <v>594</v>
      </c>
      <c r="D2052" s="2" t="str">
        <f t="shared" si="31"/>
        <v>Error?</v>
      </c>
    </row>
    <row r="2053" spans="1:4" x14ac:dyDescent="0.2">
      <c r="A2053" s="5">
        <v>1992</v>
      </c>
      <c r="B2053" s="138">
        <f>'Cap Outlay Deprec 26'!K12</f>
        <v>0</v>
      </c>
      <c r="C2053" s="2" t="s">
        <v>594</v>
      </c>
      <c r="D2053" s="2" t="str">
        <f t="shared" si="31"/>
        <v>Error?</v>
      </c>
    </row>
    <row r="2054" spans="1:4" x14ac:dyDescent="0.2">
      <c r="A2054" s="5">
        <v>1993</v>
      </c>
      <c r="B2054" s="138">
        <f>'Cap Outlay Deprec 26'!K13</f>
        <v>281527</v>
      </c>
      <c r="C2054" s="2" t="s">
        <v>594</v>
      </c>
      <c r="D2054" s="2" t="str">
        <f t="shared" si="31"/>
        <v>Error?</v>
      </c>
    </row>
    <row r="2055" spans="1:4" x14ac:dyDescent="0.2">
      <c r="A2055" s="5">
        <v>1994</v>
      </c>
      <c r="B2055" s="138">
        <f>'Cap Outlay Deprec 26'!K16</f>
        <v>1822723</v>
      </c>
      <c r="C2055" s="2" t="s">
        <v>594</v>
      </c>
      <c r="D2055" s="2" t="str">
        <f t="shared" si="31"/>
        <v>Error?</v>
      </c>
    </row>
    <row r="2056" spans="1:4" x14ac:dyDescent="0.2">
      <c r="A2056" s="5">
        <v>1995</v>
      </c>
      <c r="B2056" s="138">
        <f>'Cap Outlay Deprec 26'!L5</f>
        <v>548700</v>
      </c>
      <c r="C2056" s="2" t="s">
        <v>594</v>
      </c>
      <c r="D2056" s="2" t="str">
        <f t="shared" si="31"/>
        <v>Error?</v>
      </c>
    </row>
    <row r="2057" spans="1:4" x14ac:dyDescent="0.2">
      <c r="A2057" s="5">
        <v>1996</v>
      </c>
      <c r="B2057" s="138">
        <f>'Cap Outlay Deprec 26'!L8</f>
        <v>206760</v>
      </c>
      <c r="C2057" s="2" t="s">
        <v>594</v>
      </c>
      <c r="D2057" s="2" t="str">
        <f t="shared" si="31"/>
        <v>Error?</v>
      </c>
    </row>
    <row r="2058" spans="1:4" x14ac:dyDescent="0.2">
      <c r="A2058" s="5">
        <v>1997</v>
      </c>
      <c r="B2058" s="138">
        <f>'Cap Outlay Deprec 26'!L10</f>
        <v>2137463</v>
      </c>
      <c r="C2058" s="2" t="s">
        <v>594</v>
      </c>
      <c r="D2058" s="2" t="str">
        <f t="shared" si="31"/>
        <v>Error?</v>
      </c>
    </row>
    <row r="2059" spans="1:4" x14ac:dyDescent="0.2">
      <c r="A2059" s="5">
        <v>1998</v>
      </c>
      <c r="B2059" s="138">
        <f>'Cap Outlay Deprec 26'!L12</f>
        <v>0</v>
      </c>
      <c r="C2059" s="2" t="s">
        <v>594</v>
      </c>
      <c r="D2059" s="2" t="str">
        <f t="shared" si="31"/>
        <v>Error?</v>
      </c>
    </row>
    <row r="2060" spans="1:4" x14ac:dyDescent="0.2">
      <c r="A2060" s="5">
        <v>1999</v>
      </c>
      <c r="B2060" s="138">
        <f>'Cap Outlay Deprec 26'!L13</f>
        <v>25496</v>
      </c>
      <c r="C2060" s="2" t="s">
        <v>594</v>
      </c>
      <c r="D2060" s="2" t="str">
        <f t="shared" si="31"/>
        <v>Error?</v>
      </c>
    </row>
    <row r="2061" spans="1:4" x14ac:dyDescent="0.2">
      <c r="A2061" s="5">
        <v>2000</v>
      </c>
      <c r="B2061" s="138">
        <f>'Cap Outlay Deprec 26'!L16</f>
        <v>2918419</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1412706</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1412706</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833950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10444931</v>
      </c>
      <c r="C2551" s="2" t="s">
        <v>594</v>
      </c>
      <c r="D2551" s="2" t="str">
        <f t="shared" si="38"/>
        <v>Error?</v>
      </c>
    </row>
    <row r="2552" spans="1:4" x14ac:dyDescent="0.2">
      <c r="A2552" s="10">
        <v>2491</v>
      </c>
      <c r="D2552" s="2" t="str">
        <f t="shared" si="38"/>
        <v>OK</v>
      </c>
    </row>
    <row r="2553" spans="1:4" x14ac:dyDescent="0.2">
      <c r="A2553" s="5">
        <v>2492</v>
      </c>
      <c r="B2553" s="138">
        <f>'Acct Summary 7-8'!C6</f>
        <v>2301712</v>
      </c>
      <c r="C2553" s="2" t="s">
        <v>594</v>
      </c>
      <c r="D2553" s="2" t="str">
        <f t="shared" si="38"/>
        <v>Error?</v>
      </c>
    </row>
    <row r="2554" spans="1:4" x14ac:dyDescent="0.2">
      <c r="A2554" s="5">
        <v>2493</v>
      </c>
      <c r="B2554" s="138">
        <f>'Acct Summary 7-8'!C7</f>
        <v>2746484</v>
      </c>
      <c r="C2554" s="2" t="s">
        <v>594</v>
      </c>
      <c r="D2554" s="2" t="str">
        <f t="shared" si="38"/>
        <v>Error?</v>
      </c>
    </row>
    <row r="2555" spans="1:4" x14ac:dyDescent="0.2">
      <c r="A2555" s="5">
        <v>2494</v>
      </c>
      <c r="B2555" s="138">
        <f>'Acct Summary 7-8'!C8</f>
        <v>15493127</v>
      </c>
      <c r="C2555" s="2" t="s">
        <v>594</v>
      </c>
      <c r="D2555" s="2" t="str">
        <f t="shared" si="38"/>
        <v>Error?</v>
      </c>
    </row>
    <row r="2556" spans="1:4" x14ac:dyDescent="0.2">
      <c r="A2556" s="5">
        <v>2495</v>
      </c>
      <c r="B2556" s="138">
        <f>'Acct Summary 7-8'!C12</f>
        <v>7880592</v>
      </c>
      <c r="C2556" s="2" t="s">
        <v>594</v>
      </c>
      <c r="D2556" s="2" t="str">
        <f t="shared" si="38"/>
        <v>Error?</v>
      </c>
    </row>
    <row r="2557" spans="1:4" x14ac:dyDescent="0.2">
      <c r="A2557" s="5">
        <v>2496</v>
      </c>
      <c r="B2557" s="138">
        <f>'Acct Summary 7-8'!C13</f>
        <v>5689027</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1412706</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14982325</v>
      </c>
      <c r="C2561" s="2" t="s">
        <v>594</v>
      </c>
      <c r="D2561" s="2" t="str">
        <f t="shared" si="39"/>
        <v>Error?</v>
      </c>
    </row>
    <row r="2562" spans="1:4" x14ac:dyDescent="0.2">
      <c r="A2562" s="5">
        <v>2501</v>
      </c>
      <c r="B2562" s="138">
        <f>'Acct Summary 7-8'!C20</f>
        <v>510802</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1412706</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1412706</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510802</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5728820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1232441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186174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57722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18574</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26801</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7250532</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4094783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59705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858773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16351900</v>
      </c>
      <c r="C4122" s="2" t="s">
        <v>594</v>
      </c>
      <c r="D4122" s="2" t="str">
        <f t="shared" si="63"/>
        <v>Error?</v>
      </c>
    </row>
    <row r="4123" spans="1:4" x14ac:dyDescent="0.2">
      <c r="A4123" s="5">
        <v>4062</v>
      </c>
      <c r="B4123" s="138">
        <f>'Acct Summary 7-8'!D10</f>
        <v>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858773</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15841098</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4094783</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196327</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240199</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595840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33566</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9818742</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9818742</v>
      </c>
      <c r="C5087" s="2" t="s">
        <v>594</v>
      </c>
      <c r="D5087" s="2" t="str">
        <f t="shared" si="78"/>
        <v>Error?</v>
      </c>
    </row>
    <row r="5088" spans="1:4" x14ac:dyDescent="0.2">
      <c r="A5088" s="5">
        <v>5027</v>
      </c>
      <c r="B5088" s="138">
        <f>'Revenues 9-14'!C65</f>
        <v>15856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15856</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2376</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12117</v>
      </c>
      <c r="D5119" s="2" t="str">
        <f t="shared" ref="D5119:D5182" si="79">IF(ISBLANK(B5119),"OK",IF(A5119-B5119=0,"OK","Error?"))</f>
        <v>Error?</v>
      </c>
    </row>
    <row r="5120" spans="1:4" x14ac:dyDescent="0.2">
      <c r="A5120" s="5">
        <v>5059</v>
      </c>
      <c r="B5120" s="138">
        <f>'Revenues 9-14'!C108</f>
        <v>607957</v>
      </c>
      <c r="C5120" s="2" t="s">
        <v>594</v>
      </c>
      <c r="D5120" s="2" t="str">
        <f t="shared" si="79"/>
        <v>Error?</v>
      </c>
    </row>
    <row r="5121" spans="1:4" x14ac:dyDescent="0.2">
      <c r="A5121" s="5">
        <v>5060</v>
      </c>
      <c r="B5121" s="138">
        <f>'Revenues 9-14'!C109</f>
        <v>10444931</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1197875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1197875</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1102386</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1102386</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698</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698</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753</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1103837</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2301712</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48698</v>
      </c>
      <c r="D5239" s="2" t="str">
        <f t="shared" si="80"/>
        <v>Error?</v>
      </c>
    </row>
    <row r="5240" spans="1:4" x14ac:dyDescent="0.2">
      <c r="A5240" s="5">
        <v>5179</v>
      </c>
      <c r="B5240" s="138">
        <f>'Revenues 9-14'!C195</f>
        <v>1125</v>
      </c>
      <c r="D5240" s="2" t="str">
        <f t="shared" si="80"/>
        <v>Error?</v>
      </c>
    </row>
    <row r="5241" spans="1:4" x14ac:dyDescent="0.2">
      <c r="A5241" s="5">
        <v>5180</v>
      </c>
      <c r="B5241" s="138">
        <f>'Revenues 9-14'!C196</f>
        <v>9882</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59705</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65677</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2151010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2216687</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2746484</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2746484</v>
      </c>
      <c r="C5326" s="2" t="s">
        <v>594</v>
      </c>
      <c r="D5326" s="2" t="str">
        <f t="shared" si="82"/>
        <v>Error?</v>
      </c>
    </row>
    <row r="5327" spans="1:4" x14ac:dyDescent="0.2">
      <c r="A5327" s="5">
        <v>5266</v>
      </c>
      <c r="B5327" s="138">
        <f>'Revenues 9-14'!C275</f>
        <v>15493127</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2376</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510802</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0.12474458353470745</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473315</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419533</v>
      </c>
      <c r="D7251" s="2" t="str">
        <f t="shared" si="112"/>
        <v>Error?</v>
      </c>
    </row>
    <row r="7252" spans="1:4" x14ac:dyDescent="0.2">
      <c r="A7252">
        <f t="shared" si="113"/>
        <v>7191</v>
      </c>
      <c r="B7252" s="138">
        <f>'Expenditures 15-22'!D9</f>
        <v>28814</v>
      </c>
      <c r="D7252" s="2" t="str">
        <f t="shared" si="112"/>
        <v>Error?</v>
      </c>
    </row>
    <row r="7253" spans="1:4" x14ac:dyDescent="0.2">
      <c r="A7253">
        <f t="shared" si="113"/>
        <v>7192</v>
      </c>
      <c r="B7253" s="138">
        <f>'Expenditures 15-22'!E9</f>
        <v>6500</v>
      </c>
      <c r="D7253" s="2" t="str">
        <f t="shared" si="112"/>
        <v>Error?</v>
      </c>
    </row>
    <row r="7254" spans="1:4" x14ac:dyDescent="0.2">
      <c r="A7254">
        <f t="shared" si="113"/>
        <v>7193</v>
      </c>
      <c r="B7254" s="138">
        <f>'Expenditures 15-22'!F9</f>
        <v>14689</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3779</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200712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1963</v>
      </c>
    </row>
    <row r="7775" spans="1:5" x14ac:dyDescent="0.2">
      <c r="A7775">
        <v>7714</v>
      </c>
      <c r="B7775" s="138">
        <f>'Expenditures 15-22'!H133</f>
        <v>0</v>
      </c>
      <c r="D7775" s="2" t="str">
        <f t="shared" si="127"/>
        <v>Error?</v>
      </c>
      <c r="E7775" s="4" t="s">
        <v>1963</v>
      </c>
    </row>
    <row r="7776" spans="1:5" x14ac:dyDescent="0.2">
      <c r="A7776">
        <v>7715</v>
      </c>
      <c r="B7776" s="138">
        <f>'Expenditures 15-22'!K133</f>
        <v>0</v>
      </c>
      <c r="D7776" s="2" t="str">
        <f t="shared" si="127"/>
        <v>Error?</v>
      </c>
      <c r="E7776" s="4" t="s">
        <v>1963</v>
      </c>
    </row>
    <row r="7777" spans="1:5" x14ac:dyDescent="0.2">
      <c r="A7777">
        <v>7716</v>
      </c>
      <c r="B7777" s="138">
        <f>'Expenditures 15-22'!H157</f>
        <v>0</v>
      </c>
      <c r="D7777" s="2" t="str">
        <f t="shared" si="127"/>
        <v>Error?</v>
      </c>
      <c r="E7777" s="4" t="s">
        <v>1963</v>
      </c>
    </row>
    <row r="7778" spans="1:5" x14ac:dyDescent="0.2">
      <c r="A7778">
        <v>7717</v>
      </c>
      <c r="B7778" s="138">
        <f>'Expenditures 15-22'!K157</f>
        <v>0</v>
      </c>
      <c r="D7778" s="2" t="str">
        <f t="shared" si="127"/>
        <v>Error?</v>
      </c>
      <c r="E7778" s="4" t="s">
        <v>1963</v>
      </c>
    </row>
    <row r="7779" spans="1:5" x14ac:dyDescent="0.2">
      <c r="A7779">
        <v>7718</v>
      </c>
      <c r="B7779" s="138">
        <f>'Expenditures 15-22'!H158</f>
        <v>0</v>
      </c>
      <c r="D7779" s="2" t="str">
        <f t="shared" si="127"/>
        <v>Error?</v>
      </c>
      <c r="E7779" s="4" t="s">
        <v>1963</v>
      </c>
    </row>
    <row r="7780" spans="1:5" x14ac:dyDescent="0.2">
      <c r="A7780">
        <v>7719</v>
      </c>
      <c r="B7780" s="138">
        <f>'Expenditures 15-22'!K158</f>
        <v>0</v>
      </c>
      <c r="D7780" s="2" t="str">
        <f t="shared" si="127"/>
        <v>Error?</v>
      </c>
      <c r="E7780" s="4" t="s">
        <v>1963</v>
      </c>
    </row>
    <row r="7781" spans="1:5" x14ac:dyDescent="0.2">
      <c r="A7781">
        <v>7720</v>
      </c>
      <c r="B7781" s="138">
        <f>'Expenditures 15-22'!H159</f>
        <v>0</v>
      </c>
      <c r="D7781" s="2" t="str">
        <f t="shared" si="127"/>
        <v>Error?</v>
      </c>
      <c r="E7781" s="4" t="s">
        <v>1963</v>
      </c>
    </row>
    <row r="7782" spans="1:5" x14ac:dyDescent="0.2">
      <c r="A7782">
        <v>7721</v>
      </c>
      <c r="B7782" s="138">
        <f>'Expenditures 15-22'!K159</f>
        <v>0</v>
      </c>
      <c r="D7782" s="2" t="str">
        <f t="shared" si="127"/>
        <v>Error?</v>
      </c>
      <c r="E7782" s="4" t="s">
        <v>1963</v>
      </c>
    </row>
    <row r="7783" spans="1:5" x14ac:dyDescent="0.2">
      <c r="A7783">
        <v>7722</v>
      </c>
      <c r="B7783" s="138">
        <f>'Expenditures 15-22'!D282</f>
        <v>0</v>
      </c>
      <c r="D7783" s="2" t="str">
        <f t="shared" si="127"/>
        <v>Error?</v>
      </c>
      <c r="E7783" s="4" t="s">
        <v>1963</v>
      </c>
    </row>
    <row r="7784" spans="1:5" x14ac:dyDescent="0.2">
      <c r="A7784">
        <v>7723</v>
      </c>
      <c r="B7784" s="138">
        <f>'Expenditures 15-22'!K282</f>
        <v>0</v>
      </c>
      <c r="D7784" s="2" t="str">
        <f t="shared" si="127"/>
        <v>Error?</v>
      </c>
      <c r="E7784" s="4" t="s">
        <v>1963</v>
      </c>
    </row>
    <row r="7785" spans="1:5" x14ac:dyDescent="0.2">
      <c r="A7785">
        <v>7724</v>
      </c>
      <c r="B7785" s="138">
        <f>'Expenditures 15-22'!H332</f>
        <v>0</v>
      </c>
      <c r="D7785" s="2" t="str">
        <f t="shared" si="127"/>
        <v>Error?</v>
      </c>
      <c r="E7785" s="4" t="s">
        <v>1963</v>
      </c>
    </row>
    <row r="7786" spans="1:5" x14ac:dyDescent="0.2">
      <c r="A7786">
        <v>7725</v>
      </c>
      <c r="B7786" s="138">
        <f>'Expenditures 15-22'!K332</f>
        <v>0</v>
      </c>
      <c r="D7786" s="2" t="str">
        <f t="shared" si="127"/>
        <v>Error?</v>
      </c>
      <c r="E7786" s="4" t="s">
        <v>1963</v>
      </c>
    </row>
    <row r="7787" spans="1:5" x14ac:dyDescent="0.2">
      <c r="A7787">
        <v>7726</v>
      </c>
      <c r="B7787" s="138">
        <f>'Expenditures 15-22'!H333</f>
        <v>0</v>
      </c>
      <c r="D7787" s="2" t="str">
        <f t="shared" si="127"/>
        <v>Error?</v>
      </c>
      <c r="E7787" s="4" t="s">
        <v>1963</v>
      </c>
    </row>
    <row r="7788" spans="1:5" x14ac:dyDescent="0.2">
      <c r="A7788">
        <v>7727</v>
      </c>
      <c r="B7788" s="138">
        <f>'Expenditures 15-22'!K333</f>
        <v>0</v>
      </c>
      <c r="D7788" s="2" t="str">
        <f t="shared" si="127"/>
        <v>Error?</v>
      </c>
      <c r="E7788" s="4" t="s">
        <v>1963</v>
      </c>
    </row>
    <row r="7789" spans="1:5" x14ac:dyDescent="0.2">
      <c r="A7789">
        <v>7728</v>
      </c>
      <c r="B7789" s="138">
        <f>'Expenditures 15-22'!H334</f>
        <v>0</v>
      </c>
      <c r="D7789" s="2" t="str">
        <f t="shared" si="127"/>
        <v>Error?</v>
      </c>
      <c r="E7789" s="4" t="s">
        <v>1963</v>
      </c>
    </row>
    <row r="7790" spans="1:5" x14ac:dyDescent="0.2">
      <c r="A7790">
        <v>7729</v>
      </c>
      <c r="B7790" s="138">
        <f>'Expenditures 15-22'!K334</f>
        <v>0</v>
      </c>
      <c r="D7790" s="2" t="str">
        <f t="shared" si="127"/>
        <v>Error?</v>
      </c>
      <c r="E7790" s="4" t="s">
        <v>1963</v>
      </c>
    </row>
    <row r="7791" spans="1:5" x14ac:dyDescent="0.2">
      <c r="A7791">
        <v>7730</v>
      </c>
      <c r="B7791" s="138">
        <f>'Expenditures 15-22'!H354</f>
        <v>0</v>
      </c>
      <c r="D7791" s="2" t="str">
        <f t="shared" si="127"/>
        <v>Error?</v>
      </c>
      <c r="E7791" s="4" t="s">
        <v>1963</v>
      </c>
    </row>
    <row r="7792" spans="1:5" x14ac:dyDescent="0.2">
      <c r="A7792">
        <v>7731</v>
      </c>
      <c r="B7792" s="138">
        <f>'Expenditures 15-22'!K354</f>
        <v>0</v>
      </c>
      <c r="D7792" s="2" t="str">
        <f t="shared" si="127"/>
        <v>Error?</v>
      </c>
      <c r="E7792" s="4" t="s">
        <v>1963</v>
      </c>
    </row>
    <row r="7793" spans="1:5" x14ac:dyDescent="0.2">
      <c r="A7793">
        <v>7732</v>
      </c>
      <c r="B7793" s="138">
        <f>'Expenditures 15-22'!H355</f>
        <v>0</v>
      </c>
      <c r="D7793" s="2" t="str">
        <f t="shared" si="127"/>
        <v>Error?</v>
      </c>
      <c r="E7793" s="4" t="s">
        <v>1963</v>
      </c>
    </row>
    <row r="7794" spans="1:5" x14ac:dyDescent="0.2">
      <c r="A7794">
        <v>7733</v>
      </c>
      <c r="B7794" s="138">
        <f>'Expenditures 15-22'!K355</f>
        <v>0</v>
      </c>
      <c r="D7794" s="2" t="str">
        <f t="shared" si="127"/>
        <v>Error?</v>
      </c>
      <c r="E7794" s="4" t="s">
        <v>1963</v>
      </c>
    </row>
    <row r="7795" spans="1:5" x14ac:dyDescent="0.2">
      <c r="A7795">
        <v>7734</v>
      </c>
      <c r="B7795" s="138">
        <f>'Expenditures 15-22'!E138</f>
        <v>0</v>
      </c>
      <c r="D7795" s="2" t="str">
        <f t="shared" si="127"/>
        <v>Error?</v>
      </c>
      <c r="E7795" s="4" t="s">
        <v>1963</v>
      </c>
    </row>
    <row r="7796" spans="1:5" x14ac:dyDescent="0.2">
      <c r="A7796">
        <v>7735</v>
      </c>
      <c r="B7796" s="138">
        <f>'Acct Summary 7-8'!J15</f>
        <v>0</v>
      </c>
      <c r="D7796" s="2" t="str">
        <f t="shared" si="127"/>
        <v>Error?</v>
      </c>
      <c r="E7796" s="4" t="s">
        <v>1963</v>
      </c>
    </row>
    <row r="7797" spans="1:5" x14ac:dyDescent="0.2">
      <c r="A7797">
        <v>7736</v>
      </c>
      <c r="B7797" s="138">
        <f>'Contracts Paid in CY 29'!D141</f>
        <v>0</v>
      </c>
      <c r="D7797" s="2" t="str">
        <f t="shared" si="127"/>
        <v>Error?</v>
      </c>
      <c r="E7797" s="4" t="s">
        <v>2016</v>
      </c>
    </row>
    <row r="7798" spans="1:5" x14ac:dyDescent="0.2">
      <c r="A7798">
        <v>7737</v>
      </c>
      <c r="B7798" s="138">
        <f>'Contracts Paid in CY 29'!F141</f>
        <v>0</v>
      </c>
      <c r="D7798" s="2" t="str">
        <f t="shared" si="127"/>
        <v>Error?</v>
      </c>
      <c r="E7798" s="4" t="s">
        <v>2016</v>
      </c>
    </row>
    <row r="7799" spans="1:5" x14ac:dyDescent="0.2">
      <c r="A7799">
        <v>7738</v>
      </c>
      <c r="B7799" s="138">
        <f>'Contracts Paid in CY 29'!G141</f>
        <v>0</v>
      </c>
      <c r="D7799" s="2" t="str">
        <f t="shared" si="127"/>
        <v>Error?</v>
      </c>
      <c r="E7799" s="4" t="s">
        <v>2016</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K39" sqref="K39"/>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9" t="s">
        <v>1253</v>
      </c>
      <c r="B2" s="2399"/>
      <c r="C2" s="2399"/>
      <c r="D2" s="2399"/>
      <c r="E2" s="2399"/>
      <c r="F2" s="2399"/>
      <c r="G2" s="2399"/>
      <c r="H2" s="2399"/>
      <c r="I2" s="2399"/>
      <c r="J2" s="2399"/>
      <c r="K2" s="2399"/>
      <c r="L2" s="2399"/>
    </row>
    <row r="3" spans="1:29" ht="13.5" customHeight="1" x14ac:dyDescent="0.2">
      <c r="A3" s="2430" t="s">
        <v>1252</v>
      </c>
      <c r="B3" s="2430"/>
      <c r="C3" s="2430"/>
      <c r="D3" s="2430"/>
      <c r="E3" s="2430"/>
      <c r="F3" s="2430"/>
      <c r="G3" s="2430"/>
      <c r="H3" s="2430"/>
      <c r="I3" s="2430"/>
      <c r="J3" s="2430"/>
      <c r="K3" s="2430"/>
      <c r="L3" s="2430"/>
    </row>
    <row r="4" spans="1:29" ht="13.5" customHeight="1" x14ac:dyDescent="0.2">
      <c r="A4" s="2399" t="s">
        <v>1799</v>
      </c>
      <c r="B4" s="2420"/>
      <c r="C4" s="2420"/>
      <c r="D4" s="2420"/>
      <c r="E4" s="2420"/>
      <c r="F4" s="2420"/>
      <c r="G4" s="2420"/>
      <c r="H4" s="2420"/>
      <c r="I4" s="2420"/>
      <c r="J4" s="2420"/>
      <c r="K4" s="2420"/>
      <c r="L4" s="242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1" t="str">
        <f>COVER!A17</f>
        <v>Southern Will County Cooperative for Special Education</v>
      </c>
      <c r="B7" s="2422"/>
      <c r="C7" s="2422"/>
      <c r="D7" s="2423"/>
      <c r="E7" s="2424" t="str">
        <f>COVER!A13</f>
        <v>56-099-255U-61</v>
      </c>
      <c r="F7" s="2425"/>
      <c r="G7" s="2431" t="str">
        <f>COVER!T23</f>
        <v>066-005100</v>
      </c>
      <c r="H7" s="2432"/>
      <c r="I7" s="2432"/>
      <c r="J7" s="2432"/>
      <c r="K7" s="2432"/>
      <c r="L7" s="2433"/>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4"/>
      <c r="B9" s="2435"/>
      <c r="C9" s="2435"/>
      <c r="D9" s="2435"/>
      <c r="E9" s="2435"/>
      <c r="F9" s="2436"/>
      <c r="G9" s="2405" t="str">
        <f>COVER!T13</f>
        <v>Mack &amp; Associates, P.C.</v>
      </c>
      <c r="H9" s="2437"/>
      <c r="I9" s="2437"/>
      <c r="J9" s="2437"/>
      <c r="K9" s="2437"/>
      <c r="L9" s="2438"/>
    </row>
    <row r="10" spans="1:29" ht="13.5" customHeight="1" x14ac:dyDescent="0.2">
      <c r="A10" s="2411" t="str">
        <f>COVER!A38</f>
        <v>Bill Roseland</v>
      </c>
      <c r="B10" s="2412"/>
      <c r="C10" s="2412"/>
      <c r="D10" s="2412"/>
      <c r="E10" s="2412"/>
      <c r="F10" s="2413"/>
      <c r="G10" s="2405" t="str">
        <f>COVER!T17</f>
        <v>116 E. Washington Street, Suite One</v>
      </c>
      <c r="H10" s="2406"/>
      <c r="I10" s="2406"/>
      <c r="J10" s="2406"/>
      <c r="K10" s="2406"/>
      <c r="L10" s="2407"/>
    </row>
    <row r="11" spans="1:29" ht="13.5" customHeight="1" x14ac:dyDescent="0.2">
      <c r="A11" s="1185" t="s">
        <v>1599</v>
      </c>
      <c r="B11" s="1186"/>
      <c r="C11" s="1187"/>
      <c r="D11" s="1192"/>
      <c r="E11" s="1187"/>
      <c r="F11" s="1191"/>
      <c r="G11" s="2405" t="str">
        <f>COVER!T19</f>
        <v>Morris</v>
      </c>
      <c r="H11" s="2406"/>
      <c r="I11" s="2406"/>
      <c r="J11" s="2406"/>
      <c r="K11" s="2406"/>
      <c r="L11" s="2407"/>
    </row>
    <row r="12" spans="1:29" ht="13.5" customHeight="1" x14ac:dyDescent="0.2">
      <c r="A12" s="2414" t="s">
        <v>1598</v>
      </c>
      <c r="B12" s="2415"/>
      <c r="C12" s="2415"/>
      <c r="D12" s="2415"/>
      <c r="E12" s="2415"/>
      <c r="F12" s="2416"/>
      <c r="G12" s="2408"/>
      <c r="H12" s="2409"/>
      <c r="I12" s="2409"/>
      <c r="J12" s="2409"/>
      <c r="K12" s="2409"/>
      <c r="L12" s="2410"/>
    </row>
    <row r="13" spans="1:29" ht="13.5" customHeight="1" x14ac:dyDescent="0.2">
      <c r="A13" s="2405"/>
      <c r="B13" s="2406"/>
      <c r="C13" s="2406"/>
      <c r="D13" s="2406"/>
      <c r="E13" s="2406"/>
      <c r="F13" s="2407"/>
      <c r="G13" s="2400" t="s">
        <v>1600</v>
      </c>
      <c r="H13" s="2401"/>
      <c r="I13" s="2417" t="str">
        <f>COVER!T25</f>
        <v>tmack@mackcpas.com</v>
      </c>
      <c r="J13" s="2418"/>
      <c r="K13" s="2418"/>
      <c r="L13" s="2419"/>
    </row>
    <row r="14" spans="1:29" ht="13.5" customHeight="1" x14ac:dyDescent="0.2">
      <c r="A14" s="2405" t="str">
        <f>COVER!A19</f>
        <v>1207 N. Larkin Avenue</v>
      </c>
      <c r="B14" s="2406"/>
      <c r="C14" s="2406"/>
      <c r="D14" s="2406"/>
      <c r="E14" s="2406"/>
      <c r="F14" s="2407"/>
      <c r="G14" s="1196" t="s">
        <v>1247</v>
      </c>
      <c r="H14" s="1194"/>
      <c r="I14" s="1194"/>
      <c r="J14" s="1194"/>
      <c r="K14" s="1194"/>
      <c r="L14" s="1195"/>
    </row>
    <row r="15" spans="1:29" ht="13.5" customHeight="1" x14ac:dyDescent="0.2">
      <c r="A15" s="2405" t="str">
        <f>COVER!A21</f>
        <v>Joliet</v>
      </c>
      <c r="B15" s="2406"/>
      <c r="C15" s="2406"/>
      <c r="D15" s="2406"/>
      <c r="E15" s="2406"/>
      <c r="F15" s="2407"/>
      <c r="G15" s="2402" t="str">
        <f>COVER!T15</f>
        <v>Tawnya Mack, CPA</v>
      </c>
      <c r="H15" s="2403"/>
      <c r="I15" s="2403"/>
      <c r="J15" s="2403"/>
      <c r="K15" s="2403"/>
      <c r="L15" s="2404"/>
    </row>
    <row r="16" spans="1:29" ht="12.2" customHeight="1" x14ac:dyDescent="0.2">
      <c r="A16" s="2427">
        <f>COVER!A25</f>
        <v>60435</v>
      </c>
      <c r="B16" s="2428"/>
      <c r="C16" s="2428"/>
      <c r="D16" s="2428"/>
      <c r="E16" s="2428"/>
      <c r="F16" s="2429"/>
      <c r="G16" s="2439"/>
      <c r="H16" s="2440"/>
      <c r="I16" s="2440"/>
      <c r="J16" s="2440"/>
      <c r="K16" s="2440"/>
      <c r="L16" s="2441"/>
    </row>
    <row r="17" spans="1:13" ht="12.2" customHeight="1" x14ac:dyDescent="0.2">
      <c r="A17" s="2442"/>
      <c r="B17" s="2428"/>
      <c r="C17" s="2428"/>
      <c r="D17" s="2428"/>
      <c r="E17" s="2428"/>
      <c r="F17" s="2429"/>
      <c r="G17" s="1196" t="s">
        <v>1246</v>
      </c>
      <c r="H17" s="1194"/>
      <c r="I17" s="1194"/>
      <c r="J17" s="1194"/>
      <c r="K17" s="1198" t="s">
        <v>1245</v>
      </c>
      <c r="L17" s="1191"/>
      <c r="M17" s="1184"/>
    </row>
    <row r="18" spans="1:13" ht="12.2" customHeight="1" x14ac:dyDescent="0.2">
      <c r="A18" s="2411"/>
      <c r="B18" s="2412"/>
      <c r="C18" s="2412"/>
      <c r="D18" s="2412"/>
      <c r="E18" s="2412"/>
      <c r="F18" s="2413"/>
      <c r="G18" s="2421" t="str">
        <f>COVER!T21</f>
        <v>815-942-3306</v>
      </c>
      <c r="H18" s="2422"/>
      <c r="I18" s="2422"/>
      <c r="J18" s="2422"/>
      <c r="K18" s="2421" t="str">
        <f>COVER!X21</f>
        <v>815-942-9430</v>
      </c>
      <c r="L18" s="242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t="s">
        <v>2095</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2095</v>
      </c>
      <c r="C26" s="1203" t="s">
        <v>1801</v>
      </c>
    </row>
    <row r="27" spans="1:13" s="1199" customFormat="1" ht="9" customHeight="1" x14ac:dyDescent="0.2">
      <c r="B27" s="1204"/>
      <c r="C27" s="1203"/>
    </row>
    <row r="28" spans="1:13" s="1199" customFormat="1" ht="12.2" customHeight="1" x14ac:dyDescent="0.2">
      <c r="A28" s="1206"/>
      <c r="B28" s="1202" t="s">
        <v>2095</v>
      </c>
      <c r="C28" s="1203" t="s">
        <v>1802</v>
      </c>
    </row>
    <row r="29" spans="1:13" s="1199" customFormat="1" ht="9" customHeight="1" x14ac:dyDescent="0.2">
      <c r="A29" s="1206"/>
      <c r="B29" s="1204"/>
      <c r="C29" s="1203"/>
    </row>
    <row r="30" spans="1:13" s="1199" customFormat="1" ht="12.2" customHeight="1" x14ac:dyDescent="0.2">
      <c r="B30" s="1202" t="s">
        <v>2095</v>
      </c>
      <c r="C30" s="1203" t="s">
        <v>1643</v>
      </c>
      <c r="D30" s="1197"/>
      <c r="E30" s="1197"/>
    </row>
    <row r="31" spans="1:13" s="1199" customFormat="1" ht="9" customHeight="1" x14ac:dyDescent="0.2">
      <c r="B31" s="1204"/>
      <c r="C31" s="1203"/>
      <c r="D31" s="1197"/>
      <c r="E31" s="1197"/>
    </row>
    <row r="32" spans="1:13" s="1199" customFormat="1" ht="12.2" customHeight="1" x14ac:dyDescent="0.2">
      <c r="B32" s="1202" t="s">
        <v>2095</v>
      </c>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t="s">
        <v>2095</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2095</v>
      </c>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1943</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Southern Will County Cooperative for Special Education</v>
      </c>
      <c r="B1" s="2420"/>
      <c r="C1" s="2420"/>
      <c r="D1" s="2420"/>
    </row>
    <row r="2" spans="1:11" s="1215" customFormat="1" ht="12.75" x14ac:dyDescent="0.2">
      <c r="A2" s="2444" t="str">
        <f>'Single Audit Cover'!E7</f>
        <v>56-099-255U-61</v>
      </c>
      <c r="B2" s="2445"/>
      <c r="C2" s="2445"/>
      <c r="D2" s="2445"/>
    </row>
    <row r="3" spans="1:11" s="1215" customFormat="1" ht="12.75" x14ac:dyDescent="0.2">
      <c r="A3" s="2443" t="s">
        <v>1593</v>
      </c>
      <c r="B3" s="2420"/>
      <c r="C3" s="2420"/>
      <c r="D3" s="242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1944</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Southern Will County Cooperative for Special Education</v>
      </c>
      <c r="B1" s="2447"/>
      <c r="C1" s="2447"/>
      <c r="D1" s="2447"/>
      <c r="E1" s="2447"/>
    </row>
    <row r="2" spans="1:5" x14ac:dyDescent="0.2">
      <c r="A2" s="2448" t="str">
        <f>'Single Audit Cover'!E7</f>
        <v>56-099-255U-61</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2746484</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1952</v>
      </c>
      <c r="B16" s="1262"/>
      <c r="C16" s="1262"/>
    </row>
    <row r="17" spans="1:4" x14ac:dyDescent="0.2">
      <c r="A17" s="1261" t="s">
        <v>1601</v>
      </c>
      <c r="B17" s="1262" t="s">
        <v>1298</v>
      </c>
      <c r="C17" s="1262"/>
      <c r="D17" s="1264">
        <f>-SUM('Revenues 9-14'!C271:D271,'Revenues 9-14'!F271:G271)</f>
        <v>-240199</v>
      </c>
    </row>
    <row r="19" spans="1:4" ht="13.5" thickBot="1" x14ac:dyDescent="0.25">
      <c r="A19" s="1265" t="s">
        <v>1297</v>
      </c>
      <c r="D19" s="1266">
        <f>SUM(D10:D17)</f>
        <v>2506285</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2506285</v>
      </c>
    </row>
    <row r="33" spans="1:4" x14ac:dyDescent="0.2">
      <c r="D33" s="1269"/>
    </row>
    <row r="34" spans="1:4" x14ac:dyDescent="0.2">
      <c r="A34" s="317" t="s">
        <v>1294</v>
      </c>
    </row>
    <row r="35" spans="1:4" x14ac:dyDescent="0.2">
      <c r="A35" s="317" t="s">
        <v>1293</v>
      </c>
      <c r="B35" s="1258" t="s">
        <v>1292</v>
      </c>
      <c r="D35" s="1270">
        <v>2506285</v>
      </c>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2506285</v>
      </c>
    </row>
    <row r="49" spans="2:4" x14ac:dyDescent="0.2">
      <c r="B49" s="1272" t="s">
        <v>1288</v>
      </c>
      <c r="C49" s="1272"/>
      <c r="D49" s="1273">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C44" sqref="C44"/>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0" t="str">
        <f>'Single Audit Cover'!A7</f>
        <v>Southern Will County Cooperative for Special Education</v>
      </c>
      <c r="B1" s="2460"/>
      <c r="C1" s="2460"/>
      <c r="D1" s="2460"/>
      <c r="E1" s="2460"/>
      <c r="F1" s="2460"/>
    </row>
    <row r="2" spans="1:7" ht="13.5" customHeight="1" x14ac:dyDescent="0.2">
      <c r="A2" s="2461" t="str">
        <f>'Single Audit Cover'!E7</f>
        <v>56-099-255U-61</v>
      </c>
      <c r="B2" s="2461"/>
      <c r="C2" s="2461"/>
      <c r="D2" s="2461"/>
      <c r="E2" s="2461"/>
      <c r="F2" s="2461"/>
      <c r="G2" s="1275"/>
    </row>
    <row r="3" spans="1:7" ht="15.75" customHeight="1" x14ac:dyDescent="0.2">
      <c r="A3" s="2462" t="s">
        <v>1333</v>
      </c>
      <c r="B3" s="2462"/>
      <c r="C3" s="2462"/>
      <c r="D3" s="2462"/>
      <c r="E3" s="2462"/>
      <c r="F3" s="2462"/>
    </row>
    <row r="4" spans="1:7" ht="13.5" customHeight="1" x14ac:dyDescent="0.2">
      <c r="A4" s="2463" t="str">
        <f>'Single Audit Cover'!A4</f>
        <v>Year Ending June 30, 2018</v>
      </c>
      <c r="B4" s="2463"/>
      <c r="C4" s="2463"/>
      <c r="D4" s="2463"/>
      <c r="E4" s="2463"/>
      <c r="F4" s="2463"/>
    </row>
    <row r="5" spans="1:7" ht="8.25" customHeight="1" x14ac:dyDescent="0.2">
      <c r="C5" s="317"/>
      <c r="D5" s="317"/>
    </row>
    <row r="6" spans="1:7" ht="13.5" customHeight="1" x14ac:dyDescent="0.2">
      <c r="A6" s="1276" t="s">
        <v>1831</v>
      </c>
      <c r="C6" s="317"/>
      <c r="D6" s="317"/>
    </row>
    <row r="7" spans="1:7" ht="60.95" customHeight="1" x14ac:dyDescent="0.2">
      <c r="A7" s="2459" t="s">
        <v>2115</v>
      </c>
      <c r="B7" s="2459"/>
      <c r="C7" s="2459"/>
      <c r="D7" s="2459"/>
      <c r="E7" s="2459"/>
      <c r="F7" s="2459"/>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2095</v>
      </c>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9" t="s">
        <v>2116</v>
      </c>
      <c r="B13" s="2459"/>
      <c r="C13" s="2459"/>
      <c r="D13" s="2459"/>
      <c r="E13" s="2459"/>
      <c r="F13" s="2459"/>
    </row>
    <row r="14" spans="1:7" ht="9.75" customHeight="1" x14ac:dyDescent="0.2">
      <c r="C14" s="1260"/>
      <c r="D14" s="1260"/>
    </row>
    <row r="15" spans="1:7" ht="13.5" customHeight="1" x14ac:dyDescent="0.2">
      <c r="C15" s="1871" t="s">
        <v>1332</v>
      </c>
      <c r="D15" s="2457" t="s">
        <v>1331</v>
      </c>
      <c r="E15" s="2457"/>
      <c r="F15" s="2457"/>
    </row>
    <row r="16" spans="1:7" ht="13.5" customHeight="1" x14ac:dyDescent="0.2">
      <c r="A16" s="1282"/>
      <c r="B16" s="1276" t="s">
        <v>1330</v>
      </c>
      <c r="C16" s="1871" t="s">
        <v>1329</v>
      </c>
      <c r="D16" s="2458" t="s">
        <v>1670</v>
      </c>
      <c r="E16" s="2458"/>
      <c r="F16" s="2458"/>
    </row>
    <row r="17" spans="1:6" ht="20.45" customHeight="1" x14ac:dyDescent="0.2">
      <c r="A17" s="1283"/>
      <c r="B17" s="1284" t="s">
        <v>2117</v>
      </c>
      <c r="C17" s="1285" t="s">
        <v>2118</v>
      </c>
      <c r="D17" s="2452">
        <v>33240</v>
      </c>
      <c r="E17" s="2452"/>
      <c r="F17" s="2452"/>
    </row>
    <row r="18" spans="1:6" ht="20.65" customHeight="1" x14ac:dyDescent="0.2">
      <c r="A18" s="1283"/>
      <c r="B18" s="1284" t="s">
        <v>2117</v>
      </c>
      <c r="C18" s="1285" t="s">
        <v>2119</v>
      </c>
      <c r="D18" s="2452">
        <v>1379466</v>
      </c>
      <c r="E18" s="2452"/>
      <c r="F18" s="2452"/>
    </row>
    <row r="19" spans="1:6" ht="20.65" customHeight="1" x14ac:dyDescent="0.2">
      <c r="A19" s="1283"/>
      <c r="B19" s="1284"/>
      <c r="C19" s="1285"/>
      <c r="D19" s="2452"/>
      <c r="E19" s="2452"/>
      <c r="F19" s="2452"/>
    </row>
    <row r="20" spans="1:6" ht="20.65" customHeight="1" x14ac:dyDescent="0.2">
      <c r="A20" s="1283"/>
      <c r="B20" s="1284"/>
      <c r="C20" s="1285"/>
      <c r="D20" s="2452"/>
      <c r="E20" s="2452"/>
      <c r="F20" s="2452"/>
    </row>
    <row r="21" spans="1:6" ht="20.65" customHeight="1" x14ac:dyDescent="0.2">
      <c r="A21" s="1283"/>
      <c r="B21" s="1284"/>
      <c r="C21" s="1285"/>
      <c r="D21" s="2452"/>
      <c r="E21" s="2452"/>
      <c r="F21" s="2452"/>
    </row>
    <row r="22" spans="1:6" ht="20.65" customHeight="1" x14ac:dyDescent="0.2">
      <c r="A22" s="1283"/>
      <c r="B22" s="1284"/>
      <c r="C22" s="1285"/>
      <c r="D22" s="2452"/>
      <c r="E22" s="2452"/>
      <c r="F22" s="2452"/>
    </row>
    <row r="23" spans="1:6" ht="20.65" customHeight="1" x14ac:dyDescent="0.2">
      <c r="A23" s="1283"/>
      <c r="B23" s="1284"/>
      <c r="C23" s="1285"/>
      <c r="D23" s="2452"/>
      <c r="E23" s="2452"/>
      <c r="F23" s="2452"/>
    </row>
    <row r="24" spans="1:6" ht="20.65" customHeight="1" x14ac:dyDescent="0.2">
      <c r="A24" s="1283"/>
      <c r="B24" s="1284"/>
      <c r="C24" s="1285"/>
      <c r="D24" s="2452"/>
      <c r="E24" s="2452"/>
      <c r="F24" s="2452"/>
    </row>
    <row r="25" spans="1:6" ht="20.65" customHeight="1" x14ac:dyDescent="0.2">
      <c r="A25" s="1283"/>
      <c r="B25" s="1284"/>
      <c r="C25" s="1285"/>
      <c r="D25" s="2452"/>
      <c r="E25" s="2452"/>
      <c r="F25" s="2452"/>
    </row>
    <row r="26" spans="1:6" ht="20.65" customHeight="1" x14ac:dyDescent="0.2">
      <c r="A26" s="1283"/>
      <c r="B26" s="1284"/>
      <c r="C26" s="1285"/>
      <c r="D26" s="2452"/>
      <c r="E26" s="2452"/>
      <c r="F26" s="2452"/>
    </row>
    <row r="27" spans="1:6" ht="20.65" customHeight="1" x14ac:dyDescent="0.2">
      <c r="A27" s="1283"/>
      <c r="B27" s="1284"/>
      <c r="C27" s="1285"/>
      <c r="D27" s="2452"/>
      <c r="E27" s="2452"/>
      <c r="F27" s="2452"/>
    </row>
    <row r="28" spans="1:6" ht="20.65" customHeight="1" x14ac:dyDescent="0.2">
      <c r="A28" s="1283"/>
      <c r="B28" s="1284"/>
      <c r="C28" s="1285"/>
      <c r="D28" s="2452"/>
      <c r="E28" s="2452"/>
      <c r="F28" s="2452"/>
    </row>
    <row r="29" spans="1:6" ht="20.65" customHeight="1" x14ac:dyDescent="0.2">
      <c r="A29" s="1283"/>
      <c r="B29" s="1284"/>
      <c r="C29" s="1285"/>
      <c r="D29" s="2452"/>
      <c r="E29" s="2452"/>
      <c r="F29" s="2452"/>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3" t="s">
        <v>2120</v>
      </c>
      <c r="B32" s="2453"/>
      <c r="C32" s="2453"/>
      <c r="D32" s="2453"/>
      <c r="E32" s="2453"/>
      <c r="F32" s="2453"/>
    </row>
    <row r="33" spans="1:6" ht="13.5" customHeight="1" x14ac:dyDescent="0.2">
      <c r="A33" s="328" t="s">
        <v>1509</v>
      </c>
      <c r="B33" s="328"/>
      <c r="C33" s="1288">
        <v>0</v>
      </c>
      <c r="D33" s="1928"/>
      <c r="E33" s="1286"/>
    </row>
    <row r="34" spans="1:6" ht="13.5" customHeight="1" x14ac:dyDescent="0.2">
      <c r="A34" s="328" t="s">
        <v>1945</v>
      </c>
      <c r="B34" s="328"/>
      <c r="C34" s="1289">
        <v>0</v>
      </c>
      <c r="D34" s="1928" t="s">
        <v>1671</v>
      </c>
      <c r="E34" s="2454">
        <f>+C33+C34</f>
        <v>0</v>
      </c>
      <c r="F34" s="2455"/>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v>0</v>
      </c>
      <c r="D38" s="1928"/>
      <c r="E38" s="1286"/>
    </row>
    <row r="39" spans="1:6" ht="14.25" customHeight="1" x14ac:dyDescent="0.2">
      <c r="A39" s="328"/>
      <c r="B39" s="328" t="s">
        <v>1511</v>
      </c>
      <c r="C39" s="1292">
        <v>0</v>
      </c>
      <c r="D39" s="1928"/>
      <c r="E39" s="1286"/>
    </row>
    <row r="40" spans="1:6" ht="14.25" customHeight="1" x14ac:dyDescent="0.2">
      <c r="A40" s="328"/>
      <c r="B40" s="328" t="s">
        <v>1512</v>
      </c>
      <c r="C40" s="1292">
        <v>0</v>
      </c>
      <c r="D40" s="1928"/>
      <c r="E40" s="1286"/>
    </row>
    <row r="41" spans="1:6" ht="14.25" customHeight="1" x14ac:dyDescent="0.2">
      <c r="A41" s="328"/>
      <c r="B41" s="328" t="s">
        <v>1513</v>
      </c>
      <c r="C41" s="1292">
        <v>0</v>
      </c>
      <c r="D41" s="1928"/>
      <c r="E41" s="1286"/>
    </row>
    <row r="42" spans="1:6" ht="14.25" customHeight="1" x14ac:dyDescent="0.2">
      <c r="A42" s="328" t="s">
        <v>1514</v>
      </c>
      <c r="B42" s="328"/>
      <c r="C42" s="1926">
        <v>0</v>
      </c>
      <c r="D42" s="1928"/>
      <c r="E42" s="1286"/>
    </row>
    <row r="43" spans="1:6" ht="14.25" customHeight="1" x14ac:dyDescent="0.2">
      <c r="A43" s="328" t="s">
        <v>1515</v>
      </c>
      <c r="B43" s="328"/>
      <c r="C43" s="1293" t="s">
        <v>2121</v>
      </c>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6" t="s">
        <v>1672</v>
      </c>
      <c r="C49" s="2456"/>
      <c r="D49" s="2456"/>
      <c r="E49" s="1399"/>
    </row>
    <row r="50" spans="1:5" s="1300" customFormat="1" ht="3.75" customHeight="1" x14ac:dyDescent="0.2">
      <c r="A50" s="1299"/>
      <c r="B50" s="1870"/>
      <c r="C50" s="1870"/>
      <c r="D50" s="1870"/>
      <c r="E50" s="1399"/>
    </row>
    <row r="51" spans="1:5" s="1300" customFormat="1" ht="20.25" customHeight="1" x14ac:dyDescent="0.2">
      <c r="A51" s="1301">
        <v>6</v>
      </c>
      <c r="B51" s="2451" t="s">
        <v>1632</v>
      </c>
      <c r="C51" s="2451"/>
      <c r="D51" s="2451"/>
    </row>
    <row r="52" spans="1:5" ht="14.25" customHeight="1" x14ac:dyDescent="0.2">
      <c r="A52" s="1301"/>
      <c r="B52" s="2451"/>
      <c r="C52" s="2451"/>
      <c r="D52" s="245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28" sqref="B28"/>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0" t="str">
        <f>'Single Audit Cover'!A7</f>
        <v>Southern Will County Cooperative for Special Education</v>
      </c>
      <c r="C1" s="2464"/>
      <c r="D1" s="2464"/>
      <c r="E1" s="2464"/>
      <c r="F1" s="2464"/>
      <c r="G1" s="2464"/>
      <c r="H1" s="2464"/>
      <c r="I1" s="2464"/>
      <c r="J1" s="2464"/>
      <c r="K1" s="2464"/>
      <c r="L1" s="2464"/>
      <c r="M1" s="2464"/>
    </row>
    <row r="2" spans="2:14" ht="15" x14ac:dyDescent="0.2">
      <c r="B2" s="2461" t="str">
        <f>'Single Audit Cover'!E7</f>
        <v>56-099-255U-61</v>
      </c>
      <c r="C2" s="2461"/>
      <c r="D2" s="2461"/>
      <c r="E2" s="2461"/>
      <c r="F2" s="2461"/>
      <c r="G2" s="2461"/>
      <c r="H2" s="2461"/>
      <c r="I2" s="2461"/>
      <c r="J2" s="2461"/>
      <c r="K2" s="2461"/>
      <c r="L2" s="2461"/>
      <c r="M2" s="2461"/>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1946</v>
      </c>
      <c r="K8" s="1319" t="s">
        <v>1323</v>
      </c>
      <c r="L8" s="1320" t="s">
        <v>1319</v>
      </c>
      <c r="M8" s="1321" t="s">
        <v>30</v>
      </c>
    </row>
    <row r="9" spans="2:14" ht="14.25" x14ac:dyDescent="0.2">
      <c r="B9" s="1325" t="s">
        <v>1321</v>
      </c>
      <c r="C9" s="1313" t="s">
        <v>1835</v>
      </c>
      <c r="D9" s="1314" t="s">
        <v>1836</v>
      </c>
      <c r="E9" s="1322" t="s">
        <v>1663</v>
      </c>
      <c r="F9" s="1323" t="s">
        <v>1946</v>
      </c>
      <c r="G9" s="1324" t="s">
        <v>1663</v>
      </c>
      <c r="H9" s="1317" t="s">
        <v>1664</v>
      </c>
      <c r="I9" s="1319" t="s">
        <v>1946</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2122</v>
      </c>
      <c r="C11" s="1338"/>
      <c r="D11" s="1339"/>
      <c r="E11" s="1340"/>
      <c r="F11" s="1340"/>
      <c r="G11" s="1340"/>
      <c r="H11" s="1340"/>
      <c r="I11" s="1340"/>
      <c r="J11" s="1340"/>
      <c r="K11" s="1340"/>
      <c r="L11" s="1340">
        <f>+G11+I11+K11</f>
        <v>0</v>
      </c>
      <c r="M11" s="1340"/>
    </row>
    <row r="12" spans="2:14" ht="20.100000000000001" customHeight="1" x14ac:dyDescent="0.2">
      <c r="B12" s="1337" t="s">
        <v>2123</v>
      </c>
      <c r="C12" s="1341"/>
      <c r="D12" s="1342"/>
      <c r="E12" s="1343"/>
      <c r="F12" s="1343"/>
      <c r="G12" s="1343"/>
      <c r="H12" s="1343"/>
      <c r="I12" s="1343"/>
      <c r="J12" s="1343"/>
      <c r="K12" s="1343"/>
      <c r="L12" s="1340">
        <f t="shared" ref="L12:L27" si="0">+G12+I12+K12</f>
        <v>0</v>
      </c>
      <c r="M12" s="1343"/>
    </row>
    <row r="13" spans="2:14" ht="20.100000000000001" customHeight="1" x14ac:dyDescent="0.2">
      <c r="B13" s="1337" t="s">
        <v>2124</v>
      </c>
      <c r="C13" s="1341"/>
      <c r="D13" s="1342"/>
      <c r="E13" s="1343"/>
      <c r="F13" s="1343"/>
      <c r="G13" s="1343"/>
      <c r="H13" s="1343"/>
      <c r="I13" s="1343"/>
      <c r="J13" s="1343"/>
      <c r="K13" s="1343"/>
      <c r="L13" s="1340">
        <f t="shared" si="0"/>
        <v>0</v>
      </c>
      <c r="M13" s="1343"/>
    </row>
    <row r="14" spans="2:14" ht="20.100000000000001" customHeight="1" x14ac:dyDescent="0.2">
      <c r="B14" s="1337" t="s">
        <v>2125</v>
      </c>
      <c r="C14" s="1341" t="s">
        <v>2118</v>
      </c>
      <c r="D14" s="1342" t="s">
        <v>2126</v>
      </c>
      <c r="E14" s="1343">
        <v>39582</v>
      </c>
      <c r="F14" s="1343">
        <v>32765</v>
      </c>
      <c r="G14" s="1343">
        <v>72347</v>
      </c>
      <c r="H14" s="1343">
        <v>33352</v>
      </c>
      <c r="I14" s="1343"/>
      <c r="J14" s="1343"/>
      <c r="K14" s="1343"/>
      <c r="L14" s="1340">
        <f t="shared" si="0"/>
        <v>72347</v>
      </c>
      <c r="M14" s="1343">
        <v>72347</v>
      </c>
    </row>
    <row r="15" spans="2:14" ht="20.100000000000001" customHeight="1" x14ac:dyDescent="0.2">
      <c r="B15" s="1337" t="s">
        <v>2127</v>
      </c>
      <c r="C15" s="1341" t="s">
        <v>2118</v>
      </c>
      <c r="D15" s="1342" t="s">
        <v>2128</v>
      </c>
      <c r="E15" s="1343"/>
      <c r="F15" s="1343">
        <v>32912</v>
      </c>
      <c r="G15" s="1343"/>
      <c r="H15" s="1343"/>
      <c r="I15" s="1343">
        <v>72013</v>
      </c>
      <c r="J15" s="1343">
        <v>33240</v>
      </c>
      <c r="K15" s="1343"/>
      <c r="L15" s="1340">
        <f t="shared" si="0"/>
        <v>72013</v>
      </c>
      <c r="M15" s="1343">
        <v>72347</v>
      </c>
    </row>
    <row r="16" spans="2:14" ht="20.100000000000001" customHeight="1" x14ac:dyDescent="0.2">
      <c r="B16" s="1337" t="s">
        <v>2129</v>
      </c>
      <c r="C16" s="1341" t="s">
        <v>2119</v>
      </c>
      <c r="D16" s="1342" t="s">
        <v>2130</v>
      </c>
      <c r="E16" s="1343">
        <v>1173178</v>
      </c>
      <c r="F16" s="1343">
        <v>1425075</v>
      </c>
      <c r="G16" s="1343">
        <v>2598253</v>
      </c>
      <c r="H16" s="1343">
        <v>1393949</v>
      </c>
      <c r="I16" s="1343"/>
      <c r="J16" s="1343"/>
      <c r="K16" s="1343"/>
      <c r="L16" s="1340">
        <f t="shared" si="0"/>
        <v>2598253</v>
      </c>
      <c r="M16" s="1343">
        <v>2650496</v>
      </c>
    </row>
    <row r="17" spans="2:14" ht="20.100000000000001" customHeight="1" x14ac:dyDescent="0.2">
      <c r="B17" s="1337" t="s">
        <v>2131</v>
      </c>
      <c r="C17" s="1341" t="s">
        <v>2119</v>
      </c>
      <c r="D17" s="1342" t="s">
        <v>2132</v>
      </c>
      <c r="E17" s="1343"/>
      <c r="F17" s="1343">
        <v>725935</v>
      </c>
      <c r="G17" s="1343"/>
      <c r="H17" s="1343"/>
      <c r="I17" s="1343">
        <v>2468893</v>
      </c>
      <c r="J17" s="1343">
        <v>1379466</v>
      </c>
      <c r="K17" s="1343"/>
      <c r="L17" s="1340">
        <f t="shared" si="0"/>
        <v>2468893</v>
      </c>
      <c r="M17" s="1343">
        <v>2601410</v>
      </c>
    </row>
    <row r="18" spans="2:14" ht="20.100000000000001" customHeight="1" x14ac:dyDescent="0.2">
      <c r="B18" s="1337" t="s">
        <v>2133</v>
      </c>
      <c r="C18" s="1341"/>
      <c r="D18" s="1342"/>
      <c r="E18" s="1343">
        <f>+E16+E14</f>
        <v>1212760</v>
      </c>
      <c r="F18" s="1343">
        <f>+SUM(F14:F17)</f>
        <v>2216687</v>
      </c>
      <c r="G18" s="1343">
        <f>+G16+G14</f>
        <v>2670600</v>
      </c>
      <c r="H18" s="1343">
        <f>+H16+H14</f>
        <v>1427301</v>
      </c>
      <c r="I18" s="1343">
        <f>+I17+I15</f>
        <v>2540906</v>
      </c>
      <c r="J18" s="1343">
        <f>+J17+J15</f>
        <v>1412706</v>
      </c>
      <c r="K18" s="1343"/>
      <c r="L18" s="1340">
        <f t="shared" si="0"/>
        <v>5211506</v>
      </c>
      <c r="M18" s="1343">
        <f>+SUM(M14:M17)</f>
        <v>5396600</v>
      </c>
    </row>
    <row r="19" spans="2:14" ht="20.100000000000001" customHeight="1" x14ac:dyDescent="0.2">
      <c r="B19" s="1337" t="s">
        <v>2134</v>
      </c>
      <c r="C19" s="1341"/>
      <c r="D19" s="1342"/>
      <c r="E19" s="1343"/>
      <c r="F19" s="1343"/>
      <c r="G19" s="1343"/>
      <c r="H19" s="1343"/>
      <c r="I19" s="1343"/>
      <c r="J19" s="1343"/>
      <c r="K19" s="1343"/>
      <c r="L19" s="1340">
        <f t="shared" si="0"/>
        <v>0</v>
      </c>
      <c r="M19" s="1343"/>
    </row>
    <row r="20" spans="2:14" ht="20.100000000000001" customHeight="1" x14ac:dyDescent="0.2">
      <c r="B20" s="1337" t="s">
        <v>2135</v>
      </c>
      <c r="C20" s="1341">
        <v>84.126000000000005</v>
      </c>
      <c r="D20" s="1342" t="s">
        <v>2136</v>
      </c>
      <c r="E20" s="1343"/>
      <c r="F20" s="1343">
        <v>33566</v>
      </c>
      <c r="G20" s="1343"/>
      <c r="H20" s="1343"/>
      <c r="I20" s="1343">
        <v>33737</v>
      </c>
      <c r="J20" s="1343"/>
      <c r="K20" s="1343"/>
      <c r="L20" s="1340">
        <f t="shared" si="0"/>
        <v>33737</v>
      </c>
      <c r="M20" s="1343">
        <v>33737</v>
      </c>
    </row>
    <row r="21" spans="2:14" ht="20.100000000000001" customHeight="1" x14ac:dyDescent="0.2">
      <c r="B21" s="1337" t="s">
        <v>2137</v>
      </c>
      <c r="C21" s="1341"/>
      <c r="D21" s="1342"/>
      <c r="E21" s="1343">
        <f t="shared" ref="E21:J21" si="1">+E18+E20</f>
        <v>1212760</v>
      </c>
      <c r="F21" s="1343">
        <f t="shared" si="1"/>
        <v>2250253</v>
      </c>
      <c r="G21" s="1343">
        <f t="shared" si="1"/>
        <v>2670600</v>
      </c>
      <c r="H21" s="1343">
        <f t="shared" si="1"/>
        <v>1427301</v>
      </c>
      <c r="I21" s="1343">
        <f t="shared" si="1"/>
        <v>2574643</v>
      </c>
      <c r="J21" s="1343">
        <f t="shared" si="1"/>
        <v>1412706</v>
      </c>
      <c r="K21" s="1343"/>
      <c r="L21" s="1340">
        <f t="shared" si="0"/>
        <v>5245243</v>
      </c>
      <c r="M21" s="1343">
        <f>+M20+M18</f>
        <v>5430337</v>
      </c>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t="s">
        <v>2138</v>
      </c>
      <c r="C23" s="1341"/>
      <c r="D23" s="1342"/>
      <c r="E23" s="1343"/>
      <c r="F23" s="1343"/>
      <c r="G23" s="1343"/>
      <c r="H23" s="1343"/>
      <c r="I23" s="1343"/>
      <c r="J23" s="1343"/>
      <c r="K23" s="1343"/>
      <c r="L23" s="1340">
        <f t="shared" si="0"/>
        <v>0</v>
      </c>
      <c r="M23" s="1343"/>
    </row>
    <row r="24" spans="2:14" ht="20.100000000000001" customHeight="1" x14ac:dyDescent="0.2">
      <c r="B24" s="1337" t="s">
        <v>2139</v>
      </c>
      <c r="C24" s="1341"/>
      <c r="D24" s="1342"/>
      <c r="E24" s="1343"/>
      <c r="F24" s="1343"/>
      <c r="G24" s="1343"/>
      <c r="H24" s="1343"/>
      <c r="I24" s="1343"/>
      <c r="J24" s="1343"/>
      <c r="K24" s="1343"/>
      <c r="L24" s="1340">
        <f t="shared" si="0"/>
        <v>0</v>
      </c>
      <c r="M24" s="1343"/>
    </row>
    <row r="25" spans="2:14" ht="20.100000000000001" customHeight="1" x14ac:dyDescent="0.2">
      <c r="B25" s="1337" t="s">
        <v>2140</v>
      </c>
      <c r="C25" s="1341">
        <v>93.778000000000006</v>
      </c>
      <c r="D25" s="1342" t="s">
        <v>2141</v>
      </c>
      <c r="E25" s="1343">
        <v>36256</v>
      </c>
      <c r="F25" s="1343">
        <v>72124</v>
      </c>
      <c r="G25" s="1343">
        <v>108380</v>
      </c>
      <c r="H25" s="1343"/>
      <c r="I25" s="1343"/>
      <c r="J25" s="1343"/>
      <c r="K25" s="1343"/>
      <c r="L25" s="1340">
        <f t="shared" si="0"/>
        <v>108380</v>
      </c>
      <c r="M25" s="1343" t="s">
        <v>2113</v>
      </c>
    </row>
    <row r="26" spans="2:14" ht="20.100000000000001" customHeight="1" x14ac:dyDescent="0.2">
      <c r="B26" s="1337" t="s">
        <v>2142</v>
      </c>
      <c r="C26" s="1341">
        <v>93.778000000000006</v>
      </c>
      <c r="D26" s="1342" t="s">
        <v>2143</v>
      </c>
      <c r="E26" s="1343"/>
      <c r="F26" s="1343">
        <v>124203</v>
      </c>
      <c r="G26" s="1343"/>
      <c r="H26" s="1343"/>
      <c r="I26" s="1343">
        <v>129378</v>
      </c>
      <c r="J26" s="1343"/>
      <c r="K26" s="1343"/>
      <c r="L26" s="1340">
        <f t="shared" si="0"/>
        <v>129378</v>
      </c>
      <c r="M26" s="1343" t="s">
        <v>2113</v>
      </c>
    </row>
    <row r="27" spans="2:14" ht="20.100000000000001" customHeight="1" x14ac:dyDescent="0.2">
      <c r="B27" s="1337" t="s">
        <v>2144</v>
      </c>
      <c r="C27" s="1341"/>
      <c r="D27" s="1342"/>
      <c r="E27" s="1343">
        <f>+E25</f>
        <v>36256</v>
      </c>
      <c r="F27" s="1343">
        <f>+F26+F25</f>
        <v>196327</v>
      </c>
      <c r="G27" s="1343">
        <f>+G25</f>
        <v>108380</v>
      </c>
      <c r="H27" s="1343"/>
      <c r="I27" s="1343">
        <f>+I26</f>
        <v>129378</v>
      </c>
      <c r="J27" s="1343"/>
      <c r="K27" s="1343"/>
      <c r="L27" s="1340">
        <f t="shared" si="0"/>
        <v>237758</v>
      </c>
      <c r="M27" s="1343" t="s">
        <v>2113</v>
      </c>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1947</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2" colorId="8" zoomScale="110" zoomScaleNormal="110" workbookViewId="0">
      <selection activeCell="D118" sqref="D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2066</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2017</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2064</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2065</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2085</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t="s">
        <v>2094</v>
      </c>
      <c r="E118" s="322"/>
      <c r="F118" s="324"/>
      <c r="G118" s="1863"/>
      <c r="H118" s="322"/>
      <c r="I118" s="304"/>
    </row>
    <row r="119" spans="1:9" s="181" customFormat="1" ht="11.25" customHeight="1" x14ac:dyDescent="0.2">
      <c r="A119" s="325"/>
      <c r="B119" s="325"/>
      <c r="C119" s="326"/>
      <c r="D119" s="327" t="s">
        <v>379</v>
      </c>
      <c r="E119" s="310"/>
      <c r="F119" s="1862" t="s">
        <v>2018</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M22" sqref="M22"/>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0" t="str">
        <f>'Single Audit Cover'!A7</f>
        <v>Southern Will County Cooperative for Special Education</v>
      </c>
      <c r="C1" s="2464"/>
      <c r="D1" s="2464"/>
      <c r="E1" s="2464"/>
      <c r="F1" s="2464"/>
      <c r="G1" s="2464"/>
      <c r="H1" s="2464"/>
      <c r="I1" s="2464"/>
      <c r="J1" s="2464"/>
      <c r="K1" s="2464"/>
      <c r="L1" s="2464"/>
      <c r="M1" s="2464"/>
    </row>
    <row r="2" spans="2:14" ht="15" x14ac:dyDescent="0.2">
      <c r="B2" s="2461" t="str">
        <f>'Single Audit Cover'!E7</f>
        <v>56-099-255U-61</v>
      </c>
      <c r="C2" s="2461"/>
      <c r="D2" s="2461"/>
      <c r="E2" s="2461"/>
      <c r="F2" s="2461"/>
      <c r="G2" s="2461"/>
      <c r="H2" s="2461"/>
      <c r="I2" s="2461"/>
      <c r="J2" s="2461"/>
      <c r="K2" s="2461"/>
      <c r="L2" s="2461"/>
      <c r="M2" s="2461"/>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1946</v>
      </c>
      <c r="K8" s="1319" t="s">
        <v>1323</v>
      </c>
      <c r="L8" s="1320" t="s">
        <v>1319</v>
      </c>
      <c r="M8" s="1321" t="s">
        <v>30</v>
      </c>
    </row>
    <row r="9" spans="2:14" ht="14.25" x14ac:dyDescent="0.2">
      <c r="B9" s="1325" t="s">
        <v>1321</v>
      </c>
      <c r="C9" s="1313" t="s">
        <v>1835</v>
      </c>
      <c r="D9" s="1314" t="s">
        <v>1836</v>
      </c>
      <c r="E9" s="1322" t="s">
        <v>1663</v>
      </c>
      <c r="F9" s="1323" t="s">
        <v>1946</v>
      </c>
      <c r="G9" s="1324" t="s">
        <v>1663</v>
      </c>
      <c r="H9" s="1317" t="s">
        <v>1664</v>
      </c>
      <c r="I9" s="1319" t="s">
        <v>1946</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2145</v>
      </c>
      <c r="C11" s="1338"/>
      <c r="D11" s="1339"/>
      <c r="E11" s="1340"/>
      <c r="F11" s="1340"/>
      <c r="G11" s="1340"/>
      <c r="H11" s="1340"/>
      <c r="I11" s="1340"/>
      <c r="J11" s="1340"/>
      <c r="K11" s="1340"/>
      <c r="L11" s="1340">
        <f>+G11+I11+K11</f>
        <v>0</v>
      </c>
      <c r="M11" s="1340"/>
    </row>
    <row r="12" spans="2:14" ht="20.100000000000001" customHeight="1" x14ac:dyDescent="0.2">
      <c r="B12" s="1337" t="s">
        <v>2123</v>
      </c>
      <c r="C12" s="1341"/>
      <c r="D12" s="1342"/>
      <c r="E12" s="1343"/>
      <c r="F12" s="1343"/>
      <c r="G12" s="1343"/>
      <c r="H12" s="1343"/>
      <c r="I12" s="1343"/>
      <c r="J12" s="1343"/>
      <c r="K12" s="1343"/>
      <c r="L12" s="1340">
        <f t="shared" ref="L12:L27" si="0">+G12+I12+K12</f>
        <v>0</v>
      </c>
      <c r="M12" s="1343"/>
    </row>
    <row r="13" spans="2:14" ht="20.100000000000001" customHeight="1" x14ac:dyDescent="0.2">
      <c r="B13" s="1337" t="s">
        <v>2146</v>
      </c>
      <c r="C13" s="1341">
        <v>10.555</v>
      </c>
      <c r="D13" s="1342" t="s">
        <v>2147</v>
      </c>
      <c r="E13" s="1343">
        <v>28752</v>
      </c>
      <c r="F13" s="1343">
        <v>17823</v>
      </c>
      <c r="G13" s="1343">
        <v>38536</v>
      </c>
      <c r="H13" s="1343"/>
      <c r="I13" s="1343">
        <v>8039</v>
      </c>
      <c r="J13" s="1343"/>
      <c r="K13" s="1343"/>
      <c r="L13" s="1340">
        <f t="shared" si="0"/>
        <v>46575</v>
      </c>
      <c r="M13" s="1343" t="s">
        <v>2113</v>
      </c>
    </row>
    <row r="14" spans="2:14" ht="20.100000000000001" customHeight="1" x14ac:dyDescent="0.2">
      <c r="B14" s="1337" t="s">
        <v>2148</v>
      </c>
      <c r="C14" s="1341">
        <v>10.555</v>
      </c>
      <c r="D14" s="1342" t="s">
        <v>2149</v>
      </c>
      <c r="E14" s="1343"/>
      <c r="F14" s="1343">
        <v>30875</v>
      </c>
      <c r="G14" s="1343"/>
      <c r="H14" s="1343"/>
      <c r="I14" s="1343">
        <v>42984</v>
      </c>
      <c r="J14" s="1343"/>
      <c r="K14" s="1343"/>
      <c r="L14" s="1340">
        <f t="shared" si="0"/>
        <v>42984</v>
      </c>
      <c r="M14" s="1343" t="s">
        <v>2113</v>
      </c>
    </row>
    <row r="15" spans="2:14" ht="20.100000000000001" customHeight="1" x14ac:dyDescent="0.2">
      <c r="B15" s="1337" t="s">
        <v>2150</v>
      </c>
      <c r="C15" s="1341">
        <v>10.553000000000001</v>
      </c>
      <c r="D15" s="1342" t="s">
        <v>2151</v>
      </c>
      <c r="E15" s="1343">
        <v>5309</v>
      </c>
      <c r="F15" s="1343">
        <v>3734</v>
      </c>
      <c r="G15" s="1343">
        <v>7464</v>
      </c>
      <c r="H15" s="1343"/>
      <c r="I15" s="1343">
        <v>1579</v>
      </c>
      <c r="J15" s="1343"/>
      <c r="K15" s="1343"/>
      <c r="L15" s="1340">
        <f t="shared" si="0"/>
        <v>9043</v>
      </c>
      <c r="M15" s="1343" t="s">
        <v>2113</v>
      </c>
    </row>
    <row r="16" spans="2:14" ht="20.100000000000001" customHeight="1" x14ac:dyDescent="0.2">
      <c r="B16" s="1337" t="s">
        <v>2152</v>
      </c>
      <c r="C16" s="1341">
        <v>10.553000000000001</v>
      </c>
      <c r="D16" s="1342" t="s">
        <v>2153</v>
      </c>
      <c r="E16" s="1343"/>
      <c r="F16" s="1343">
        <v>6148</v>
      </c>
      <c r="G16" s="1343"/>
      <c r="H16" s="1343"/>
      <c r="I16" s="1343">
        <v>8165</v>
      </c>
      <c r="J16" s="1343"/>
      <c r="K16" s="1343"/>
      <c r="L16" s="1340">
        <f t="shared" si="0"/>
        <v>8165</v>
      </c>
      <c r="M16" s="1343" t="s">
        <v>2113</v>
      </c>
    </row>
    <row r="17" spans="2:14" ht="20.100000000000001" customHeight="1" x14ac:dyDescent="0.2">
      <c r="B17" s="1337" t="s">
        <v>2154</v>
      </c>
      <c r="C17" s="1341">
        <v>10.555999999999999</v>
      </c>
      <c r="D17" s="1342" t="s">
        <v>2155</v>
      </c>
      <c r="E17" s="1343">
        <v>449</v>
      </c>
      <c r="F17" s="1343">
        <v>511</v>
      </c>
      <c r="G17" s="1343">
        <v>794</v>
      </c>
      <c r="H17" s="1343"/>
      <c r="I17" s="1343">
        <v>166</v>
      </c>
      <c r="J17" s="1343"/>
      <c r="K17" s="1343"/>
      <c r="L17" s="1340">
        <f t="shared" si="0"/>
        <v>960</v>
      </c>
      <c r="M17" s="1343" t="s">
        <v>2113</v>
      </c>
    </row>
    <row r="18" spans="2:14" ht="20.100000000000001" customHeight="1" x14ac:dyDescent="0.2">
      <c r="B18" s="1337" t="s">
        <v>2156</v>
      </c>
      <c r="C18" s="1341">
        <v>10.555999999999999</v>
      </c>
      <c r="D18" s="1342" t="s">
        <v>2157</v>
      </c>
      <c r="E18" s="1343"/>
      <c r="F18" s="1343">
        <v>614</v>
      </c>
      <c r="G18" s="1343"/>
      <c r="H18" s="1343"/>
      <c r="I18" s="1343">
        <v>887</v>
      </c>
      <c r="J18" s="1343"/>
      <c r="K18" s="1343"/>
      <c r="L18" s="1340">
        <f t="shared" si="0"/>
        <v>887</v>
      </c>
      <c r="M18" s="1343" t="s">
        <v>2113</v>
      </c>
    </row>
    <row r="19" spans="2:14" ht="20.100000000000001" customHeight="1" x14ac:dyDescent="0.2">
      <c r="B19" s="1337" t="s">
        <v>2158</v>
      </c>
      <c r="C19" s="1341"/>
      <c r="D19" s="1342"/>
      <c r="E19" s="1343">
        <f>+SUM(E13:E18)</f>
        <v>34510</v>
      </c>
      <c r="F19" s="1343">
        <f>+SUM(F13:F18)</f>
        <v>59705</v>
      </c>
      <c r="G19" s="1343">
        <f>+SUM(G13:G18)</f>
        <v>46794</v>
      </c>
      <c r="H19" s="1343"/>
      <c r="I19" s="1343">
        <f>+SUM(I13:I18)</f>
        <v>61820</v>
      </c>
      <c r="J19" s="1343"/>
      <c r="K19" s="1343"/>
      <c r="L19" s="1340">
        <f t="shared" si="0"/>
        <v>108614</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t="s">
        <v>2159</v>
      </c>
      <c r="C21" s="1341"/>
      <c r="D21" s="1342"/>
      <c r="E21" s="1343">
        <f>+E19+' SEFA'!E27+' SEFA'!E21</f>
        <v>1283526</v>
      </c>
      <c r="F21" s="1343">
        <f>+F19+' SEFA'!F27+' SEFA'!F21</f>
        <v>2506285</v>
      </c>
      <c r="G21" s="1343">
        <f>+G19+' SEFA'!G27+' SEFA'!G21</f>
        <v>2825774</v>
      </c>
      <c r="H21" s="1343">
        <f>+' SEFA'!H21</f>
        <v>1427301</v>
      </c>
      <c r="I21" s="1343">
        <f>+I19+' SEFA'!I27+' SEFA'!I21</f>
        <v>2765841</v>
      </c>
      <c r="J21" s="1343">
        <f>+' SEFA'!J21</f>
        <v>1412706</v>
      </c>
      <c r="K21" s="1343"/>
      <c r="L21" s="1340">
        <f t="shared" si="0"/>
        <v>5591615</v>
      </c>
      <c r="M21" s="1343">
        <f>+' SEFA'!M21</f>
        <v>5430337</v>
      </c>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1947</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I50" sqref="I50"/>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8" t="str">
        <f>'Single Audit Cover'!A7</f>
        <v>Southern Will County Cooperative for Special Education</v>
      </c>
      <c r="C1" s="2479"/>
      <c r="D1" s="2479"/>
      <c r="E1" s="2479"/>
      <c r="F1" s="2479"/>
      <c r="G1" s="2479"/>
      <c r="H1" s="2479"/>
      <c r="I1" s="2479"/>
      <c r="J1" s="1422"/>
    </row>
    <row r="2" spans="2:10" s="317" customFormat="1" ht="12.75" customHeight="1" x14ac:dyDescent="0.2">
      <c r="B2" s="2480" t="str">
        <f>'Single Audit Cover'!E7</f>
        <v>56-099-255U-61</v>
      </c>
      <c r="C2" s="2481"/>
      <c r="D2" s="2481"/>
      <c r="E2" s="2481"/>
      <c r="F2" s="2481"/>
      <c r="G2" s="2481"/>
      <c r="H2" s="2481"/>
      <c r="I2" s="2481"/>
      <c r="J2" s="1422"/>
    </row>
    <row r="3" spans="2:10" s="317" customFormat="1" ht="12.75" customHeight="1" x14ac:dyDescent="0.2">
      <c r="B3" s="2482" t="s">
        <v>1347</v>
      </c>
      <c r="C3" s="2483"/>
      <c r="D3" s="2483"/>
      <c r="E3" s="2483"/>
      <c r="F3" s="2483"/>
      <c r="G3" s="2483"/>
      <c r="H3" s="2483"/>
      <c r="I3" s="2483"/>
      <c r="J3" s="1423"/>
    </row>
    <row r="4" spans="2:10" s="317" customFormat="1" ht="12.75" customHeight="1" x14ac:dyDescent="0.2">
      <c r="B4" s="2482" t="str">
        <f>'Single Audit Cover'!A4</f>
        <v>Year Ending June 30, 2018</v>
      </c>
      <c r="C4" s="2483"/>
      <c r="D4" s="2483"/>
      <c r="E4" s="2483"/>
      <c r="F4" s="2483"/>
      <c r="G4" s="2483"/>
      <c r="H4" s="2483"/>
      <c r="I4" s="2483"/>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2" t="s">
        <v>1346</v>
      </c>
      <c r="C7" s="2483"/>
      <c r="D7" s="2483"/>
      <c r="E7" s="2483"/>
      <c r="F7" s="2483"/>
      <c r="G7" s="2483"/>
      <c r="H7" s="2483"/>
      <c r="I7" s="2483"/>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4" t="s">
        <v>2160</v>
      </c>
      <c r="D11" s="2484"/>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2080</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2080</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2080</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2080</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2080</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5" t="s">
        <v>2161</v>
      </c>
      <c r="E29" s="2485"/>
      <c r="F29" s="2485"/>
      <c r="G29" s="2485"/>
      <c r="H29" s="2485"/>
      <c r="I29" s="2485"/>
    </row>
    <row r="30" spans="2:9" s="317" customFormat="1" x14ac:dyDescent="0.2">
      <c r="B30" s="1368"/>
      <c r="C30" s="322"/>
      <c r="D30" s="1433" t="s">
        <v>1848</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2080</v>
      </c>
      <c r="H33" s="1300" t="s">
        <v>101</v>
      </c>
    </row>
    <row r="35" spans="2:9" x14ac:dyDescent="0.2">
      <c r="B35" s="1441" t="s">
        <v>1849</v>
      </c>
      <c r="C35" s="1442"/>
      <c r="D35" s="1267"/>
    </row>
    <row r="36" spans="2:9" ht="6" customHeight="1" x14ac:dyDescent="0.2">
      <c r="B36" s="1441"/>
      <c r="C36" s="1442"/>
      <c r="D36" s="1267"/>
    </row>
    <row r="37" spans="2:9" ht="17.25" customHeight="1" x14ac:dyDescent="0.2">
      <c r="B37" s="1443" t="s">
        <v>1850</v>
      </c>
      <c r="C37" s="2486" t="s">
        <v>1851</v>
      </c>
      <c r="D37" s="2487"/>
      <c r="E37" s="2487"/>
      <c r="F37" s="2488"/>
      <c r="G37" s="2486" t="s">
        <v>1674</v>
      </c>
      <c r="H37" s="2487"/>
      <c r="I37" s="2488"/>
    </row>
    <row r="38" spans="2:9" ht="16.5" customHeight="1" x14ac:dyDescent="0.2">
      <c r="B38" s="1444" t="s">
        <v>2162</v>
      </c>
      <c r="C38" s="2474" t="s">
        <v>2163</v>
      </c>
      <c r="D38" s="2475"/>
      <c r="E38" s="2475"/>
      <c r="F38" s="2476"/>
      <c r="G38" s="2489">
        <v>2540906</v>
      </c>
      <c r="H38" s="2490"/>
      <c r="I38" s="2491"/>
    </row>
    <row r="39" spans="2:9" ht="16.5" customHeight="1" x14ac:dyDescent="0.2">
      <c r="B39" s="1444"/>
      <c r="C39" s="2474"/>
      <c r="D39" s="2475"/>
      <c r="E39" s="2475"/>
      <c r="F39" s="2476"/>
      <c r="G39" s="2477"/>
      <c r="H39" s="2477"/>
      <c r="I39" s="2477"/>
    </row>
    <row r="40" spans="2:9" ht="16.5" customHeight="1" x14ac:dyDescent="0.2">
      <c r="B40" s="1444"/>
      <c r="C40" s="2474"/>
      <c r="D40" s="2475"/>
      <c r="E40" s="2475"/>
      <c r="F40" s="2476"/>
      <c r="G40" s="2477"/>
      <c r="H40" s="2477"/>
      <c r="I40" s="2477"/>
    </row>
    <row r="41" spans="2:9" ht="16.5" customHeight="1" x14ac:dyDescent="0.2">
      <c r="B41" s="1444"/>
      <c r="C41" s="2474"/>
      <c r="D41" s="2475"/>
      <c r="E41" s="2475"/>
      <c r="F41" s="2476"/>
      <c r="G41" s="2477"/>
      <c r="H41" s="2477"/>
      <c r="I41" s="2477"/>
    </row>
    <row r="42" spans="2:9" ht="16.5" customHeight="1" x14ac:dyDescent="0.2">
      <c r="B42" s="1444"/>
      <c r="C42" s="2474"/>
      <c r="D42" s="2475"/>
      <c r="E42" s="2475"/>
      <c r="F42" s="2476"/>
      <c r="G42" s="2477"/>
      <c r="H42" s="2477"/>
      <c r="I42" s="2477"/>
    </row>
    <row r="43" spans="2:9" ht="16.5" customHeight="1" x14ac:dyDescent="0.2">
      <c r="B43" s="1444"/>
      <c r="C43" s="2467" t="s">
        <v>1675</v>
      </c>
      <c r="D43" s="2468"/>
      <c r="E43" s="2468"/>
      <c r="F43" s="2469"/>
      <c r="G43" s="2470">
        <f>SUM(G38:I42)</f>
        <v>2540906</v>
      </c>
      <c r="H43" s="2470"/>
      <c r="I43" s="2470"/>
    </row>
    <row r="44" spans="2:9" ht="12.75" customHeight="1" x14ac:dyDescent="0.2"/>
    <row r="45" spans="2:9" ht="12.75" customHeight="1" x14ac:dyDescent="0.2">
      <c r="B45" s="1435" t="s">
        <v>1948</v>
      </c>
      <c r="D45" s="2471">
        <v>2765841</v>
      </c>
      <c r="E45" s="2472"/>
    </row>
    <row r="46" spans="2:9" ht="5.25" customHeight="1" x14ac:dyDescent="0.2">
      <c r="B46" s="1445"/>
      <c r="D46" s="1446"/>
      <c r="E46" s="1447"/>
    </row>
    <row r="47" spans="2:9" ht="12.75" customHeight="1" x14ac:dyDescent="0.2">
      <c r="B47" s="1300" t="s">
        <v>1676</v>
      </c>
      <c r="C47" s="1300"/>
      <c r="D47" s="1448">
        <f>+G43/D45</f>
        <v>0.91867392232597611</v>
      </c>
      <c r="E47" s="1449"/>
      <c r="F47" s="1450"/>
      <c r="I47" s="1451"/>
    </row>
    <row r="48" spans="2:9" ht="9.9499999999999993" customHeight="1" x14ac:dyDescent="0.2"/>
    <row r="49" spans="1:9" x14ac:dyDescent="0.2">
      <c r="B49" s="1368" t="s">
        <v>1335</v>
      </c>
      <c r="C49" s="1282"/>
      <c r="D49" s="1282"/>
      <c r="E49" s="2473">
        <v>750000</v>
      </c>
      <c r="F49" s="2473"/>
      <c r="G49" s="2473"/>
      <c r="H49" s="322"/>
    </row>
    <row r="51" spans="1:9" ht="13.5" customHeight="1" x14ac:dyDescent="0.2">
      <c r="B51" s="1368" t="s">
        <v>1334</v>
      </c>
      <c r="C51" s="1282"/>
      <c r="E51" s="1438"/>
      <c r="F51" s="1300" t="s">
        <v>940</v>
      </c>
      <c r="G51" s="1438" t="s">
        <v>2080</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1852</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1853</v>
      </c>
      <c r="C58" s="1464"/>
      <c r="D58" s="1464"/>
    </row>
    <row r="59" spans="1:9" s="1461" customFormat="1" ht="3.95" customHeight="1" x14ac:dyDescent="0.2">
      <c r="A59" s="1458"/>
      <c r="B59" s="1463"/>
      <c r="C59" s="1464"/>
      <c r="D59" s="1464"/>
    </row>
    <row r="60" spans="1:9" s="1461" customFormat="1" ht="13.5" customHeight="1" x14ac:dyDescent="0.2">
      <c r="A60" s="1458"/>
      <c r="B60" s="1463" t="s">
        <v>1854</v>
      </c>
      <c r="C60" s="1464"/>
      <c r="D60" s="1464"/>
    </row>
    <row r="61" spans="1:9" s="1461" customFormat="1" ht="3.95" customHeight="1" x14ac:dyDescent="0.2">
      <c r="A61" s="1458"/>
      <c r="B61" s="1463"/>
      <c r="C61" s="1464"/>
      <c r="D61" s="1464"/>
    </row>
    <row r="62" spans="1:9" s="1461" customFormat="1" ht="12.75" customHeight="1" x14ac:dyDescent="0.2">
      <c r="A62" s="1458"/>
      <c r="B62" s="1463" t="s">
        <v>1855</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D10" sqref="D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Southern Will County Cooperative for Special Education</v>
      </c>
      <c r="C1" s="2478"/>
      <c r="D1" s="2478"/>
      <c r="E1" s="2478"/>
      <c r="F1" s="2478"/>
      <c r="G1" s="2478"/>
      <c r="H1" s="2478"/>
      <c r="I1" s="2478"/>
      <c r="J1" s="2478"/>
      <c r="K1" s="2478"/>
      <c r="L1" s="1374"/>
      <c r="M1" s="1374"/>
    </row>
    <row r="2" spans="1:13" ht="12" customHeight="1" x14ac:dyDescent="0.2">
      <c r="B2" s="2480" t="str">
        <f>'Single Audit Cover'!E7</f>
        <v>56-099-255U-61</v>
      </c>
      <c r="C2" s="2480"/>
      <c r="D2" s="2480"/>
      <c r="E2" s="2480"/>
      <c r="F2" s="2480"/>
      <c r="G2" s="2480"/>
      <c r="H2" s="2480"/>
      <c r="I2" s="2480"/>
      <c r="J2" s="2480"/>
      <c r="K2" s="2480"/>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1949</v>
      </c>
      <c r="D10" s="1386" t="s">
        <v>2113</v>
      </c>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1950</v>
      </c>
      <c r="C36" s="1300"/>
      <c r="L36" s="1381"/>
    </row>
    <row r="37" spans="1:13" ht="9.6" customHeight="1" x14ac:dyDescent="0.2">
      <c r="B37" s="1300" t="s">
        <v>1951</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D8" sqref="D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Southern Will County Cooperative for Special Education</v>
      </c>
      <c r="C1" s="2501"/>
      <c r="D1" s="2501"/>
      <c r="E1" s="2501"/>
      <c r="F1" s="2501"/>
      <c r="G1" s="2501"/>
      <c r="H1" s="2501"/>
      <c r="I1" s="2501"/>
      <c r="J1" s="2501"/>
      <c r="K1" s="2501"/>
      <c r="L1" s="1465"/>
    </row>
    <row r="2" spans="1:12" ht="12.75" customHeight="1" x14ac:dyDescent="0.2">
      <c r="B2" s="2502" t="str">
        <f>'Single Audit Cover'!E7</f>
        <v>56-099-255U-61</v>
      </c>
      <c r="C2" s="2502"/>
      <c r="D2" s="2502"/>
      <c r="E2" s="2502"/>
      <c r="F2" s="2502"/>
      <c r="G2" s="2502"/>
      <c r="H2" s="2502"/>
      <c r="I2" s="2502"/>
      <c r="J2" s="2502"/>
      <c r="K2" s="2502"/>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3" t="s">
        <v>1375</v>
      </c>
      <c r="C6" s="2503"/>
      <c r="D6" s="2503"/>
      <c r="E6" s="2503"/>
      <c r="F6" s="2503"/>
      <c r="G6" s="2503"/>
      <c r="H6" s="2503"/>
      <c r="I6" s="2503"/>
      <c r="J6" s="2503"/>
      <c r="K6" s="2503"/>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1949</v>
      </c>
      <c r="D8" s="1468" t="s">
        <v>2113</v>
      </c>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5"/>
      <c r="G12" s="2485"/>
      <c r="H12" s="2485"/>
      <c r="I12" s="2485"/>
      <c r="J12" s="2485"/>
      <c r="K12" s="2485"/>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8"/>
      <c r="E14" s="2498"/>
      <c r="F14" s="2498"/>
      <c r="H14" s="1475" t="s">
        <v>1370</v>
      </c>
      <c r="I14" s="2499"/>
      <c r="J14" s="2499"/>
      <c r="K14" s="2499"/>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9"/>
      <c r="E16" s="2499"/>
      <c r="F16" s="2499"/>
      <c r="G16" s="2499"/>
      <c r="H16" s="2499"/>
      <c r="I16" s="2499"/>
      <c r="J16" s="2499"/>
      <c r="K16" s="2499"/>
      <c r="L16" s="322"/>
    </row>
    <row r="17" spans="2:12" ht="13.5" customHeight="1" x14ac:dyDescent="0.2">
      <c r="B17" s="1387" t="s">
        <v>1368</v>
      </c>
      <c r="C17" s="1387"/>
      <c r="D17" s="2500"/>
      <c r="E17" s="2500"/>
      <c r="F17" s="2500"/>
      <c r="G17" s="2500"/>
      <c r="H17" s="2500"/>
      <c r="I17" s="2500"/>
      <c r="J17" s="2500"/>
      <c r="K17" s="2500"/>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D42" sqref="D42"/>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8" t="str">
        <f>'Single Audit Cover'!A7</f>
        <v>Southern Will County Cooperative for Special Education</v>
      </c>
      <c r="C1" s="2478"/>
      <c r="D1" s="2478"/>
      <c r="E1" s="1491"/>
    </row>
    <row r="2" spans="2:5" s="1282" customFormat="1" ht="12.75" customHeight="1" x14ac:dyDescent="0.2">
      <c r="B2" s="2480" t="str">
        <f>'Single Audit Cover'!E7</f>
        <v>56-099-255U-61</v>
      </c>
      <c r="C2" s="2480"/>
      <c r="D2" s="2480"/>
      <c r="E2" s="1492"/>
    </row>
    <row r="3" spans="2:5" ht="12.75" customHeight="1" x14ac:dyDescent="0.2">
      <c r="B3" s="2494" t="s">
        <v>1866</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1867</v>
      </c>
      <c r="C5" s="328"/>
      <c r="D5" s="328"/>
      <c r="E5" s="328"/>
    </row>
    <row r="6" spans="2:5" s="1282" customFormat="1" ht="13.5" customHeight="1" x14ac:dyDescent="0.2">
      <c r="B6" s="1495" t="s">
        <v>1382</v>
      </c>
      <c r="C6" s="1495" t="s">
        <v>1381</v>
      </c>
      <c r="D6" s="1495" t="s">
        <v>1868</v>
      </c>
    </row>
    <row r="7" spans="2:5" ht="13.5" customHeight="1" x14ac:dyDescent="0.2">
      <c r="B7" s="1496"/>
      <c r="C7" s="324"/>
      <c r="D7" s="324"/>
      <c r="E7" s="324"/>
    </row>
    <row r="8" spans="2:5" ht="13.5" customHeight="1" x14ac:dyDescent="0.2">
      <c r="B8" s="1496" t="s">
        <v>2164</v>
      </c>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1869</v>
      </c>
    </row>
    <row r="46" spans="2:5" ht="12.2" customHeight="1" x14ac:dyDescent="0.2">
      <c r="B46" s="1505" t="s">
        <v>1870</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3"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54">
        <f>ROUND(D10+F10+H10,5)</f>
        <v>0</v>
      </c>
      <c r="K10" s="222"/>
      <c r="L10" s="355"/>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15493127</v>
      </c>
      <c r="E16" s="356"/>
      <c r="F16" s="1755">
        <f>SUM('Acct Summary 7-8'!C17,'Acct Summary 7-8'!D17,'Acct Summary 7-8'!F17)</f>
        <v>14982325</v>
      </c>
      <c r="G16" s="356"/>
      <c r="H16" s="1755">
        <f>SUM(D16-F16)</f>
        <v>510802</v>
      </c>
      <c r="I16" s="222"/>
      <c r="J16" s="1755">
        <f>SUM('Acct Summary 7-8'!C81,'Acct Summary 7-8'!D81,'Acct Summary 7-8'!F81,'Acct Summary 7-8'!I81)</f>
        <v>4094783</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Southern Will County Cooperative for Special Education</v>
      </c>
      <c r="E7" s="391"/>
      <c r="G7" s="252"/>
      <c r="H7" s="387"/>
      <c r="I7" s="387"/>
      <c r="J7" s="387"/>
      <c r="K7" s="387"/>
      <c r="L7" s="329"/>
      <c r="M7" s="329"/>
      <c r="N7" s="329"/>
      <c r="O7" s="329"/>
      <c r="P7" s="329"/>
    </row>
    <row r="8" spans="1:18" ht="12.75" x14ac:dyDescent="0.2">
      <c r="A8" s="329"/>
      <c r="B8" s="329"/>
      <c r="C8" s="389" t="s">
        <v>1187</v>
      </c>
      <c r="D8" s="392" t="str">
        <f>COVER!A13</f>
        <v>56-099-255U-61</v>
      </c>
      <c r="E8" s="393"/>
      <c r="G8" s="329"/>
      <c r="H8" s="329"/>
      <c r="I8" s="329"/>
      <c r="J8" s="329"/>
      <c r="K8" s="329"/>
      <c r="L8" s="329"/>
      <c r="M8" s="329"/>
      <c r="N8" s="329"/>
      <c r="O8" s="329"/>
      <c r="P8" s="329"/>
    </row>
    <row r="9" spans="1:18" ht="12.75" x14ac:dyDescent="0.2">
      <c r="A9" s="329"/>
      <c r="B9" s="329"/>
      <c r="C9" s="389" t="s">
        <v>737</v>
      </c>
      <c r="D9" s="394" t="str">
        <f>COVER!A15</f>
        <v>Will County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4094783</v>
      </c>
      <c r="I12" s="404"/>
      <c r="J12" s="404"/>
      <c r="K12" s="405">
        <f>TRUNC((H12/H13*100000),5)/100000</f>
        <v>0.26429674260000002</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15493127</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14982325</v>
      </c>
      <c r="I17" s="404"/>
      <c r="J17" s="416"/>
      <c r="K17" s="405">
        <f>TRUNC((H17/H18*100000),5)/100000</f>
        <v>0.96703041289999991</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15493127</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4094783</v>
      </c>
      <c r="I24" s="422"/>
      <c r="J24" s="422"/>
      <c r="K24" s="423">
        <f>TRUNC(((H24/H25*100000)/100000),2)</f>
        <v>98.39</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41617.569439999999</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2067</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F24" sqref="F2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v>4094783</v>
      </c>
      <c r="D4" s="466"/>
      <c r="E4" s="466"/>
      <c r="F4" s="466"/>
      <c r="G4" s="466"/>
      <c r="H4" s="466"/>
      <c r="I4" s="466"/>
      <c r="J4" s="467"/>
      <c r="K4" s="466"/>
      <c r="L4" s="466"/>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4094783</v>
      </c>
      <c r="D13" s="1759">
        <f t="shared" ref="D13:L13" si="0">SUM(D4:D12)</f>
        <v>0</v>
      </c>
      <c r="E13" s="1759">
        <f t="shared" si="0"/>
        <v>0</v>
      </c>
      <c r="F13" s="1759">
        <f t="shared" si="0"/>
        <v>0</v>
      </c>
      <c r="G13" s="1759">
        <f t="shared" si="0"/>
        <v>0</v>
      </c>
      <c r="H13" s="1759">
        <f t="shared" si="0"/>
        <v>0</v>
      </c>
      <c r="I13" s="1759">
        <f t="shared" si="0"/>
        <v>0</v>
      </c>
      <c r="J13" s="1759">
        <f t="shared" si="0"/>
        <v>0</v>
      </c>
      <c r="K13" s="1759">
        <f t="shared" si="0"/>
        <v>0</v>
      </c>
      <c r="L13" s="1759">
        <f t="shared" si="0"/>
        <v>0</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548700</v>
      </c>
      <c r="N16" s="484"/>
    </row>
    <row r="17" spans="1:14" s="485" customFormat="1" ht="12.75" customHeight="1" x14ac:dyDescent="0.2">
      <c r="A17" s="482" t="s">
        <v>1470</v>
      </c>
      <c r="B17" s="483">
        <v>230</v>
      </c>
      <c r="C17" s="477"/>
      <c r="D17" s="477"/>
      <c r="E17" s="477"/>
      <c r="F17" s="477"/>
      <c r="G17" s="477"/>
      <c r="H17" s="477"/>
      <c r="I17" s="477"/>
      <c r="J17" s="477"/>
      <c r="K17" s="477"/>
      <c r="L17" s="477"/>
      <c r="M17" s="467">
        <v>2344223</v>
      </c>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25496</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8" t="s">
        <v>664</v>
      </c>
      <c r="B23" s="1763"/>
      <c r="C23" s="468"/>
      <c r="D23" s="468"/>
      <c r="E23" s="468"/>
      <c r="F23" s="468"/>
      <c r="G23" s="468"/>
      <c r="H23" s="468"/>
      <c r="I23" s="468"/>
      <c r="J23" s="468"/>
      <c r="K23" s="468"/>
      <c r="L23" s="468"/>
      <c r="M23" s="1710">
        <f>SUM(M15:M22)</f>
        <v>2918419</v>
      </c>
      <c r="N23" s="1710">
        <f>SUM(N21:N22)</f>
        <v>0</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0</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8" t="s">
        <v>674</v>
      </c>
      <c r="B37" s="1763"/>
      <c r="C37" s="477"/>
      <c r="D37" s="477"/>
      <c r="E37" s="477"/>
      <c r="F37" s="477"/>
      <c r="G37" s="477"/>
      <c r="H37" s="477"/>
      <c r="I37" s="477"/>
      <c r="J37" s="477"/>
      <c r="K37" s="477"/>
      <c r="L37" s="480"/>
      <c r="M37" s="468"/>
      <c r="N37" s="1710">
        <f>SUM(N36:N36)</f>
        <v>0</v>
      </c>
    </row>
    <row r="38" spans="1:14" s="329" customFormat="1" ht="13.5" customHeight="1" thickTop="1" x14ac:dyDescent="0.2">
      <c r="A38" s="496" t="s">
        <v>440</v>
      </c>
      <c r="B38" s="483">
        <v>714</v>
      </c>
      <c r="C38" s="466">
        <v>833950</v>
      </c>
      <c r="D38" s="466"/>
      <c r="E38" s="466"/>
      <c r="F38" s="466"/>
      <c r="G38" s="466"/>
      <c r="H38" s="466"/>
      <c r="I38" s="466"/>
      <c r="J38" s="467"/>
      <c r="K38" s="466"/>
      <c r="L38" s="481"/>
      <c r="M38" s="497"/>
      <c r="N38" s="497"/>
    </row>
    <row r="39" spans="1:14" s="329" customFormat="1" ht="13.5" customHeight="1" x14ac:dyDescent="0.2">
      <c r="A39" s="496" t="s">
        <v>360</v>
      </c>
      <c r="B39" s="483">
        <v>730</v>
      </c>
      <c r="C39" s="466">
        <v>3260833</v>
      </c>
      <c r="D39" s="466"/>
      <c r="E39" s="466"/>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2918419</v>
      </c>
      <c r="N40" s="497"/>
    </row>
    <row r="41" spans="1:14" ht="13.5" customHeight="1" thickBot="1" x14ac:dyDescent="0.25">
      <c r="A41" s="1758" t="s">
        <v>676</v>
      </c>
      <c r="B41" s="1728"/>
      <c r="C41" s="1710">
        <f>(SUM(C34,C37,C38,C39))</f>
        <v>4094783</v>
      </c>
      <c r="D41" s="1710">
        <f t="shared" ref="D41:L41" si="2">SUM(D34,D37,D38:D39)</f>
        <v>0</v>
      </c>
      <c r="E41" s="1710">
        <f t="shared" si="2"/>
        <v>0</v>
      </c>
      <c r="F41" s="1710">
        <f t="shared" si="2"/>
        <v>0</v>
      </c>
      <c r="G41" s="1710">
        <f t="shared" si="2"/>
        <v>0</v>
      </c>
      <c r="H41" s="1710">
        <f t="shared" si="2"/>
        <v>0</v>
      </c>
      <c r="I41" s="1710">
        <f t="shared" si="2"/>
        <v>0</v>
      </c>
      <c r="J41" s="1710">
        <f t="shared" si="2"/>
        <v>0</v>
      </c>
      <c r="K41" s="1710">
        <f t="shared" si="2"/>
        <v>0</v>
      </c>
      <c r="L41" s="1710">
        <f t="shared" si="2"/>
        <v>0</v>
      </c>
      <c r="M41" s="1710">
        <f>SUM(M40)</f>
        <v>2918419</v>
      </c>
      <c r="N41" s="1710">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C15" sqref="C1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4" t="s">
        <v>1579</v>
      </c>
      <c r="B4" s="1955">
        <v>1000</v>
      </c>
      <c r="C4" s="1764">
        <f>'Revenues 9-14'!C109</f>
        <v>10444931</v>
      </c>
      <c r="D4" s="1764">
        <f>'Revenues 9-14'!D109</f>
        <v>0</v>
      </c>
      <c r="E4" s="1764">
        <f>'Revenues 9-14'!E109</f>
        <v>0</v>
      </c>
      <c r="F4" s="1764">
        <f>'Revenues 9-14'!F109</f>
        <v>0</v>
      </c>
      <c r="G4" s="1764">
        <f>'Revenues 9-14'!G109</f>
        <v>0</v>
      </c>
      <c r="H4" s="1764">
        <f>'Revenues 9-14'!H109</f>
        <v>0</v>
      </c>
      <c r="I4" s="1764">
        <f>'Revenues 9-14'!I109</f>
        <v>0</v>
      </c>
      <c r="J4" s="1764">
        <f>'Revenues 9-14'!J109</f>
        <v>0</v>
      </c>
      <c r="K4" s="1764">
        <f>'Revenues 9-14'!K109</f>
        <v>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2301712</v>
      </c>
      <c r="D6" s="1765">
        <f>'Revenues 9-14'!D173</f>
        <v>0</v>
      </c>
      <c r="E6" s="1765">
        <f>'Revenues 9-14'!E173</f>
        <v>0</v>
      </c>
      <c r="F6" s="1765">
        <f>'Revenues 9-14'!F173</f>
        <v>0</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2746484</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15493127</v>
      </c>
      <c r="D8" s="1710">
        <f t="shared" ref="D8:K8" si="0">SUM(D4:D7)</f>
        <v>0</v>
      </c>
      <c r="E8" s="1710">
        <f t="shared" si="0"/>
        <v>0</v>
      </c>
      <c r="F8" s="1710">
        <f t="shared" si="0"/>
        <v>0</v>
      </c>
      <c r="G8" s="1710">
        <f t="shared" si="0"/>
        <v>0</v>
      </c>
      <c r="H8" s="1710">
        <f t="shared" si="0"/>
        <v>0</v>
      </c>
      <c r="I8" s="1710">
        <f t="shared" si="0"/>
        <v>0</v>
      </c>
      <c r="J8" s="1710">
        <f t="shared" si="0"/>
        <v>0</v>
      </c>
      <c r="K8" s="1710">
        <f t="shared" si="0"/>
        <v>0</v>
      </c>
      <c r="L8" s="347"/>
    </row>
    <row r="9" spans="1:13" ht="15.75" thickTop="1" x14ac:dyDescent="0.2">
      <c r="A9" s="514" t="s">
        <v>1752</v>
      </c>
      <c r="B9" s="515">
        <v>3998</v>
      </c>
      <c r="C9" s="481">
        <v>858773</v>
      </c>
      <c r="D9" s="516"/>
      <c r="E9" s="481"/>
      <c r="F9" s="481"/>
      <c r="G9" s="517"/>
      <c r="H9" s="481"/>
      <c r="I9" s="509" t="s">
        <v>1231</v>
      </c>
      <c r="J9" s="478"/>
      <c r="K9" s="481"/>
      <c r="L9" s="347"/>
    </row>
    <row r="10" spans="1:13" s="519" customFormat="1" ht="13.5" thickBot="1" x14ac:dyDescent="0.25">
      <c r="A10" s="1758" t="s">
        <v>1235</v>
      </c>
      <c r="B10" s="1731"/>
      <c r="C10" s="1710">
        <f>SUM(C8:C9)</f>
        <v>16351900</v>
      </c>
      <c r="D10" s="1710">
        <f t="shared" ref="D10:K10" si="1">SUM(D8:D9)</f>
        <v>0</v>
      </c>
      <c r="E10" s="1710">
        <f t="shared" si="1"/>
        <v>0</v>
      </c>
      <c r="F10" s="1710">
        <f t="shared" si="1"/>
        <v>0</v>
      </c>
      <c r="G10" s="1710">
        <f t="shared" si="1"/>
        <v>0</v>
      </c>
      <c r="H10" s="1710">
        <f t="shared" si="1"/>
        <v>0</v>
      </c>
      <c r="I10" s="1710">
        <f t="shared" si="1"/>
        <v>0</v>
      </c>
      <c r="J10" s="1710">
        <f t="shared" si="1"/>
        <v>0</v>
      </c>
      <c r="K10" s="1710">
        <f t="shared" si="1"/>
        <v>0</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7880592</v>
      </c>
      <c r="D12" s="520" t="s">
        <v>1231</v>
      </c>
      <c r="E12" s="468" t="s">
        <v>1231</v>
      </c>
      <c r="F12" s="468" t="s">
        <v>1231</v>
      </c>
      <c r="G12" s="1764">
        <f>'Expenditures 15-22'!K229</f>
        <v>0</v>
      </c>
      <c r="H12" s="521"/>
      <c r="I12" s="468" t="s">
        <v>1231</v>
      </c>
      <c r="J12" s="468" t="s">
        <v>1231</v>
      </c>
      <c r="K12" s="521" t="s">
        <v>1231</v>
      </c>
      <c r="L12" s="347"/>
    </row>
    <row r="13" spans="1:13" ht="15.75" customHeight="1" x14ac:dyDescent="0.2">
      <c r="A13" s="1598" t="s">
        <v>477</v>
      </c>
      <c r="B13" s="1600">
        <v>2000</v>
      </c>
      <c r="C13" s="1765">
        <f>'Expenditures 15-22'!K74</f>
        <v>5689027</v>
      </c>
      <c r="D13" s="1765">
        <f>'Expenditures 15-22'!K129</f>
        <v>0</v>
      </c>
      <c r="E13" s="469" t="s">
        <v>1231</v>
      </c>
      <c r="F13" s="1765">
        <f>'Expenditures 15-22'!K184</f>
        <v>0</v>
      </c>
      <c r="G13" s="1765">
        <f>'Expenditures 15-22'!K279</f>
        <v>0</v>
      </c>
      <c r="H13" s="1765">
        <f>'Expenditures 15-22'!K303</f>
        <v>0</v>
      </c>
      <c r="I13" s="468" t="s">
        <v>1231</v>
      </c>
      <c r="J13" s="1765">
        <f>'Expenditures 15-22'!K330</f>
        <v>0</v>
      </c>
      <c r="K13" s="1769">
        <f>'Expenditures 15-22'!K352</f>
        <v>0</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1412706</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14982325</v>
      </c>
      <c r="D17" s="1710">
        <f t="shared" si="2"/>
        <v>0</v>
      </c>
      <c r="E17" s="1710">
        <f t="shared" si="2"/>
        <v>0</v>
      </c>
      <c r="F17" s="1710">
        <f t="shared" si="2"/>
        <v>0</v>
      </c>
      <c r="G17" s="1710">
        <f t="shared" si="2"/>
        <v>0</v>
      </c>
      <c r="H17" s="1710">
        <f t="shared" si="2"/>
        <v>0</v>
      </c>
      <c r="I17" s="468"/>
      <c r="J17" s="1710">
        <f>SUM(J12:J16)</f>
        <v>0</v>
      </c>
      <c r="K17" s="1710">
        <f>SUM(K12:K16)</f>
        <v>0</v>
      </c>
      <c r="L17" s="347"/>
    </row>
    <row r="18" spans="1:12" ht="15" customHeight="1" thickTop="1" x14ac:dyDescent="0.2">
      <c r="A18" s="1766" t="s">
        <v>1753</v>
      </c>
      <c r="B18" s="1767">
        <v>4180</v>
      </c>
      <c r="C18" s="1764">
        <f t="shared" ref="C18:H18" si="3">C9</f>
        <v>858773</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15841098</v>
      </c>
      <c r="D19" s="1710">
        <f t="shared" si="4"/>
        <v>0</v>
      </c>
      <c r="E19" s="1710">
        <f t="shared" si="4"/>
        <v>0</v>
      </c>
      <c r="F19" s="1710">
        <f t="shared" si="4"/>
        <v>0</v>
      </c>
      <c r="G19" s="1710">
        <f t="shared" si="4"/>
        <v>0</v>
      </c>
      <c r="H19" s="1710">
        <f t="shared" si="4"/>
        <v>0</v>
      </c>
      <c r="I19" s="468"/>
      <c r="J19" s="1710">
        <f>SUM(J17:J18)</f>
        <v>0</v>
      </c>
      <c r="K19" s="1710">
        <f>SUM(K17:K18)</f>
        <v>0</v>
      </c>
      <c r="L19" s="347"/>
    </row>
    <row r="20" spans="1:12" ht="16.5" thickTop="1" thickBot="1" x14ac:dyDescent="0.25">
      <c r="A20" s="2144" t="s">
        <v>1754</v>
      </c>
      <c r="B20" s="2145"/>
      <c r="C20" s="1768">
        <f>C8-C17</f>
        <v>510802</v>
      </c>
      <c r="D20" s="1768">
        <f t="shared" ref="D20:K20" si="5">D8-D17</f>
        <v>0</v>
      </c>
      <c r="E20" s="1768">
        <f t="shared" si="5"/>
        <v>0</v>
      </c>
      <c r="F20" s="1768">
        <f t="shared" si="5"/>
        <v>0</v>
      </c>
      <c r="G20" s="1768">
        <f t="shared" si="5"/>
        <v>0</v>
      </c>
      <c r="H20" s="1768">
        <f t="shared" si="5"/>
        <v>0</v>
      </c>
      <c r="I20" s="1768">
        <f t="shared" si="5"/>
        <v>0</v>
      </c>
      <c r="J20" s="1768">
        <f t="shared" si="5"/>
        <v>0</v>
      </c>
      <c r="K20" s="1768">
        <f t="shared" si="5"/>
        <v>0</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1894</v>
      </c>
      <c r="B30" s="527">
        <v>7160</v>
      </c>
      <c r="C30" s="477"/>
      <c r="D30" s="467"/>
      <c r="E30" s="477"/>
      <c r="F30" s="477"/>
      <c r="G30" s="477"/>
      <c r="H30" s="477"/>
      <c r="I30" s="477"/>
      <c r="J30" s="477"/>
      <c r="K30" s="477"/>
      <c r="L30" s="524"/>
    </row>
    <row r="31" spans="1:12" s="485" customFormat="1" ht="26.25" x14ac:dyDescent="0.2">
      <c r="A31" s="1511" t="s">
        <v>1898</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1897</v>
      </c>
      <c r="B52" s="483">
        <v>8160</v>
      </c>
      <c r="C52" s="477"/>
      <c r="D52" s="477"/>
      <c r="E52" s="477"/>
      <c r="F52" s="477"/>
      <c r="G52" s="477"/>
      <c r="H52" s="477"/>
      <c r="I52" s="477"/>
      <c r="J52" s="477"/>
      <c r="K52" s="1765">
        <f>D30</f>
        <v>0</v>
      </c>
      <c r="L52" s="524"/>
    </row>
    <row r="53" spans="1:12" s="485" customFormat="1" ht="26.25" x14ac:dyDescent="0.2">
      <c r="A53" s="1512" t="s">
        <v>1896</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4" t="s">
        <v>460</v>
      </c>
      <c r="B76" s="2135"/>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6" t="s">
        <v>1239</v>
      </c>
      <c r="B77" s="2137"/>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0" t="s">
        <v>618</v>
      </c>
      <c r="B78" s="2141"/>
      <c r="C78" s="1724">
        <f t="shared" ref="C78:K78" si="9">C20+C77</f>
        <v>510802</v>
      </c>
      <c r="D78" s="1724">
        <f t="shared" si="9"/>
        <v>0</v>
      </c>
      <c r="E78" s="1724">
        <f t="shared" si="9"/>
        <v>0</v>
      </c>
      <c r="F78" s="1724">
        <f t="shared" si="9"/>
        <v>0</v>
      </c>
      <c r="G78" s="1724">
        <f t="shared" si="9"/>
        <v>0</v>
      </c>
      <c r="H78" s="1724">
        <f t="shared" si="9"/>
        <v>0</v>
      </c>
      <c r="I78" s="1724">
        <f t="shared" si="9"/>
        <v>0</v>
      </c>
      <c r="J78" s="1724">
        <f t="shared" si="9"/>
        <v>0</v>
      </c>
      <c r="K78" s="1724">
        <f t="shared" si="9"/>
        <v>0</v>
      </c>
      <c r="L78" s="533"/>
    </row>
    <row r="79" spans="1:12" ht="13.5" thickTop="1" x14ac:dyDescent="0.2">
      <c r="A79" s="1516" t="s">
        <v>2068</v>
      </c>
      <c r="B79" s="534"/>
      <c r="C79" s="478">
        <v>3583981</v>
      </c>
      <c r="D79" s="535"/>
      <c r="E79" s="535"/>
      <c r="F79" s="535"/>
      <c r="G79" s="535"/>
      <c r="H79" s="535"/>
      <c r="I79" s="535"/>
      <c r="J79" s="535"/>
      <c r="K79" s="535"/>
      <c r="L79" s="347"/>
    </row>
    <row r="80" spans="1:12" x14ac:dyDescent="0.2">
      <c r="A80" s="2146" t="s">
        <v>1895</v>
      </c>
      <c r="B80" s="2147"/>
      <c r="C80" s="467"/>
      <c r="D80" s="467"/>
      <c r="E80" s="467"/>
      <c r="F80" s="467"/>
      <c r="G80" s="467"/>
      <c r="H80" s="467"/>
      <c r="I80" s="467"/>
      <c r="J80" s="467"/>
      <c r="K80" s="467"/>
      <c r="L80" s="347"/>
    </row>
    <row r="81" spans="1:12" ht="13.5" thickBot="1" x14ac:dyDescent="0.25">
      <c r="A81" s="2138" t="s">
        <v>2069</v>
      </c>
      <c r="B81" s="2139"/>
      <c r="C81" s="1710">
        <f>(SUM(C78:C80))</f>
        <v>4094783</v>
      </c>
      <c r="D81" s="1710">
        <f>SUM(D78:D80)</f>
        <v>0</v>
      </c>
      <c r="E81" s="1710">
        <f t="shared" ref="E81:K81" si="10">SUM(E78:E80)</f>
        <v>0</v>
      </c>
      <c r="F81" s="1710">
        <f t="shared" si="10"/>
        <v>0</v>
      </c>
      <c r="G81" s="1710">
        <f t="shared" si="10"/>
        <v>0</v>
      </c>
      <c r="H81" s="1710">
        <f t="shared" si="10"/>
        <v>0</v>
      </c>
      <c r="I81" s="1710">
        <f t="shared" si="10"/>
        <v>0</v>
      </c>
      <c r="J81" s="1710">
        <f t="shared" si="10"/>
        <v>0</v>
      </c>
      <c r="K81" s="1710">
        <f t="shared" si="10"/>
        <v>0</v>
      </c>
      <c r="L81" s="347"/>
    </row>
    <row r="82" spans="1:12" ht="0.75" customHeight="1" thickTop="1" thickBot="1" x14ac:dyDescent="0.25">
      <c r="A82" s="536" t="s">
        <v>361</v>
      </c>
      <c r="B82" s="537"/>
      <c r="C82" s="538">
        <f>(C81-C79)</f>
        <v>510802</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362</v>
      </c>
      <c r="B83" s="464"/>
      <c r="C83" s="540">
        <f>C82/C81</f>
        <v>0.12474458353470745</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33" sqref="C3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1902</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c r="D5" s="481"/>
      <c r="E5" s="466"/>
      <c r="F5" s="548"/>
      <c r="G5" s="466"/>
      <c r="H5" s="466"/>
      <c r="I5" s="466"/>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0</v>
      </c>
      <c r="D12" s="1729">
        <f t="shared" si="0"/>
        <v>0</v>
      </c>
      <c r="E12" s="1729">
        <f t="shared" si="0"/>
        <v>0</v>
      </c>
      <c r="F12" s="1729">
        <f t="shared" si="0"/>
        <v>0</v>
      </c>
      <c r="G12" s="1729">
        <f t="shared" si="0"/>
        <v>0</v>
      </c>
      <c r="H12" s="1729">
        <f t="shared" si="0"/>
        <v>0</v>
      </c>
      <c r="I12" s="1729">
        <f t="shared" si="0"/>
        <v>0</v>
      </c>
      <c r="J12" s="1729">
        <f t="shared" si="0"/>
        <v>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0</v>
      </c>
      <c r="D18" s="1732">
        <f t="shared" ref="D18:K18" si="1">SUM(D14:D17)</f>
        <v>0</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9818742</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9818742</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15856</v>
      </c>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15856</v>
      </c>
      <c r="D67" s="1710">
        <f t="shared" ref="D67:K67" si="2">SUM(D65:D66)</f>
        <v>0</v>
      </c>
      <c r="E67" s="1710">
        <f t="shared" si="2"/>
        <v>0</v>
      </c>
      <c r="F67" s="1710">
        <f t="shared" si="2"/>
        <v>0</v>
      </c>
      <c r="G67" s="1710">
        <f t="shared" si="2"/>
        <v>0</v>
      </c>
      <c r="H67" s="1710">
        <f t="shared" si="2"/>
        <v>0</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2376</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2376</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v>595840</v>
      </c>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12117</v>
      </c>
      <c r="D107" s="466"/>
      <c r="E107" s="466"/>
      <c r="F107" s="466"/>
      <c r="G107" s="466"/>
      <c r="H107" s="466"/>
      <c r="I107" s="466"/>
      <c r="J107" s="467"/>
      <c r="K107" s="466"/>
    </row>
    <row r="108" spans="1:12" ht="12.75" customHeight="1" thickBot="1" x14ac:dyDescent="0.25">
      <c r="A108" s="1730" t="s">
        <v>508</v>
      </c>
      <c r="B108" s="1734"/>
      <c r="C108" s="1729">
        <f>SUM(C95:C107)</f>
        <v>607957</v>
      </c>
      <c r="D108" s="1729">
        <f t="shared" ref="D108:K108" si="3">SUM(D95:D107)</f>
        <v>0</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10444931</v>
      </c>
      <c r="D109" s="1737">
        <f t="shared" si="4"/>
        <v>0</v>
      </c>
      <c r="E109" s="1737">
        <f t="shared" si="4"/>
        <v>0</v>
      </c>
      <c r="F109" s="1737">
        <f t="shared" si="4"/>
        <v>0</v>
      </c>
      <c r="G109" s="1737">
        <f t="shared" si="4"/>
        <v>0</v>
      </c>
      <c r="H109" s="1737">
        <f t="shared" si="4"/>
        <v>0</v>
      </c>
      <c r="I109" s="1737">
        <f t="shared" si="4"/>
        <v>0</v>
      </c>
      <c r="J109" s="1737">
        <f t="shared" si="4"/>
        <v>0</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1197875</v>
      </c>
      <c r="D117" s="481"/>
      <c r="E117" s="466"/>
      <c r="F117" s="481"/>
      <c r="G117" s="481"/>
      <c r="H117" s="466"/>
      <c r="I117" s="468"/>
      <c r="J117" s="467"/>
      <c r="K117" s="466"/>
    </row>
    <row r="118" spans="1:11" ht="12.75" customHeight="1" x14ac:dyDescent="0.2">
      <c r="A118" s="463" t="s">
        <v>1899</v>
      </c>
      <c r="B118" s="562">
        <v>3002</v>
      </c>
      <c r="C118" s="551"/>
      <c r="D118" s="466"/>
      <c r="E118" s="466"/>
      <c r="F118" s="466"/>
      <c r="G118" s="466"/>
      <c r="H118" s="466"/>
      <c r="I118" s="468"/>
      <c r="J118" s="467"/>
      <c r="K118" s="466"/>
    </row>
    <row r="119" spans="1:11" ht="12.75" customHeight="1" x14ac:dyDescent="0.2">
      <c r="A119" s="463" t="s">
        <v>1900</v>
      </c>
      <c r="B119" s="562">
        <v>3005</v>
      </c>
      <c r="C119" s="551"/>
      <c r="D119" s="466"/>
      <c r="E119" s="466"/>
      <c r="F119" s="466"/>
      <c r="G119" s="466"/>
      <c r="H119" s="466"/>
      <c r="I119" s="468"/>
      <c r="J119" s="467"/>
      <c r="K119" s="466"/>
    </row>
    <row r="120" spans="1:11" x14ac:dyDescent="0.2">
      <c r="A120" s="1518" t="s">
        <v>1901</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1197875</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v>1102386</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1102386</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698</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698</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753</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0</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1103837</v>
      </c>
      <c r="D172" s="1744">
        <f t="shared" si="6"/>
        <v>0</v>
      </c>
      <c r="E172" s="1744">
        <f t="shared" si="6"/>
        <v>0</v>
      </c>
      <c r="F172" s="1744">
        <f t="shared" si="6"/>
        <v>0</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2301712</v>
      </c>
      <c r="D173" s="1737">
        <f>SUM(D121,D172)</f>
        <v>0</v>
      </c>
      <c r="E173" s="1737">
        <f>SUM(E121,E172)</f>
        <v>0</v>
      </c>
      <c r="F173" s="1737">
        <f t="shared" ref="F173:K173" si="7">SUM(F121,F172)</f>
        <v>0</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1903</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48698</v>
      </c>
      <c r="D194" s="468"/>
      <c r="E194" s="561"/>
      <c r="F194" s="468"/>
      <c r="G194" s="585"/>
      <c r="H194" s="468"/>
      <c r="I194" s="468"/>
      <c r="J194" s="468"/>
      <c r="K194" s="468"/>
    </row>
    <row r="195" spans="1:11" ht="12.75" customHeight="1" x14ac:dyDescent="0.2">
      <c r="A195" s="463" t="s">
        <v>1107</v>
      </c>
      <c r="B195" s="470">
        <v>4215</v>
      </c>
      <c r="C195" s="551">
        <v>1125</v>
      </c>
      <c r="D195" s="468"/>
      <c r="E195" s="561"/>
      <c r="F195" s="468"/>
      <c r="G195" s="585"/>
      <c r="H195" s="468"/>
      <c r="I195" s="468"/>
      <c r="J195" s="468"/>
      <c r="K195" s="468"/>
    </row>
    <row r="196" spans="1:11" ht="12.75" customHeight="1" x14ac:dyDescent="0.2">
      <c r="A196" s="463" t="s">
        <v>1119</v>
      </c>
      <c r="B196" s="470">
        <v>4220</v>
      </c>
      <c r="C196" s="551">
        <v>9882</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59705</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0</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65677</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2151010</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2216687</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196327</v>
      </c>
      <c r="D270" s="576"/>
      <c r="E270" s="468"/>
      <c r="F270" s="576"/>
      <c r="G270" s="576"/>
      <c r="H270" s="468"/>
      <c r="I270" s="468"/>
      <c r="J270" s="468"/>
      <c r="K270" s="468"/>
    </row>
    <row r="271" spans="1:11" ht="12.75" customHeight="1" thickTop="1" thickBot="1" x14ac:dyDescent="0.25">
      <c r="A271" s="463" t="s">
        <v>395</v>
      </c>
      <c r="B271" s="470">
        <v>4992</v>
      </c>
      <c r="C271" s="575">
        <v>240199</v>
      </c>
      <c r="D271" s="576"/>
      <c r="E271" s="468"/>
      <c r="F271" s="576"/>
      <c r="G271" s="576"/>
      <c r="H271" s="468"/>
      <c r="I271" s="468"/>
      <c r="J271" s="468"/>
      <c r="K271" s="468"/>
    </row>
    <row r="272" spans="1:11" s="594" customFormat="1" ht="12.75" customHeight="1" thickTop="1" thickBot="1" x14ac:dyDescent="0.25">
      <c r="A272" s="563" t="s">
        <v>77</v>
      </c>
      <c r="B272" s="557">
        <v>4999</v>
      </c>
      <c r="C272" s="575">
        <v>33566</v>
      </c>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2746484</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2746484</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15493127</v>
      </c>
      <c r="D275" s="1737">
        <f t="shared" si="12"/>
        <v>0</v>
      </c>
      <c r="E275" s="1737">
        <f t="shared" si="12"/>
        <v>0</v>
      </c>
      <c r="F275" s="1737">
        <f t="shared" si="12"/>
        <v>0</v>
      </c>
      <c r="G275" s="1737">
        <f t="shared" si="12"/>
        <v>0</v>
      </c>
      <c r="H275" s="1737">
        <f t="shared" si="12"/>
        <v>0</v>
      </c>
      <c r="I275" s="1737">
        <f t="shared" si="12"/>
        <v>0</v>
      </c>
      <c r="J275" s="1737">
        <f t="shared" si="12"/>
        <v>0</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47" sqref="A47"/>
      <selection pane="bottomLeft" activeCell="K86" sqref="K86"/>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0" t="s">
        <v>315</v>
      </c>
      <c r="B3" s="2181"/>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c r="D5" s="466"/>
      <c r="E5" s="466"/>
      <c r="F5" s="466"/>
      <c r="G5" s="466"/>
      <c r="H5" s="466"/>
      <c r="I5" s="467"/>
      <c r="J5" s="467"/>
      <c r="K5" s="1693">
        <f>SUM(C5:J5)</f>
        <v>0</v>
      </c>
      <c r="L5" s="466"/>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5728820</v>
      </c>
      <c r="D8" s="466">
        <v>1232441</v>
      </c>
      <c r="E8" s="466">
        <v>186174</v>
      </c>
      <c r="F8" s="466">
        <v>57722</v>
      </c>
      <c r="G8" s="466">
        <v>18574</v>
      </c>
      <c r="H8" s="466">
        <v>26801</v>
      </c>
      <c r="I8" s="467"/>
      <c r="J8" s="467"/>
      <c r="K8" s="1693">
        <f t="shared" si="0"/>
        <v>7250532</v>
      </c>
      <c r="L8" s="466">
        <v>7852478</v>
      </c>
    </row>
    <row r="9" spans="1:14" x14ac:dyDescent="0.2">
      <c r="A9" s="1526" t="s">
        <v>745</v>
      </c>
      <c r="B9" s="615" t="s">
        <v>1025</v>
      </c>
      <c r="C9" s="467">
        <v>419533</v>
      </c>
      <c r="D9" s="467">
        <v>28814</v>
      </c>
      <c r="E9" s="467">
        <v>6500</v>
      </c>
      <c r="F9" s="467">
        <v>14689</v>
      </c>
      <c r="G9" s="467"/>
      <c r="H9" s="467">
        <v>3779</v>
      </c>
      <c r="I9" s="467"/>
      <c r="J9" s="467"/>
      <c r="K9" s="1693">
        <f t="shared" si="0"/>
        <v>473315</v>
      </c>
      <c r="L9" s="466">
        <v>0</v>
      </c>
    </row>
    <row r="10" spans="1:14" x14ac:dyDescent="0.2">
      <c r="A10" s="1526" t="s">
        <v>746</v>
      </c>
      <c r="B10" s="615">
        <v>1250</v>
      </c>
      <c r="C10" s="466"/>
      <c r="D10" s="466"/>
      <c r="E10" s="466"/>
      <c r="F10" s="466"/>
      <c r="G10" s="466"/>
      <c r="H10" s="466"/>
      <c r="I10" s="467"/>
      <c r="J10" s="467"/>
      <c r="K10" s="1693">
        <f t="shared" si="0"/>
        <v>0</v>
      </c>
      <c r="L10" s="466"/>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28985</v>
      </c>
      <c r="D13" s="466">
        <v>5423</v>
      </c>
      <c r="E13" s="466"/>
      <c r="F13" s="466"/>
      <c r="G13" s="466"/>
      <c r="H13" s="466"/>
      <c r="I13" s="467"/>
      <c r="J13" s="467"/>
      <c r="K13" s="1693">
        <f t="shared" si="0"/>
        <v>34408</v>
      </c>
      <c r="L13" s="466">
        <v>0</v>
      </c>
    </row>
    <row r="14" spans="1:14" x14ac:dyDescent="0.2">
      <c r="A14" s="1526" t="s">
        <v>1020</v>
      </c>
      <c r="B14" s="615">
        <v>1500</v>
      </c>
      <c r="C14" s="466"/>
      <c r="D14" s="466"/>
      <c r="E14" s="466"/>
      <c r="F14" s="466"/>
      <c r="G14" s="466"/>
      <c r="H14" s="466"/>
      <c r="I14" s="467"/>
      <c r="J14" s="467"/>
      <c r="K14" s="1693">
        <f t="shared" si="0"/>
        <v>0</v>
      </c>
      <c r="L14" s="466"/>
    </row>
    <row r="15" spans="1:14" x14ac:dyDescent="0.2">
      <c r="A15" s="1526" t="s">
        <v>1021</v>
      </c>
      <c r="B15" s="615">
        <v>1600</v>
      </c>
      <c r="C15" s="466">
        <v>111725</v>
      </c>
      <c r="D15" s="466">
        <v>8866</v>
      </c>
      <c r="E15" s="466"/>
      <c r="F15" s="466">
        <v>1746</v>
      </c>
      <c r="G15" s="466"/>
      <c r="H15" s="466"/>
      <c r="I15" s="467"/>
      <c r="J15" s="467"/>
      <c r="K15" s="1693">
        <f t="shared" si="0"/>
        <v>122337</v>
      </c>
      <c r="L15" s="466">
        <v>131683</v>
      </c>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6289063</v>
      </c>
      <c r="D33" s="1692">
        <f t="shared" ref="D33:L33" si="1">SUM(D5:D32)</f>
        <v>1275544</v>
      </c>
      <c r="E33" s="1692">
        <f t="shared" si="1"/>
        <v>192674</v>
      </c>
      <c r="F33" s="1692">
        <f t="shared" si="1"/>
        <v>74157</v>
      </c>
      <c r="G33" s="1692">
        <f t="shared" si="1"/>
        <v>18574</v>
      </c>
      <c r="H33" s="1692">
        <f t="shared" si="1"/>
        <v>30580</v>
      </c>
      <c r="I33" s="1692">
        <f t="shared" si="1"/>
        <v>0</v>
      </c>
      <c r="J33" s="1692">
        <f t="shared" si="1"/>
        <v>0</v>
      </c>
      <c r="K33" s="1692">
        <f t="shared" si="1"/>
        <v>7880592</v>
      </c>
      <c r="L33" s="1692">
        <f t="shared" si="1"/>
        <v>7984161</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557395</v>
      </c>
      <c r="D36" s="481">
        <v>51474</v>
      </c>
      <c r="E36" s="481">
        <v>589</v>
      </c>
      <c r="F36" s="481">
        <v>2489</v>
      </c>
      <c r="G36" s="481"/>
      <c r="H36" s="481"/>
      <c r="I36" s="467"/>
      <c r="J36" s="467"/>
      <c r="K36" s="1693">
        <f t="shared" ref="K36:K41" si="2">SUM(C36:J36)</f>
        <v>611947</v>
      </c>
      <c r="L36" s="466">
        <v>629753</v>
      </c>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v>23357</v>
      </c>
      <c r="D38" s="466">
        <v>4365</v>
      </c>
      <c r="E38" s="466"/>
      <c r="F38" s="466">
        <v>298</v>
      </c>
      <c r="G38" s="466"/>
      <c r="H38" s="466"/>
      <c r="I38" s="467"/>
      <c r="J38" s="467"/>
      <c r="K38" s="1693">
        <f t="shared" si="2"/>
        <v>28020</v>
      </c>
      <c r="L38" s="466">
        <v>63032</v>
      </c>
    </row>
    <row r="39" spans="1:14" x14ac:dyDescent="0.2">
      <c r="A39" s="1526" t="s">
        <v>208</v>
      </c>
      <c r="B39" s="615">
        <v>2140</v>
      </c>
      <c r="C39" s="466">
        <v>930925</v>
      </c>
      <c r="D39" s="466">
        <v>110423</v>
      </c>
      <c r="E39" s="466">
        <v>14215</v>
      </c>
      <c r="F39" s="466"/>
      <c r="G39" s="466"/>
      <c r="H39" s="466"/>
      <c r="I39" s="467"/>
      <c r="J39" s="467"/>
      <c r="K39" s="1693">
        <f t="shared" si="2"/>
        <v>1055563</v>
      </c>
      <c r="L39" s="466">
        <v>1056414</v>
      </c>
    </row>
    <row r="40" spans="1:14" x14ac:dyDescent="0.2">
      <c r="A40" s="1526" t="s">
        <v>209</v>
      </c>
      <c r="B40" s="615">
        <v>2150</v>
      </c>
      <c r="C40" s="466">
        <v>1568974</v>
      </c>
      <c r="D40" s="466">
        <v>232374</v>
      </c>
      <c r="E40" s="466">
        <v>211654</v>
      </c>
      <c r="F40" s="466">
        <v>5848</v>
      </c>
      <c r="G40" s="466"/>
      <c r="H40" s="466"/>
      <c r="I40" s="467"/>
      <c r="J40" s="467"/>
      <c r="K40" s="1693">
        <f t="shared" si="2"/>
        <v>2018850</v>
      </c>
      <c r="L40" s="466">
        <v>1867307</v>
      </c>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3080651</v>
      </c>
      <c r="D42" s="1692">
        <f t="shared" ref="D42:L42" si="3">SUM(D36:D41)</f>
        <v>398636</v>
      </c>
      <c r="E42" s="1692">
        <f t="shared" si="3"/>
        <v>226458</v>
      </c>
      <c r="F42" s="1692">
        <f t="shared" si="3"/>
        <v>8635</v>
      </c>
      <c r="G42" s="1692">
        <f t="shared" si="3"/>
        <v>0</v>
      </c>
      <c r="H42" s="1692">
        <f t="shared" si="3"/>
        <v>0</v>
      </c>
      <c r="I42" s="1692">
        <f t="shared" si="3"/>
        <v>0</v>
      </c>
      <c r="J42" s="1692">
        <f t="shared" si="3"/>
        <v>0</v>
      </c>
      <c r="K42" s="1692">
        <f t="shared" si="3"/>
        <v>3714380</v>
      </c>
      <c r="L42" s="1692">
        <f t="shared" si="3"/>
        <v>3616506</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38086</v>
      </c>
      <c r="D44" s="481">
        <v>3847</v>
      </c>
      <c r="E44" s="481">
        <v>54679</v>
      </c>
      <c r="F44" s="481"/>
      <c r="G44" s="481"/>
      <c r="H44" s="481"/>
      <c r="I44" s="467"/>
      <c r="J44" s="467"/>
      <c r="K44" s="1694">
        <f>SUM(C44:J44)</f>
        <v>96612</v>
      </c>
      <c r="L44" s="481">
        <v>122933</v>
      </c>
    </row>
    <row r="45" spans="1:14" x14ac:dyDescent="0.2">
      <c r="A45" s="1526" t="s">
        <v>869</v>
      </c>
      <c r="B45" s="615">
        <v>2220</v>
      </c>
      <c r="C45" s="466"/>
      <c r="D45" s="466"/>
      <c r="E45" s="466"/>
      <c r="F45" s="466"/>
      <c r="G45" s="466"/>
      <c r="H45" s="466"/>
      <c r="I45" s="467"/>
      <c r="J45" s="467"/>
      <c r="K45" s="1694">
        <f>SUM(C45:J45)</f>
        <v>0</v>
      </c>
      <c r="L45" s="466"/>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38086</v>
      </c>
      <c r="D47" s="1692">
        <f t="shared" ref="D47:K47" si="4">SUM(D44:D46)</f>
        <v>3847</v>
      </c>
      <c r="E47" s="1692">
        <f t="shared" si="4"/>
        <v>54679</v>
      </c>
      <c r="F47" s="1692">
        <f t="shared" si="4"/>
        <v>0</v>
      </c>
      <c r="G47" s="1692">
        <f t="shared" si="4"/>
        <v>0</v>
      </c>
      <c r="H47" s="1692">
        <f t="shared" si="4"/>
        <v>0</v>
      </c>
      <c r="I47" s="1692">
        <f t="shared" si="4"/>
        <v>0</v>
      </c>
      <c r="J47" s="1692">
        <f t="shared" si="4"/>
        <v>0</v>
      </c>
      <c r="K47" s="1692">
        <f t="shared" si="4"/>
        <v>96612</v>
      </c>
      <c r="L47" s="1692">
        <f>SUM(L44:L46)</f>
        <v>122933</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c r="F49" s="481"/>
      <c r="G49" s="481"/>
      <c r="H49" s="481"/>
      <c r="I49" s="467"/>
      <c r="J49" s="467"/>
      <c r="K49" s="1694">
        <f>SUM(C49:J49)</f>
        <v>0</v>
      </c>
      <c r="L49" s="481"/>
    </row>
    <row r="50" spans="1:14" x14ac:dyDescent="0.2">
      <c r="A50" s="1526" t="s">
        <v>872</v>
      </c>
      <c r="B50" s="615">
        <v>2320</v>
      </c>
      <c r="C50" s="466">
        <v>1002249</v>
      </c>
      <c r="D50" s="466">
        <v>558651</v>
      </c>
      <c r="E50" s="466">
        <v>228654</v>
      </c>
      <c r="F50" s="466">
        <v>52164</v>
      </c>
      <c r="G50" s="466">
        <v>555</v>
      </c>
      <c r="H50" s="466">
        <v>33492</v>
      </c>
      <c r="I50" s="467"/>
      <c r="J50" s="467"/>
      <c r="K50" s="1694">
        <f>SUM(C50:J50)</f>
        <v>1875765</v>
      </c>
      <c r="L50" s="466">
        <v>1862186</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1002249</v>
      </c>
      <c r="D53" s="1692">
        <f t="shared" ref="D53:L53" si="5">SUM(D49:D52)</f>
        <v>558651</v>
      </c>
      <c r="E53" s="1692">
        <f t="shared" si="5"/>
        <v>228654</v>
      </c>
      <c r="F53" s="1692">
        <f t="shared" si="5"/>
        <v>52164</v>
      </c>
      <c r="G53" s="1692">
        <f t="shared" si="5"/>
        <v>555</v>
      </c>
      <c r="H53" s="1692">
        <f t="shared" si="5"/>
        <v>33492</v>
      </c>
      <c r="I53" s="1692">
        <f t="shared" si="5"/>
        <v>0</v>
      </c>
      <c r="J53" s="1692">
        <f t="shared" si="5"/>
        <v>0</v>
      </c>
      <c r="K53" s="1692">
        <f t="shared" si="5"/>
        <v>1875765</v>
      </c>
      <c r="L53" s="1692">
        <f t="shared" si="5"/>
        <v>1862186</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c r="D55" s="481"/>
      <c r="E55" s="481"/>
      <c r="F55" s="481"/>
      <c r="G55" s="481"/>
      <c r="H55" s="481"/>
      <c r="I55" s="467"/>
      <c r="J55" s="467"/>
      <c r="K55" s="1694">
        <f>SUM(C55:J55)</f>
        <v>0</v>
      </c>
      <c r="L55" s="481"/>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0</v>
      </c>
      <c r="D57" s="1696">
        <f t="shared" ref="D57:K57" si="6">SUM(D55:D56)</f>
        <v>0</v>
      </c>
      <c r="E57" s="1696">
        <f t="shared" si="6"/>
        <v>0</v>
      </c>
      <c r="F57" s="1696">
        <f t="shared" si="6"/>
        <v>0</v>
      </c>
      <c r="G57" s="1696">
        <f t="shared" si="6"/>
        <v>0</v>
      </c>
      <c r="H57" s="1696">
        <f t="shared" si="6"/>
        <v>0</v>
      </c>
      <c r="I57" s="1696">
        <f t="shared" si="6"/>
        <v>0</v>
      </c>
      <c r="J57" s="1696">
        <f t="shared" si="6"/>
        <v>0</v>
      </c>
      <c r="K57" s="1696">
        <f t="shared" si="6"/>
        <v>0</v>
      </c>
      <c r="L57" s="1692">
        <f>SUM(L55:L56)</f>
        <v>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c r="D60" s="466"/>
      <c r="E60" s="466"/>
      <c r="F60" s="466"/>
      <c r="G60" s="466"/>
      <c r="H60" s="466"/>
      <c r="I60" s="467"/>
      <c r="J60" s="467"/>
      <c r="K60" s="1694">
        <f t="shared" si="7"/>
        <v>0</v>
      </c>
      <c r="L60" s="466"/>
      <c r="M60" s="610"/>
      <c r="N60" s="610"/>
    </row>
    <row r="61" spans="1:14" s="343" customFormat="1" x14ac:dyDescent="0.2">
      <c r="A61" s="1526" t="s">
        <v>206</v>
      </c>
      <c r="B61" s="615">
        <v>2540</v>
      </c>
      <c r="C61" s="466"/>
      <c r="D61" s="466"/>
      <c r="E61" s="466">
        <v>2270</v>
      </c>
      <c r="F61" s="466"/>
      <c r="G61" s="466"/>
      <c r="H61" s="466"/>
      <c r="I61" s="467"/>
      <c r="J61" s="467"/>
      <c r="K61" s="1694">
        <f t="shared" si="7"/>
        <v>2270</v>
      </c>
      <c r="L61" s="466">
        <v>283824</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c r="D63" s="466"/>
      <c r="E63" s="466"/>
      <c r="F63" s="466"/>
      <c r="G63" s="466"/>
      <c r="H63" s="466"/>
      <c r="I63" s="467"/>
      <c r="J63" s="467"/>
      <c r="K63" s="1694">
        <f t="shared" si="7"/>
        <v>0</v>
      </c>
      <c r="L63" s="466"/>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0</v>
      </c>
      <c r="D65" s="1692">
        <f t="shared" ref="D65:L65" si="8">SUM(D59:D64)</f>
        <v>0</v>
      </c>
      <c r="E65" s="1692">
        <f t="shared" si="8"/>
        <v>2270</v>
      </c>
      <c r="F65" s="1692">
        <f t="shared" si="8"/>
        <v>0</v>
      </c>
      <c r="G65" s="1692">
        <f t="shared" si="8"/>
        <v>0</v>
      </c>
      <c r="H65" s="1692">
        <f t="shared" si="8"/>
        <v>0</v>
      </c>
      <c r="I65" s="1692">
        <f t="shared" si="8"/>
        <v>0</v>
      </c>
      <c r="J65" s="1692">
        <f t="shared" si="8"/>
        <v>0</v>
      </c>
      <c r="K65" s="1692">
        <f t="shared" si="8"/>
        <v>2270</v>
      </c>
      <c r="L65" s="1692">
        <f t="shared" si="8"/>
        <v>283824</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4120986</v>
      </c>
      <c r="D74" s="1699">
        <f t="shared" ref="D74:K74" si="10">SUM(D42,D47,D53,D57,D65,D72,D73)</f>
        <v>961134</v>
      </c>
      <c r="E74" s="1699">
        <f t="shared" si="10"/>
        <v>512061</v>
      </c>
      <c r="F74" s="1699">
        <f t="shared" si="10"/>
        <v>60799</v>
      </c>
      <c r="G74" s="1699">
        <f t="shared" si="10"/>
        <v>555</v>
      </c>
      <c r="H74" s="1699">
        <f t="shared" si="10"/>
        <v>33492</v>
      </c>
      <c r="I74" s="1699">
        <f t="shared" si="10"/>
        <v>0</v>
      </c>
      <c r="J74" s="1699">
        <f t="shared" si="10"/>
        <v>0</v>
      </c>
      <c r="K74" s="1699">
        <f t="shared" si="10"/>
        <v>5689027</v>
      </c>
      <c r="L74" s="1699">
        <f>SUM(L42,L47,L53,L57,L65,L72,L73)</f>
        <v>5885449</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v>1412706</v>
      </c>
      <c r="I79" s="477"/>
      <c r="J79" s="477"/>
      <c r="K79" s="1693">
        <f t="shared" si="11"/>
        <v>1412706</v>
      </c>
      <c r="L79" s="466">
        <v>1428328</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0</v>
      </c>
      <c r="F84" s="617"/>
      <c r="G84" s="617"/>
      <c r="H84" s="1692">
        <f>SUM(H78:H83)</f>
        <v>1412706</v>
      </c>
      <c r="I84" s="477"/>
      <c r="J84" s="477"/>
      <c r="K84" s="1692">
        <f>SUM(K78:K83)</f>
        <v>1412706</v>
      </c>
      <c r="L84" s="1692">
        <f>SUM(L78:L83)</f>
        <v>1428328</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1412706</v>
      </c>
      <c r="I102" s="477"/>
      <c r="J102" s="477"/>
      <c r="K102" s="1699">
        <f>SUM(K84,K92,K100,K101)</f>
        <v>1412706</v>
      </c>
      <c r="L102" s="1699">
        <f>SUM(L84,L92,L100,L101)</f>
        <v>1428328</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10410049</v>
      </c>
      <c r="D114" s="1692">
        <f t="shared" ref="D114:K114" si="13">SUM(D33,D74,D75,D102,D112,D113)</f>
        <v>2236678</v>
      </c>
      <c r="E114" s="1692">
        <f t="shared" si="13"/>
        <v>704735</v>
      </c>
      <c r="F114" s="1692">
        <f t="shared" si="13"/>
        <v>134956</v>
      </c>
      <c r="G114" s="1692">
        <f t="shared" si="13"/>
        <v>19129</v>
      </c>
      <c r="H114" s="1692">
        <f>SUM(H33,H74,H75,H102,H112,H113)</f>
        <v>1476778</v>
      </c>
      <c r="I114" s="1692">
        <f t="shared" si="13"/>
        <v>0</v>
      </c>
      <c r="J114" s="1692">
        <f t="shared" si="13"/>
        <v>0</v>
      </c>
      <c r="K114" s="1692">
        <f t="shared" si="13"/>
        <v>14982325</v>
      </c>
      <c r="L114" s="1692">
        <f>SUM(L33,L74,L75,L102,L112,L113)</f>
        <v>15297938</v>
      </c>
    </row>
    <row r="115" spans="1:14" ht="13.5" thickTop="1" x14ac:dyDescent="0.2">
      <c r="A115" s="2199" t="s">
        <v>1053</v>
      </c>
      <c r="B115" s="2200"/>
      <c r="C115" s="619"/>
      <c r="D115" s="619"/>
      <c r="E115" s="619"/>
      <c r="F115" s="619"/>
      <c r="G115" s="619"/>
      <c r="H115" s="619"/>
      <c r="I115" s="619"/>
      <c r="J115" s="619"/>
      <c r="K115" s="1706">
        <f>'Revenues 9-14'!C275-'Expenditures 15-22'!K114</f>
        <v>510802</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7" t="s">
        <v>314</v>
      </c>
      <c r="B117" s="2178"/>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c r="D124" s="466"/>
      <c r="E124" s="466"/>
      <c r="F124" s="466"/>
      <c r="G124" s="466"/>
      <c r="H124" s="466"/>
      <c r="I124" s="467"/>
      <c r="J124" s="467"/>
      <c r="K124" s="1692">
        <f>SUM(C124:J124)</f>
        <v>0</v>
      </c>
      <c r="L124" s="466"/>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0</v>
      </c>
      <c r="D127" s="1692">
        <f t="shared" ref="D127:L127" si="14">SUM(D122:D126)</f>
        <v>0</v>
      </c>
      <c r="E127" s="1692">
        <f t="shared" si="14"/>
        <v>0</v>
      </c>
      <c r="F127" s="1692">
        <f t="shared" si="14"/>
        <v>0</v>
      </c>
      <c r="G127" s="1692">
        <f t="shared" si="14"/>
        <v>0</v>
      </c>
      <c r="H127" s="1692">
        <f t="shared" si="14"/>
        <v>0</v>
      </c>
      <c r="I127" s="1692">
        <f t="shared" si="14"/>
        <v>0</v>
      </c>
      <c r="J127" s="1692">
        <f t="shared" si="14"/>
        <v>0</v>
      </c>
      <c r="K127" s="1692">
        <f t="shared" si="14"/>
        <v>0</v>
      </c>
      <c r="L127" s="1692">
        <f t="shared" si="14"/>
        <v>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0</v>
      </c>
      <c r="D129" s="1699">
        <f t="shared" ref="D129:L129" si="15">SUM(D120,D127,D128)</f>
        <v>0</v>
      </c>
      <c r="E129" s="1699">
        <f t="shared" si="15"/>
        <v>0</v>
      </c>
      <c r="F129" s="1699">
        <f t="shared" si="15"/>
        <v>0</v>
      </c>
      <c r="G129" s="1699">
        <f t="shared" si="15"/>
        <v>0</v>
      </c>
      <c r="H129" s="1699">
        <f t="shared" si="15"/>
        <v>0</v>
      </c>
      <c r="I129" s="1699">
        <f t="shared" si="15"/>
        <v>0</v>
      </c>
      <c r="J129" s="1699">
        <f t="shared" si="15"/>
        <v>0</v>
      </c>
      <c r="K129" s="1699">
        <f t="shared" si="15"/>
        <v>0</v>
      </c>
      <c r="L129" s="1699">
        <f t="shared" si="15"/>
        <v>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1953</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9" t="s">
        <v>641</v>
      </c>
      <c r="B151" s="2171"/>
      <c r="C151" s="1692">
        <f>SUM(C129,C130,C139,C149,C150)</f>
        <v>0</v>
      </c>
      <c r="D151" s="1692">
        <f t="shared" ref="D151:K151" si="16">SUM(D129,D130,D139,D149,D150)</f>
        <v>0</v>
      </c>
      <c r="E151" s="1692">
        <f t="shared" si="16"/>
        <v>0</v>
      </c>
      <c r="F151" s="1692">
        <f t="shared" si="16"/>
        <v>0</v>
      </c>
      <c r="G151" s="1692">
        <f t="shared" si="16"/>
        <v>0</v>
      </c>
      <c r="H151" s="1692">
        <f t="shared" si="16"/>
        <v>0</v>
      </c>
      <c r="I151" s="1692">
        <f t="shared" si="16"/>
        <v>0</v>
      </c>
      <c r="J151" s="1692">
        <f t="shared" si="16"/>
        <v>0</v>
      </c>
      <c r="K151" s="1692">
        <f t="shared" si="16"/>
        <v>0</v>
      </c>
      <c r="L151" s="1692">
        <f>SUM(L129,L130,L139,L149,L150)</f>
        <v>0</v>
      </c>
    </row>
    <row r="152" spans="1:14" ht="12.75" customHeight="1" thickTop="1" x14ac:dyDescent="0.2">
      <c r="A152" s="2192" t="s">
        <v>1240</v>
      </c>
      <c r="B152" s="2193"/>
      <c r="C152" s="619"/>
      <c r="D152" s="619"/>
      <c r="E152" s="619"/>
      <c r="F152" s="619"/>
      <c r="G152" s="619"/>
      <c r="H152" s="619"/>
      <c r="I152" s="619"/>
      <c r="J152" s="617"/>
      <c r="K152" s="1706">
        <f>'Revenues 9-14'!D275-'Expenditures 15-22'!K151</f>
        <v>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7" t="s">
        <v>642</v>
      </c>
      <c r="B154" s="2179"/>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1954</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1953</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1955</v>
      </c>
      <c r="C158" s="617"/>
      <c r="D158" s="617"/>
      <c r="E158" s="617"/>
      <c r="F158" s="617"/>
      <c r="G158" s="617"/>
      <c r="H158" s="467"/>
      <c r="I158" s="617"/>
      <c r="J158" s="617"/>
      <c r="K158" s="1693">
        <f>H158</f>
        <v>0</v>
      </c>
      <c r="L158" s="467"/>
      <c r="M158" s="620"/>
      <c r="N158" s="620"/>
    </row>
    <row r="159" spans="1:14" s="621" customFormat="1" ht="12" x14ac:dyDescent="0.2">
      <c r="A159" s="1849" t="s">
        <v>1956</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1957</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c r="I169" s="617"/>
      <c r="J169" s="617"/>
      <c r="K169" s="1693">
        <f>SUM(C169:H169)</f>
        <v>0</v>
      </c>
      <c r="L169" s="657"/>
    </row>
    <row r="170" spans="1:14" ht="33.75" customHeight="1" x14ac:dyDescent="0.2">
      <c r="A170" s="670" t="s">
        <v>1769</v>
      </c>
      <c r="B170" s="672" t="s">
        <v>31</v>
      </c>
      <c r="C170" s="617"/>
      <c r="D170" s="617"/>
      <c r="E170" s="617"/>
      <c r="F170" s="617"/>
      <c r="G170" s="617"/>
      <c r="H170" s="569"/>
      <c r="I170" s="617"/>
      <c r="J170" s="617"/>
      <c r="K170" s="1693">
        <f>SUM(C170:J170)</f>
        <v>0</v>
      </c>
      <c r="L170" s="569"/>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0</v>
      </c>
      <c r="I172" s="639"/>
      <c r="J172" s="617"/>
      <c r="K172" s="1699">
        <f>SUM(K168,K169,K170,K171)</f>
        <v>0</v>
      </c>
      <c r="L172" s="1699">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0</v>
      </c>
      <c r="I174" s="639"/>
      <c r="J174" s="617"/>
      <c r="K174" s="1699">
        <f>SUM(K160,K172,K173)</f>
        <v>0</v>
      </c>
      <c r="L174" s="1699">
        <f>SUM(L160,L172,L173)</f>
        <v>0</v>
      </c>
    </row>
    <row r="175" spans="1:14" ht="13.5" thickTop="1" x14ac:dyDescent="0.2">
      <c r="A175" s="2199" t="s">
        <v>1053</v>
      </c>
      <c r="B175" s="2200"/>
      <c r="C175" s="617"/>
      <c r="D175" s="617"/>
      <c r="E175" s="617"/>
      <c r="F175" s="617"/>
      <c r="G175" s="617"/>
      <c r="H175" s="619"/>
      <c r="I175" s="617"/>
      <c r="J175" s="617"/>
      <c r="K175" s="1706">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c r="F182" s="466"/>
      <c r="G182" s="466"/>
      <c r="H182" s="466"/>
      <c r="I182" s="467"/>
      <c r="J182" s="467"/>
      <c r="K182" s="1693">
        <f>SUM(C182:J182)</f>
        <v>0</v>
      </c>
      <c r="L182" s="466"/>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0</v>
      </c>
      <c r="D184" s="1699">
        <f t="shared" ref="D184:J184" si="17">SUM(D180,D182,D183)</f>
        <v>0</v>
      </c>
      <c r="E184" s="1699">
        <f t="shared" si="17"/>
        <v>0</v>
      </c>
      <c r="F184" s="1699">
        <f t="shared" si="17"/>
        <v>0</v>
      </c>
      <c r="G184" s="1699">
        <f t="shared" si="17"/>
        <v>0</v>
      </c>
      <c r="H184" s="1699">
        <f t="shared" si="17"/>
        <v>0</v>
      </c>
      <c r="I184" s="1699">
        <f t="shared" si="17"/>
        <v>0</v>
      </c>
      <c r="J184" s="1699">
        <f t="shared" si="17"/>
        <v>0</v>
      </c>
      <c r="K184" s="1699">
        <f>SUM(K180,K182,K183)</f>
        <v>0</v>
      </c>
      <c r="L184" s="1699">
        <f>SUM(L180, L182:L183)</f>
        <v>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0</v>
      </c>
      <c r="D210" s="1692">
        <f>SUM(D184,D185)</f>
        <v>0</v>
      </c>
      <c r="E210" s="1692">
        <f>SUM(E184,E185,E196)</f>
        <v>0</v>
      </c>
      <c r="F210" s="1692">
        <f>SUM(F184,F185)</f>
        <v>0</v>
      </c>
      <c r="G210" s="1692">
        <f>SUM(G184,G185)</f>
        <v>0</v>
      </c>
      <c r="H210" s="1692">
        <f>SUM(H184,H185,H196,H208,H209)</f>
        <v>0</v>
      </c>
      <c r="I210" s="1692">
        <f>SUM(I184,I185)</f>
        <v>0</v>
      </c>
      <c r="J210" s="1692">
        <f>SUM(J184,J185)</f>
        <v>0</v>
      </c>
      <c r="K210" s="1693">
        <f>SUM(K184,K185,K196,K208,K209)</f>
        <v>0</v>
      </c>
      <c r="L210" s="1692">
        <f>SUM(L184,L185,L196,L208,L209)</f>
        <v>0</v>
      </c>
    </row>
    <row r="211" spans="1:14" ht="13.5" thickTop="1" x14ac:dyDescent="0.2">
      <c r="A211" s="2199" t="s">
        <v>1053</v>
      </c>
      <c r="B211" s="2200"/>
      <c r="C211" s="619"/>
      <c r="D211" s="619"/>
      <c r="E211" s="619"/>
      <c r="F211" s="619"/>
      <c r="G211" s="619"/>
      <c r="H211" s="619"/>
      <c r="I211" s="617"/>
      <c r="J211" s="617"/>
      <c r="K211" s="1706">
        <f>'Revenues 9-14'!F275-'Expenditures 15-22'!K210</f>
        <v>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4" t="s">
        <v>1022</v>
      </c>
      <c r="B213" s="2195"/>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c r="E215" s="617"/>
      <c r="F215" s="617"/>
      <c r="G215" s="617"/>
      <c r="H215" s="617"/>
      <c r="I215" s="617"/>
      <c r="J215" s="617"/>
      <c r="K215" s="1693">
        <f>D215</f>
        <v>0</v>
      </c>
      <c r="L215" s="466"/>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c r="E217" s="617"/>
      <c r="F217" s="617"/>
      <c r="G217" s="617"/>
      <c r="H217" s="617"/>
      <c r="I217" s="617"/>
      <c r="J217" s="617"/>
      <c r="K217" s="1693">
        <f t="shared" si="19"/>
        <v>0</v>
      </c>
      <c r="L217" s="466"/>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c r="E223" s="617"/>
      <c r="F223" s="617"/>
      <c r="G223" s="617"/>
      <c r="H223" s="617"/>
      <c r="I223" s="617"/>
      <c r="J223" s="617"/>
      <c r="K223" s="1693">
        <f t="shared" si="19"/>
        <v>0</v>
      </c>
      <c r="L223" s="466"/>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0</v>
      </c>
      <c r="E229" s="617"/>
      <c r="F229" s="617"/>
      <c r="G229" s="617"/>
      <c r="H229" s="617"/>
      <c r="I229" s="617"/>
      <c r="J229" s="617"/>
      <c r="K229" s="1692">
        <f>SUM(K215:K228)</f>
        <v>0</v>
      </c>
      <c r="L229" s="1692">
        <f>SUM(L215:L228)</f>
        <v>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0</v>
      </c>
      <c r="E238" s="617"/>
      <c r="F238" s="617"/>
      <c r="G238" s="617"/>
      <c r="H238" s="617"/>
      <c r="I238" s="617"/>
      <c r="J238" s="617"/>
      <c r="K238" s="1692">
        <f>SUM(K232:K237)</f>
        <v>0</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c r="E246" s="617"/>
      <c r="F246" s="617"/>
      <c r="G246" s="617"/>
      <c r="H246" s="617"/>
      <c r="I246" s="617"/>
      <c r="J246" s="617"/>
      <c r="K246" s="1694">
        <f t="shared" ref="K246:K256" si="21">D246</f>
        <v>0</v>
      </c>
      <c r="L246" s="466"/>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1905</v>
      </c>
      <c r="B249" s="684" t="s">
        <v>300</v>
      </c>
      <c r="C249" s="617"/>
      <c r="D249" s="474"/>
      <c r="E249" s="617"/>
      <c r="F249" s="617"/>
      <c r="G249" s="617"/>
      <c r="H249" s="617"/>
      <c r="I249" s="617"/>
      <c r="J249" s="617"/>
      <c r="K249" s="1694">
        <f t="shared" si="21"/>
        <v>0</v>
      </c>
      <c r="L249" s="466"/>
    </row>
    <row r="250" spans="1:12" x14ac:dyDescent="0.2">
      <c r="A250" s="1527" t="s">
        <v>1906</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0</v>
      </c>
      <c r="E257" s="617"/>
      <c r="F257" s="617"/>
      <c r="G257" s="617"/>
      <c r="H257" s="617"/>
      <c r="I257" s="617"/>
      <c r="J257" s="617"/>
      <c r="K257" s="1692">
        <f>SUM(K245:K256)</f>
        <v>0</v>
      </c>
      <c r="L257" s="1692">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c r="E259" s="617"/>
      <c r="F259" s="617"/>
      <c r="G259" s="617"/>
      <c r="H259" s="617"/>
      <c r="I259" s="617"/>
      <c r="J259" s="617"/>
      <c r="K259" s="1694">
        <f>D259</f>
        <v>0</v>
      </c>
      <c r="L259" s="481"/>
    </row>
    <row r="260" spans="1:14" s="598" customFormat="1" x14ac:dyDescent="0.2">
      <c r="A260" s="1544" t="s">
        <v>1904</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0</v>
      </c>
      <c r="E261" s="617"/>
      <c r="F261" s="617"/>
      <c r="G261" s="617"/>
      <c r="H261" s="617"/>
      <c r="I261" s="617"/>
      <c r="J261" s="617"/>
      <c r="K261" s="1692">
        <f>SUM(K259:K260)</f>
        <v>0</v>
      </c>
      <c r="L261" s="1692">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c r="E264" s="617"/>
      <c r="F264" s="617"/>
      <c r="G264" s="617"/>
      <c r="H264" s="617"/>
      <c r="I264" s="617"/>
      <c r="J264" s="617"/>
      <c r="K264" s="1694">
        <f t="shared" ref="K264:K269" si="22">D264</f>
        <v>0</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c r="E266" s="617"/>
      <c r="F266" s="617"/>
      <c r="G266" s="617"/>
      <c r="H266" s="617"/>
      <c r="I266" s="617"/>
      <c r="J266" s="617"/>
      <c r="K266" s="1694">
        <f t="shared" si="22"/>
        <v>0</v>
      </c>
      <c r="L266" s="466"/>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c r="E268" s="617"/>
      <c r="F268" s="617"/>
      <c r="G268" s="617"/>
      <c r="H268" s="617"/>
      <c r="I268" s="617"/>
      <c r="J268" s="617"/>
      <c r="K268" s="1694">
        <f t="shared" si="22"/>
        <v>0</v>
      </c>
      <c r="L268" s="466"/>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0</v>
      </c>
      <c r="E270" s="617"/>
      <c r="F270" s="617"/>
      <c r="G270" s="617"/>
      <c r="H270" s="617"/>
      <c r="I270" s="617"/>
      <c r="J270" s="617"/>
      <c r="K270" s="1692">
        <f>SUM(K263:K269)</f>
        <v>0</v>
      </c>
      <c r="L270" s="1692">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0</v>
      </c>
      <c r="E279" s="617"/>
      <c r="F279" s="617"/>
      <c r="G279" s="617"/>
      <c r="H279" s="617"/>
      <c r="I279" s="617"/>
      <c r="J279" s="617"/>
      <c r="K279" s="1699">
        <f>SUM(K238,K243,K257,K261,K270,K277,K278)</f>
        <v>0</v>
      </c>
      <c r="L279" s="1699">
        <f>SUM(L238,L243,L257,L261,L270,L277,L278)</f>
        <v>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1953</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0" t="s">
        <v>526</v>
      </c>
      <c r="B295" s="2191"/>
      <c r="C295" s="617"/>
      <c r="D295" s="1692">
        <f>SUM(D229,D279,D280,D285)</f>
        <v>0</v>
      </c>
      <c r="E295" s="617"/>
      <c r="F295" s="617"/>
      <c r="G295" s="617"/>
      <c r="H295" s="1692">
        <f>H293</f>
        <v>0</v>
      </c>
      <c r="I295" s="617"/>
      <c r="J295" s="617"/>
      <c r="K295" s="1692">
        <f>SUM(K229,K279,K280,K285,K293,K294)</f>
        <v>0</v>
      </c>
      <c r="L295" s="1692">
        <f>SUM(L229,L279,L280,L285,L293,L294)</f>
        <v>0</v>
      </c>
    </row>
    <row r="296" spans="1:14" ht="13.5" thickTop="1" x14ac:dyDescent="0.2">
      <c r="A296" s="2199" t="s">
        <v>1053</v>
      </c>
      <c r="B296" s="2200"/>
      <c r="C296" s="617"/>
      <c r="D296" s="619"/>
      <c r="E296" s="617"/>
      <c r="F296" s="617"/>
      <c r="G296" s="617"/>
      <c r="H296" s="688"/>
      <c r="I296" s="617"/>
      <c r="J296" s="617"/>
      <c r="K296" s="1706">
        <f>'Revenues 9-14'!G275-'Expenditures 15-22'!K295</f>
        <v>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2" t="s">
        <v>145</v>
      </c>
      <c r="B298" s="2176"/>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1958</v>
      </c>
      <c r="B306" s="691" t="s">
        <v>1953</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7" t="s">
        <v>295</v>
      </c>
      <c r="B312" s="2188"/>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3" t="s">
        <v>1053</v>
      </c>
      <c r="B313" s="2184"/>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6" t="s">
        <v>151</v>
      </c>
      <c r="B315" s="2197"/>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8" t="s">
        <v>954</v>
      </c>
      <c r="B317" s="2197"/>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1905</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1959</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1953</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1955</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1960</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85" t="s">
        <v>1053</v>
      </c>
      <c r="B343" s="2186"/>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5" t="s">
        <v>1023</v>
      </c>
      <c r="B345" s="2176"/>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1961</v>
      </c>
      <c r="B354" s="684" t="s">
        <v>1953</v>
      </c>
      <c r="C354" s="617"/>
      <c r="D354" s="617"/>
      <c r="E354" s="617"/>
      <c r="F354" s="617"/>
      <c r="G354" s="617"/>
      <c r="H354" s="474"/>
      <c r="I354" s="702"/>
      <c r="J354" s="617"/>
      <c r="K354" s="1721">
        <f>H354</f>
        <v>0</v>
      </c>
      <c r="L354" s="471"/>
    </row>
    <row r="355" spans="1:14" ht="12.75" customHeight="1" x14ac:dyDescent="0.2">
      <c r="A355" s="1535" t="s">
        <v>1962</v>
      </c>
      <c r="B355" s="691" t="s">
        <v>1955</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99" t="s">
        <v>1053</v>
      </c>
      <c r="B368" s="2200"/>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openxmlformats.org/package/2006/metadata/core-properties"/>
    <ds:schemaRef ds:uri="http://www.w3.org/XML/1998/namespace"/>
    <ds:schemaRef ds:uri="http://purl.org/dc/elements/1.1/"/>
    <ds:schemaRef ds:uri="http://schemas.microsoft.com/office/2006/documentManagement/types"/>
    <ds:schemaRef ds:uri="4d435f69-8686-490b-bd6d-b153bf22ab50"/>
    <ds:schemaRef ds:uri="6ce3111e-7420-4802-b50a-75d4e9a0b980"/>
    <ds:schemaRef ds:uri="http://purl.org/dc/terms/"/>
    <ds:schemaRef ds:uri="http://schemas.microsoft.com/sharepoint/v3"/>
    <ds:schemaRef ds:uri="http://schemas.microsoft.com/office/2006/metadata/properties"/>
    <ds:schemaRef ds:uri="http://schemas.microsoft.com/office/infopath/2007/PartnerControls"/>
    <ds:schemaRef ds:uri="d21dc803-237d-4c68-8692-8d731fd29118"/>
    <ds:schemaRef ds:uri="http://purl.org/dc/dcmityp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2018-10-10T19:57:50Z</cp:lastPrinted>
  <dcterms:created xsi:type="dcterms:W3CDTF">2003-10-29T19:06:34Z</dcterms:created>
  <dcterms:modified xsi:type="dcterms:W3CDTF">2018-10-12T18:48:16Z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