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4310" windowWidth="28830" windowHeight="6450" tabRatio="907" firstSheet="15" activeTab="27"/>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Sheet1" sheetId="183"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SF&amp;QC Sec-1" sheetId="174" r:id="rId31"/>
    <sheet name="SF&amp;QC Sec-2" sheetId="175" r:id="rId32"/>
    <sheet name="SF&amp;QC Sec-3" sheetId="176" r:id="rId33"/>
    <sheet name="SSPAF" sheetId="177" r:id="rId34"/>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9">#REF!</definedName>
    <definedName name="SCHADDRS" localSheetId="17">#REF!</definedName>
    <definedName name="SCHADDRS" localSheetId="22">#REF!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7">#REF!</definedName>
    <definedName name="SCHCTY" localSheetId="22">#REF!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7">#REF!</definedName>
    <definedName name="SCHNMBR" localSheetId="22">#REF!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7">#REF!</definedName>
    <definedName name="SCHNME" localSheetId="22">#REF!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7">#REF!</definedName>
    <definedName name="SUPT" localSheetId="22">#REF!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workbook>
</file>

<file path=xl/calcChain.xml><?xml version="1.0" encoding="utf-8"?>
<calcChain xmlns="http://schemas.openxmlformats.org/spreadsheetml/2006/main">
  <c r="D17" i="181" l="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D7762" i="106" s="1"/>
  <c r="K12" i="12"/>
  <c r="K23" i="12"/>
  <c r="J12" i="12"/>
  <c r="J21" i="12"/>
  <c r="B7729" i="106"/>
  <c r="B7734" i="106"/>
  <c r="B7726" i="106"/>
  <c r="D76" i="36"/>
  <c r="F162" i="34"/>
  <c r="B30" i="36"/>
  <c r="B33" i="36" s="1"/>
  <c r="B43" i="36" s="1"/>
  <c r="B56" i="36" s="1"/>
  <c r="B66" i="36" s="1"/>
  <c r="B70" i="36" s="1"/>
  <c r="B74" i="36" s="1"/>
  <c r="D73" i="36"/>
  <c r="C191" i="5"/>
  <c r="C201" i="5"/>
  <c r="C211" i="5"/>
  <c r="C216" i="5"/>
  <c r="C224" i="5"/>
  <c r="C228" i="5"/>
  <c r="C259" i="5"/>
  <c r="B7761" i="106"/>
  <c r="D7761" i="106" s="1"/>
  <c r="L127" i="29"/>
  <c r="L129" i="29" s="1"/>
  <c r="L139" i="29"/>
  <c r="L149" i="29"/>
  <c r="I7" i="145"/>
  <c r="I6" i="145"/>
  <c r="D82" i="36"/>
  <c r="D78" i="36"/>
  <c r="K75" i="29"/>
  <c r="K130" i="29"/>
  <c r="K185" i="29"/>
  <c r="K122" i="29"/>
  <c r="F15" i="145" s="1"/>
  <c r="F19" i="145" s="1"/>
  <c r="K67" i="29"/>
  <c r="G33" i="108" s="1"/>
  <c r="K64" i="29"/>
  <c r="K59" i="29"/>
  <c r="E15" i="145"/>
  <c r="G15" i="145" s="1"/>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D1132" i="106"/>
  <c r="K68" i="29"/>
  <c r="K69" i="29"/>
  <c r="B1136" i="106" s="1"/>
  <c r="D1136" i="106" s="1"/>
  <c r="K70" i="29"/>
  <c r="B1137" i="106" s="1"/>
  <c r="D1137" i="106" s="1"/>
  <c r="D1138" i="106"/>
  <c r="K71" i="29"/>
  <c r="B1139" i="106" s="1"/>
  <c r="D1139" i="106" s="1"/>
  <c r="D1140" i="106"/>
  <c r="K73" i="29"/>
  <c r="K78" i="29"/>
  <c r="K79" i="29"/>
  <c r="K80" i="29"/>
  <c r="K81" i="29"/>
  <c r="K82" i="29"/>
  <c r="K83" i="29"/>
  <c r="K93" i="29"/>
  <c r="K94" i="29"/>
  <c r="K95" i="29"/>
  <c r="B7001" i="106" s="1"/>
  <c r="D7001" i="106" s="1"/>
  <c r="K96" i="29"/>
  <c r="K97" i="29"/>
  <c r="K98" i="29"/>
  <c r="K99" i="29"/>
  <c r="B7010" i="106" s="1"/>
  <c r="D7010" i="106" s="1"/>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K215" i="29"/>
  <c r="B3390" i="106" s="1"/>
  <c r="D3390" i="106" s="1"/>
  <c r="K216" i="29"/>
  <c r="K217" i="29"/>
  <c r="B3391" i="106" s="1"/>
  <c r="D3391" i="106" s="1"/>
  <c r="K218" i="29"/>
  <c r="F68" i="34"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s="1"/>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c r="B5101" i="106"/>
  <c r="D5101" i="106" s="1"/>
  <c r="B5103" i="106"/>
  <c r="D5103" i="106" s="1"/>
  <c r="B5104" i="106"/>
  <c r="D5104" i="106" s="1"/>
  <c r="B5105" i="106"/>
  <c r="D5105" i="106"/>
  <c r="B5106" i="106"/>
  <c r="D5106" i="106" s="1"/>
  <c r="B5107" i="106"/>
  <c r="D5107" i="106"/>
  <c r="B5108" i="106"/>
  <c r="D5108" i="106" s="1"/>
  <c r="B5109" i="106"/>
  <c r="D5109" i="106"/>
  <c r="B5110" i="106"/>
  <c r="D5110" i="106" s="1"/>
  <c r="B5111" i="106"/>
  <c r="D5111" i="106"/>
  <c r="B5113" i="106"/>
  <c r="D5113" i="106" s="1"/>
  <c r="B5114" i="106"/>
  <c r="D5114" i="106"/>
  <c r="B5115" i="106"/>
  <c r="D5115" i="106" s="1"/>
  <c r="B5116" i="106"/>
  <c r="D5116" i="106"/>
  <c r="B5117" i="106"/>
  <c r="D5117" i="106" s="1"/>
  <c r="B5118" i="106"/>
  <c r="D5118" i="106"/>
  <c r="B5119" i="106"/>
  <c r="D5119" i="106" s="1"/>
  <c r="B5122" i="106"/>
  <c r="D5122" i="106" s="1"/>
  <c r="B5123" i="106"/>
  <c r="D5123" i="106" s="1"/>
  <c r="B5124" i="106"/>
  <c r="D5124" i="106" s="1"/>
  <c r="B5126" i="106"/>
  <c r="D5126" i="106" s="1"/>
  <c r="B5127" i="106"/>
  <c r="D5127" i="106" s="1"/>
  <c r="D5128" i="106"/>
  <c r="D5129" i="106"/>
  <c r="D5130" i="106"/>
  <c r="D5131" i="106"/>
  <c r="B5133" i="106"/>
  <c r="D5133" i="106"/>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c r="B6302" i="106"/>
  <c r="D6302" i="106" s="1"/>
  <c r="B6303" i="106"/>
  <c r="D6303" i="106"/>
  <c r="B6304" i="106"/>
  <c r="D6304" i="106" s="1"/>
  <c r="B6305" i="106"/>
  <c r="D6305" i="106"/>
  <c r="B6307" i="106"/>
  <c r="D6307" i="106" s="1"/>
  <c r="B6308" i="106"/>
  <c r="D6308" i="106"/>
  <c r="B6309" i="106"/>
  <c r="D6309" i="106" s="1"/>
  <c r="B6310" i="106"/>
  <c r="D6310" i="106"/>
  <c r="B6311" i="106"/>
  <c r="D6311" i="106" s="1"/>
  <c r="B6312" i="106"/>
  <c r="D6312" i="106"/>
  <c r="B6313" i="106"/>
  <c r="D6313" i="106" s="1"/>
  <c r="B6314" i="106"/>
  <c r="D6314" i="106"/>
  <c r="B6315" i="106"/>
  <c r="D6315" i="106" s="1"/>
  <c r="B6316" i="106"/>
  <c r="D6316" i="106"/>
  <c r="B6317" i="106"/>
  <c r="D6317" i="106" s="1"/>
  <c r="B6319" i="106"/>
  <c r="D6319" i="106"/>
  <c r="B6320" i="106"/>
  <c r="D6320" i="106" s="1"/>
  <c r="B6321" i="106"/>
  <c r="D6321" i="106"/>
  <c r="B6322" i="106"/>
  <c r="D6322" i="106" s="1"/>
  <c r="B6323" i="106"/>
  <c r="D6323" i="106"/>
  <c r="B6324" i="106"/>
  <c r="D6324" i="106" s="1"/>
  <c r="B6325" i="106"/>
  <c r="D6325" i="106"/>
  <c r="B6326" i="106"/>
  <c r="D6326" i="106" s="1"/>
  <c r="B6327" i="106"/>
  <c r="D6327" i="106"/>
  <c r="B6328" i="106"/>
  <c r="D6328" i="106" s="1"/>
  <c r="B6329" i="106"/>
  <c r="D6329" i="106"/>
  <c r="B6330" i="106"/>
  <c r="D6330" i="106" s="1"/>
  <c r="B6331" i="106"/>
  <c r="D6331" i="106"/>
  <c r="B6332" i="106"/>
  <c r="D6332" i="106" s="1"/>
  <c r="B6333" i="106"/>
  <c r="D6333" i="106"/>
  <c r="B6334" i="106"/>
  <c r="D6334" i="106" s="1"/>
  <c r="B6335" i="106"/>
  <c r="D6335" i="106"/>
  <c r="B6336" i="106"/>
  <c r="D6336" i="106" s="1"/>
  <c r="B6337" i="106"/>
  <c r="D6337" i="106"/>
  <c r="B6338" i="106"/>
  <c r="D6338" i="106" s="1"/>
  <c r="B6339" i="106"/>
  <c r="D6339" i="106"/>
  <c r="B6340" i="106"/>
  <c r="D6340" i="106" s="1"/>
  <c r="B6341" i="106"/>
  <c r="D6341" i="106"/>
  <c r="B6342" i="106"/>
  <c r="D6342" i="106" s="1"/>
  <c r="B6343" i="106"/>
  <c r="D6343" i="106"/>
  <c r="B6344" i="106"/>
  <c r="D6344" i="106" s="1"/>
  <c r="B6345" i="106"/>
  <c r="D6345" i="106"/>
  <c r="B6346" i="106"/>
  <c r="D6346" i="106" s="1"/>
  <c r="B6347" i="106"/>
  <c r="D6347" i="106"/>
  <c r="B6348" i="106"/>
  <c r="D6348" i="106" s="1"/>
  <c r="B6349" i="106"/>
  <c r="D6349" i="106"/>
  <c r="B6350" i="106"/>
  <c r="D6350" i="106" s="1"/>
  <c r="B6353" i="106"/>
  <c r="D6353" i="106"/>
  <c r="B6354" i="106"/>
  <c r="D6354" i="106" s="1"/>
  <c r="B6355" i="106"/>
  <c r="D6355" i="106"/>
  <c r="B6356" i="106"/>
  <c r="D6356" i="106" s="1"/>
  <c r="B6358" i="106"/>
  <c r="D6358" i="106"/>
  <c r="B6359" i="106"/>
  <c r="D6359" i="106" s="1"/>
  <c r="B6360" i="106"/>
  <c r="D6360" i="106"/>
  <c r="B6361" i="106"/>
  <c r="D6361" i="106" s="1"/>
  <c r="B6362" i="106"/>
  <c r="D6362" i="106"/>
  <c r="B6363" i="106"/>
  <c r="D6363" i="106" s="1"/>
  <c r="B6364" i="106"/>
  <c r="D6364" i="106"/>
  <c r="B6365" i="106"/>
  <c r="D6365" i="106" s="1"/>
  <c r="B6366" i="106"/>
  <c r="D6366" i="106"/>
  <c r="B6367" i="106"/>
  <c r="D6367" i="106" s="1"/>
  <c r="B6368" i="106"/>
  <c r="D6368" i="106"/>
  <c r="B6369" i="106"/>
  <c r="D6369" i="106" s="1"/>
  <c r="B6370" i="106"/>
  <c r="D6370" i="106"/>
  <c r="B6371" i="106"/>
  <c r="D6371" i="106" s="1"/>
  <c r="B6372" i="106"/>
  <c r="D6372" i="106"/>
  <c r="B6373" i="106"/>
  <c r="D6373" i="106" s="1"/>
  <c r="B6374" i="106"/>
  <c r="D6374" i="106"/>
  <c r="B6375" i="106"/>
  <c r="D6375" i="106" s="1"/>
  <c r="B6376" i="106"/>
  <c r="D6376" i="106"/>
  <c r="B6377" i="106"/>
  <c r="D6377" i="106" s="1"/>
  <c r="B6378" i="106"/>
  <c r="D6378" i="106"/>
  <c r="B6379" i="106"/>
  <c r="D6379" i="106" s="1"/>
  <c r="B6380" i="106"/>
  <c r="D6380" i="106"/>
  <c r="B6381" i="106"/>
  <c r="D6381" i="106" s="1"/>
  <c r="B6382" i="106"/>
  <c r="D6382" i="106"/>
  <c r="B6383" i="106"/>
  <c r="D6383" i="106" s="1"/>
  <c r="B6384" i="106"/>
  <c r="D6384" i="106"/>
  <c r="B6385" i="106"/>
  <c r="D6385" i="106" s="1"/>
  <c r="B6386" i="106"/>
  <c r="D6386" i="106"/>
  <c r="B6387" i="106"/>
  <c r="D6387" i="106" s="1"/>
  <c r="B6388" i="106"/>
  <c r="D6388" i="106"/>
  <c r="B6389" i="106"/>
  <c r="D6389" i="106" s="1"/>
  <c r="B6390" i="106"/>
  <c r="D6390" i="106"/>
  <c r="B6391" i="106"/>
  <c r="D6391" i="106" s="1"/>
  <c r="B6392" i="106"/>
  <c r="D6392" i="106"/>
  <c r="B6393" i="106"/>
  <c r="D6393" i="106" s="1"/>
  <c r="B6394" i="106"/>
  <c r="D6394" i="106"/>
  <c r="B6395" i="106"/>
  <c r="D6395" i="106" s="1"/>
  <c r="B6398" i="106"/>
  <c r="D6398" i="106"/>
  <c r="B6399" i="106"/>
  <c r="D6399" i="106" s="1"/>
  <c r="B6401" i="106"/>
  <c r="D6401" i="106"/>
  <c r="B6402" i="106"/>
  <c r="D6402" i="106" s="1"/>
  <c r="B6403" i="106"/>
  <c r="D6403" i="106"/>
  <c r="B6404" i="106"/>
  <c r="D6404" i="106" s="1"/>
  <c r="B6405" i="106"/>
  <c r="D6405" i="106"/>
  <c r="B6406" i="106"/>
  <c r="D6406" i="106" s="1"/>
  <c r="B6407" i="106"/>
  <c r="D6407" i="106"/>
  <c r="B6408" i="106"/>
  <c r="D6408" i="106" s="1"/>
  <c r="B6410" i="106"/>
  <c r="D6410" i="106"/>
  <c r="B6411" i="106"/>
  <c r="D6411" i="106" s="1"/>
  <c r="B6412" i="106"/>
  <c r="D6412" i="106"/>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c r="B6617" i="106"/>
  <c r="D6617" i="106" s="1"/>
  <c r="B6618" i="106"/>
  <c r="D6618" i="106"/>
  <c r="B6619" i="106"/>
  <c r="D6619" i="106" s="1"/>
  <c r="B6620" i="106"/>
  <c r="D6620" i="106" s="1"/>
  <c r="B6621" i="106"/>
  <c r="D6621" i="106" s="1"/>
  <c r="B6622" i="106"/>
  <c r="D6622" i="106" s="1"/>
  <c r="B6623" i="106"/>
  <c r="D6623" i="106" s="1"/>
  <c r="B6624" i="106"/>
  <c r="D6624" i="106"/>
  <c r="B6625" i="106"/>
  <c r="D6625" i="106" s="1"/>
  <c r="B6626" i="106"/>
  <c r="D6626" i="106"/>
  <c r="B6627" i="106"/>
  <c r="D6627" i="106" s="1"/>
  <c r="B6628" i="106"/>
  <c r="D6628" i="106" s="1"/>
  <c r="B6629" i="106"/>
  <c r="D6629" i="106" s="1"/>
  <c r="B6630" i="106"/>
  <c r="D6630" i="106" s="1"/>
  <c r="B6631" i="106"/>
  <c r="D6631" i="106" s="1"/>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s="1"/>
  <c r="B6730" i="106"/>
  <c r="D6730" i="106"/>
  <c r="B6731" i="106"/>
  <c r="D6731" i="106" s="1"/>
  <c r="B6732" i="106"/>
  <c r="D6732" i="106"/>
  <c r="B6733" i="106"/>
  <c r="D6733" i="106" s="1"/>
  <c r="B6734" i="106"/>
  <c r="D6734" i="106"/>
  <c r="B6735" i="106"/>
  <c r="D6735" i="106" s="1"/>
  <c r="B6736" i="106"/>
  <c r="D6736" i="106"/>
  <c r="B6737" i="106"/>
  <c r="D6737" i="106" s="1"/>
  <c r="B6738" i="106"/>
  <c r="D6738" i="106"/>
  <c r="B6739" i="106"/>
  <c r="D6739" i="106" s="1"/>
  <c r="B6740" i="106"/>
  <c r="D6740" i="106"/>
  <c r="B6741" i="106"/>
  <c r="D6741" i="106" s="1"/>
  <c r="B6742" i="106"/>
  <c r="D6742" i="106"/>
  <c r="B6743" i="106"/>
  <c r="D6743" i="106" s="1"/>
  <c r="B6744" i="106"/>
  <c r="D6744" i="106"/>
  <c r="B6745" i="106"/>
  <c r="D6745" i="106" s="1"/>
  <c r="B6746" i="106"/>
  <c r="D6746" i="106"/>
  <c r="B6747" i="106"/>
  <c r="D6747" i="106" s="1"/>
  <c r="B6748" i="106"/>
  <c r="D6748" i="106"/>
  <c r="B6749" i="106"/>
  <c r="D6749" i="106" s="1"/>
  <c r="B6750" i="106"/>
  <c r="D6750" i="106"/>
  <c r="B6751" i="106"/>
  <c r="D6751" i="106" s="1"/>
  <c r="B6752" i="106"/>
  <c r="D6752" i="106"/>
  <c r="B6753" i="106"/>
  <c r="D6753" i="106" s="1"/>
  <c r="B6754" i="106"/>
  <c r="D6754" i="106"/>
  <c r="B6755" i="106"/>
  <c r="D6755" i="106" s="1"/>
  <c r="B6756" i="106"/>
  <c r="D6756" i="106"/>
  <c r="B6757" i="106"/>
  <c r="D6757" i="106" s="1"/>
  <c r="B6758" i="106"/>
  <c r="D6758" i="106"/>
  <c r="B6759" i="106"/>
  <c r="D6759" i="106" s="1"/>
  <c r="B6760" i="106"/>
  <c r="D6760" i="106"/>
  <c r="B6761" i="106"/>
  <c r="D6761" i="106" s="1"/>
  <c r="B6762" i="106"/>
  <c r="D6762" i="106"/>
  <c r="B6763" i="106"/>
  <c r="D6763" i="106" s="1"/>
  <c r="B6764" i="106"/>
  <c r="D6764" i="106"/>
  <c r="B6765" i="106"/>
  <c r="D6765" i="106" s="1"/>
  <c r="B6766" i="106"/>
  <c r="D6766" i="106"/>
  <c r="B6767" i="106"/>
  <c r="D6767" i="106" s="1"/>
  <c r="B6768" i="106"/>
  <c r="D6768" i="106"/>
  <c r="B6769" i="106"/>
  <c r="D6769" i="106" s="1"/>
  <c r="B6770" i="106"/>
  <c r="D6770" i="106"/>
  <c r="B6771" i="106"/>
  <c r="D6771" i="106" s="1"/>
  <c r="B6772" i="106"/>
  <c r="D6772" i="106"/>
  <c r="B6773" i="106"/>
  <c r="D6773" i="106" s="1"/>
  <c r="B6774" i="106"/>
  <c r="D6774" i="106"/>
  <c r="B6775" i="106"/>
  <c r="D6775" i="106" s="1"/>
  <c r="B6776" i="106"/>
  <c r="D6776" i="106"/>
  <c r="B6777" i="106"/>
  <c r="D6777" i="106" s="1"/>
  <c r="B6778" i="106"/>
  <c r="D6778" i="106"/>
  <c r="B6779" i="106"/>
  <c r="D6779" i="106" s="1"/>
  <c r="B6780" i="106"/>
  <c r="D6780" i="106"/>
  <c r="B6781" i="106"/>
  <c r="D6781" i="106" s="1"/>
  <c r="B6782" i="106"/>
  <c r="D6782" i="106"/>
  <c r="B6783" i="106"/>
  <c r="D6783" i="106" s="1"/>
  <c r="B6784" i="106"/>
  <c r="D6784" i="106"/>
  <c r="B6785" i="106"/>
  <c r="D6785" i="106" s="1"/>
  <c r="B6786" i="106"/>
  <c r="D6786" i="106"/>
  <c r="B6787" i="106"/>
  <c r="D6787" i="106" s="1"/>
  <c r="B6788" i="106"/>
  <c r="D6788" i="106"/>
  <c r="B6789" i="106"/>
  <c r="D6789" i="106" s="1"/>
  <c r="B6790" i="106"/>
  <c r="D6790" i="106"/>
  <c r="B6791" i="106"/>
  <c r="D6791" i="106" s="1"/>
  <c r="B6792" i="106"/>
  <c r="D6792" i="106"/>
  <c r="B6793" i="106"/>
  <c r="D6793" i="106" s="1"/>
  <c r="B6794" i="106"/>
  <c r="D6794" i="106"/>
  <c r="B6795" i="106"/>
  <c r="D6795" i="106" s="1"/>
  <c r="B6796" i="106"/>
  <c r="D6796" i="106"/>
  <c r="B6797" i="106"/>
  <c r="D6797" i="106" s="1"/>
  <c r="B6798" i="106"/>
  <c r="D6798" i="106"/>
  <c r="B6799" i="106"/>
  <c r="D6799" i="106" s="1"/>
  <c r="B6800" i="106"/>
  <c r="D6800" i="106"/>
  <c r="B6801" i="106"/>
  <c r="D6801" i="106" s="1"/>
  <c r="B6802" i="106"/>
  <c r="D6802" i="106"/>
  <c r="B6803" i="106"/>
  <c r="D6803" i="106" s="1"/>
  <c r="B6804" i="106"/>
  <c r="D6804" i="106"/>
  <c r="B6805" i="106"/>
  <c r="D6805" i="106" s="1"/>
  <c r="B6806" i="106"/>
  <c r="D6806" i="106"/>
  <c r="B6807" i="106"/>
  <c r="D6807" i="106" s="1"/>
  <c r="B6808" i="106"/>
  <c r="D6808" i="106"/>
  <c r="B6809" i="106"/>
  <c r="D6809" i="106" s="1"/>
  <c r="B6810" i="106"/>
  <c r="D6810" i="106"/>
  <c r="B6811" i="106"/>
  <c r="D6811" i="106" s="1"/>
  <c r="B6812" i="106"/>
  <c r="D6812" i="106"/>
  <c r="B6813" i="106"/>
  <c r="D6813" i="106" s="1"/>
  <c r="B6814" i="106"/>
  <c r="D6814" i="106"/>
  <c r="B6815" i="106"/>
  <c r="D6815" i="106" s="1"/>
  <c r="B6816" i="106"/>
  <c r="D6816" i="106"/>
  <c r="B6817" i="106"/>
  <c r="D6817" i="106" s="1"/>
  <c r="B6818" i="106"/>
  <c r="D6818" i="106"/>
  <c r="B6819" i="106"/>
  <c r="D6819" i="106" s="1"/>
  <c r="B6820" i="106"/>
  <c r="D6820" i="106"/>
  <c r="B6821" i="106"/>
  <c r="D6821" i="106" s="1"/>
  <c r="B6822" i="106"/>
  <c r="D6822" i="106"/>
  <c r="B6823" i="106"/>
  <c r="D6823" i="106" s="1"/>
  <c r="B6824" i="106"/>
  <c r="D6824" i="106"/>
  <c r="B6825" i="106"/>
  <c r="D6825" i="106" s="1"/>
  <c r="B6826" i="106"/>
  <c r="D6826" i="106"/>
  <c r="B6827" i="106"/>
  <c r="D6827" i="106" s="1"/>
  <c r="B6828" i="106"/>
  <c r="D6828" i="106"/>
  <c r="B6829" i="106"/>
  <c r="D6829" i="106" s="1"/>
  <c r="B6830" i="106"/>
  <c r="D6830" i="106"/>
  <c r="B6831" i="106"/>
  <c r="D6831" i="106" s="1"/>
  <c r="B6832" i="106"/>
  <c r="D6832" i="106"/>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9" i="36"/>
  <c r="D71" i="36"/>
  <c r="D72" i="36"/>
  <c r="D79" i="36"/>
  <c r="B64" i="127"/>
  <c r="B65" i="127"/>
  <c r="D26" i="108"/>
  <c r="E26" i="108"/>
  <c r="F26" i="108"/>
  <c r="G26" i="108"/>
  <c r="E27" i="108"/>
  <c r="G27" i="108"/>
  <c r="F31" i="108"/>
  <c r="F36" i="108"/>
  <c r="F37" i="108"/>
  <c r="G28" i="108"/>
  <c r="E29" i="108"/>
  <c r="G29" i="108"/>
  <c r="D31" i="108"/>
  <c r="D36" i="108"/>
  <c r="D37" i="108"/>
  <c r="E31" i="108"/>
  <c r="G31" i="108"/>
  <c r="E33" i="108"/>
  <c r="E34" i="108"/>
  <c r="G34" i="108"/>
  <c r="E35" i="108"/>
  <c r="G35" i="108"/>
  <c r="E36" i="108"/>
  <c r="G36" i="108"/>
  <c r="E37" i="108"/>
  <c r="G37"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7" i="29" s="1"/>
  <c r="L362" i="29"/>
  <c r="L365" i="29" s="1"/>
  <c r="C12" i="5"/>
  <c r="B5066" i="106"/>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c r="D5878" i="106" s="1"/>
  <c r="I18" i="5"/>
  <c r="B5923" i="106" s="1"/>
  <c r="D5923" i="106" s="1"/>
  <c r="J18" i="5"/>
  <c r="B6306" i="106"/>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s="1"/>
  <c r="D5112" i="106" s="1"/>
  <c r="C108" i="5"/>
  <c r="B5120" i="106" s="1"/>
  <c r="D5120" i="106" s="1"/>
  <c r="D108" i="5"/>
  <c r="B5355" i="106"/>
  <c r="D5355" i="106" s="1"/>
  <c r="E108" i="5"/>
  <c r="B5526" i="106" s="1"/>
  <c r="D5526" i="106" s="1"/>
  <c r="F108" i="5"/>
  <c r="B5587" i="106"/>
  <c r="D5587" i="106" s="1"/>
  <c r="G108" i="5"/>
  <c r="B5737" i="106" s="1"/>
  <c r="D5737" i="106" s="1"/>
  <c r="H108" i="5"/>
  <c r="B5886" i="106"/>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F106" i="34" s="1"/>
  <c r="B5161" i="106"/>
  <c r="D5161" i="106" s="1"/>
  <c r="D140" i="5"/>
  <c r="B5383" i="106" s="1"/>
  <c r="D5383" i="106" s="1"/>
  <c r="G140" i="5"/>
  <c r="G172" i="5" s="1"/>
  <c r="G144" i="5"/>
  <c r="B5756" i="106" s="1"/>
  <c r="D5756" i="106" s="1"/>
  <c r="G154" i="5"/>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s="1"/>
  <c r="D4951" i="106" s="1"/>
  <c r="C184" i="5"/>
  <c r="B5232" i="106"/>
  <c r="D5232" i="106" s="1"/>
  <c r="D184" i="5"/>
  <c r="B5425" i="106" s="1"/>
  <c r="D5425" i="106" s="1"/>
  <c r="F184" i="5"/>
  <c r="B5658" i="106"/>
  <c r="D5658" i="106" s="1"/>
  <c r="G184" i="5"/>
  <c r="B5784" i="106" s="1"/>
  <c r="D5784" i="106" s="1"/>
  <c r="H184" i="5"/>
  <c r="B5908" i="106"/>
  <c r="D5908" i="106" s="1"/>
  <c r="K184" i="5"/>
  <c r="B6016" i="106" s="1"/>
  <c r="D6016" i="106" s="1"/>
  <c r="B4395" i="106"/>
  <c r="D4395" i="106" s="1"/>
  <c r="D191" i="5"/>
  <c r="F128" i="34" s="1"/>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14" i="4"/>
  <c r="B2609" i="106" s="1"/>
  <c r="D2609"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D4" i="7"/>
  <c r="B1760" i="106" s="1"/>
  <c r="D1760" i="106" s="1"/>
  <c r="D5" i="7"/>
  <c r="B1761" i="106" s="1"/>
  <c r="D1761" i="106" s="1"/>
  <c r="F131" i="34"/>
  <c r="F127" i="34"/>
  <c r="F111" i="34"/>
  <c r="B5847" i="106"/>
  <c r="D5847" i="106" s="1"/>
  <c r="G4" i="4"/>
  <c r="B2603" i="106" s="1"/>
  <c r="D2603" i="106" s="1"/>
  <c r="K274" i="5"/>
  <c r="H173" i="5"/>
  <c r="B5906" i="106" s="1"/>
  <c r="D5906" i="106" s="1"/>
  <c r="H109" i="5"/>
  <c r="B6025" i="106" s="1"/>
  <c r="D6025" i="106" s="1"/>
  <c r="D7" i="7"/>
  <c r="B1763" i="106" s="1"/>
  <c r="D1763" i="106" s="1"/>
  <c r="H6" i="4"/>
  <c r="B2656" i="106" s="1"/>
  <c r="D2656" i="106" s="1"/>
  <c r="D17" i="7"/>
  <c r="B4104" i="106" s="1"/>
  <c r="D4104" i="106" s="1"/>
  <c r="D12" i="7"/>
  <c r="B1769" i="106" s="1"/>
  <c r="D1769" i="106" s="1"/>
  <c r="D11" i="7"/>
  <c r="B1768" i="106" s="1"/>
  <c r="D1768" i="106" s="1"/>
  <c r="D15" i="7"/>
  <c r="B1772" i="106" s="1"/>
  <c r="D1772" i="106" s="1"/>
  <c r="G173" i="5" l="1"/>
  <c r="B5778" i="106" s="1"/>
  <c r="D5778" i="106" s="1"/>
  <c r="B5770" i="106"/>
  <c r="D5770" i="106" s="1"/>
  <c r="H4" i="4"/>
  <c r="B2655" i="106" s="1"/>
  <c r="D2655" i="106" s="1"/>
  <c r="B3668" i="106"/>
  <c r="D3668" i="106" s="1"/>
  <c r="K350" i="29"/>
  <c r="B7242" i="106"/>
  <c r="D7242" i="106" s="1"/>
  <c r="B1746" i="106"/>
  <c r="D1746" i="106" s="1"/>
  <c r="C172" i="5"/>
  <c r="B5214" i="106" s="1"/>
  <c r="D5214" i="106" s="1"/>
  <c r="B3649" i="106"/>
  <c r="D3649" i="106" s="1"/>
  <c r="G367" i="29"/>
  <c r="B3650" i="106" s="1"/>
  <c r="D3650" i="106" s="1"/>
  <c r="B3454" i="106"/>
  <c r="D3454" i="106" s="1"/>
  <c r="L15" i="11"/>
  <c r="B3459" i="106" s="1"/>
  <c r="D3459" i="106" s="1"/>
  <c r="B1940" i="106"/>
  <c r="D1940" i="106" s="1"/>
  <c r="D68" i="36"/>
  <c r="B1308" i="106"/>
  <c r="D1308" i="106" s="1"/>
  <c r="E174" i="29"/>
  <c r="B1309" i="106" s="1"/>
  <c r="D1309" i="106" s="1"/>
  <c r="B5752" i="106"/>
  <c r="D5752" i="106" s="1"/>
  <c r="D9" i="7"/>
  <c r="B1767" i="106" s="1"/>
  <c r="D1767" i="106" s="1"/>
  <c r="L5" i="11"/>
  <c r="B2056" i="106" s="1"/>
  <c r="D2056" i="106" s="1"/>
  <c r="K28" i="118"/>
  <c r="O27" i="118" s="1"/>
  <c r="O29" i="118" s="1"/>
  <c r="B7041" i="106"/>
  <c r="D7041" i="106" s="1"/>
  <c r="K173" i="5"/>
  <c r="K6" i="4" s="1"/>
  <c r="B3570" i="106" s="1"/>
  <c r="D3570" i="106" s="1"/>
  <c r="F172" i="5"/>
  <c r="B5644" i="106" s="1"/>
  <c r="D5644" i="106" s="1"/>
  <c r="L312" i="29"/>
  <c r="D7245" i="106"/>
  <c r="B7076" i="106"/>
  <c r="D7076" i="106" s="1"/>
  <c r="J210" i="29"/>
  <c r="B7072" i="106" s="1"/>
  <c r="D7072" i="106" s="1"/>
  <c r="F77" i="4"/>
  <c r="B3255" i="106" s="1"/>
  <c r="D3255" i="106" s="1"/>
  <c r="B3254" i="106"/>
  <c r="D3254" i="106" s="1"/>
  <c r="B1996" i="106"/>
  <c r="D1996" i="106" s="1"/>
  <c r="I26" i="12"/>
  <c r="B7741" i="106" s="1"/>
  <c r="D7741" i="106" s="1"/>
  <c r="B1142" i="106"/>
  <c r="D1142" i="106" s="1"/>
  <c r="E38" i="108"/>
  <c r="B1130" i="106"/>
  <c r="D1130" i="106" s="1"/>
  <c r="G30" i="108"/>
  <c r="E30" i="108"/>
  <c r="D109" i="5"/>
  <c r="F130" i="34"/>
  <c r="D13" i="7"/>
  <c r="B3726" i="106" s="1"/>
  <c r="D3726" i="106" s="1"/>
  <c r="G5" i="4"/>
  <c r="B3409" i="106" s="1"/>
  <c r="D3409" i="106" s="1"/>
  <c r="E109" i="5"/>
  <c r="E4" i="4" s="1"/>
  <c r="B2630" i="106" s="1"/>
  <c r="D2630" i="106" s="1"/>
  <c r="F19" i="7"/>
  <c r="B1807" i="106" s="1"/>
  <c r="D1807" i="106" s="1"/>
  <c r="B6897" i="106"/>
  <c r="D6897" i="106" s="1"/>
  <c r="F49" i="34"/>
  <c r="B6853" i="106"/>
  <c r="D6853" i="106" s="1"/>
  <c r="F35" i="34"/>
  <c r="K76" i="4"/>
  <c r="B3586" i="106" s="1"/>
  <c r="D3586" i="106" s="1"/>
  <c r="J23" i="12"/>
  <c r="B7727" i="106"/>
  <c r="D7727" i="106" s="1"/>
  <c r="K285" i="29"/>
  <c r="B3723" i="106"/>
  <c r="D3723" i="106" s="1"/>
  <c r="B1473" i="106"/>
  <c r="D1473" i="106" s="1"/>
  <c r="F71" i="34"/>
  <c r="B1410" i="106"/>
  <c r="D1410" i="106" s="1"/>
  <c r="D295" i="29"/>
  <c r="B1107" i="106"/>
  <c r="D1107" i="106" s="1"/>
  <c r="F38" i="34"/>
  <c r="E14" i="145"/>
  <c r="G14" i="145" s="1"/>
  <c r="B1124" i="106"/>
  <c r="D1124" i="106" s="1"/>
  <c r="B3621" i="106"/>
  <c r="D3621" i="106" s="1"/>
  <c r="C367" i="29"/>
  <c r="F136" i="34"/>
  <c r="K24" i="12"/>
  <c r="D6103" i="106"/>
  <c r="G210" i="29"/>
  <c r="L13" i="11"/>
  <c r="B2060" i="106" s="1"/>
  <c r="D2060" i="106" s="1"/>
  <c r="B1329" i="106"/>
  <c r="D1329" i="106" s="1"/>
  <c r="F61" i="34"/>
  <c r="F28" i="108"/>
  <c r="E28" i="108"/>
  <c r="F27" i="108"/>
  <c r="F37" i="34"/>
  <c r="B5304" i="106"/>
  <c r="D5304" i="106" s="1"/>
  <c r="C109" i="5"/>
  <c r="B5121" i="106" s="1"/>
  <c r="D5121" i="106" s="1"/>
  <c r="D54" i="36"/>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B7230" i="106"/>
  <c r="D7230" i="106" s="1"/>
  <c r="I352" i="29"/>
  <c r="I367" i="29" s="1"/>
  <c r="B7215" i="106"/>
  <c r="D7215"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2657" i="106"/>
  <c r="D2657" i="106" s="1"/>
  <c r="D274" i="5"/>
  <c r="B3447" i="106"/>
  <c r="D3447" i="106" s="1"/>
  <c r="D19" i="7"/>
  <c r="B1775" i="106" s="1"/>
  <c r="D1775" i="106" s="1"/>
  <c r="B7270" i="106"/>
  <c r="C173" i="5" l="1"/>
  <c r="B5223" i="106" s="1"/>
  <c r="D5223" i="106" s="1"/>
  <c r="B7733" i="106"/>
  <c r="D7733" i="106" s="1"/>
  <c r="K26" i="12"/>
  <c r="B7743" i="106" s="1"/>
  <c r="D7743" i="106" s="1"/>
  <c r="K365" i="29"/>
  <c r="D7251" i="106"/>
  <c r="D7253" i="106"/>
  <c r="F173" i="5"/>
  <c r="B1365" i="106"/>
  <c r="D1365" i="106" s="1"/>
  <c r="F65" i="34"/>
  <c r="B5356" i="106"/>
  <c r="D5356" i="106" s="1"/>
  <c r="D4" i="4"/>
  <c r="B2564" i="106" s="1"/>
  <c r="D2564" i="106" s="1"/>
  <c r="H367" i="29"/>
  <c r="B3660" i="106" s="1"/>
  <c r="D3660" i="106" s="1"/>
  <c r="K77" i="4"/>
  <c r="B3587" i="106" s="1"/>
  <c r="D3587" i="106" s="1"/>
  <c r="D7256" i="106"/>
  <c r="F73" i="34"/>
  <c r="G15" i="4"/>
  <c r="B6032" i="106" s="1"/>
  <c r="D6032" i="106" s="1"/>
  <c r="H8" i="4"/>
  <c r="D7254" i="106"/>
  <c r="J16" i="4"/>
  <c r="B6226" i="106" s="1"/>
  <c r="D6226" i="106" s="1"/>
  <c r="D7250" i="106"/>
  <c r="B3724" i="106"/>
  <c r="D3724" i="106" s="1"/>
  <c r="B3670" i="106"/>
  <c r="D3670" i="106" s="1"/>
  <c r="K352" i="29"/>
  <c r="L16" i="11"/>
  <c r="B2061" i="106" s="1"/>
  <c r="D2061" i="106" s="1"/>
  <c r="B1317" i="106"/>
  <c r="D1317" i="106" s="1"/>
  <c r="C114" i="29"/>
  <c r="B757" i="106" s="1"/>
  <c r="D757" i="106" s="1"/>
  <c r="C6" i="4"/>
  <c r="B2553" i="106" s="1"/>
  <c r="D2553"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B2658" i="106"/>
  <c r="D2658" i="106" s="1"/>
  <c r="H10" i="4"/>
  <c r="B4127" i="106" s="1"/>
  <c r="D4127" i="106" s="1"/>
  <c r="D7" i="4"/>
  <c r="D275" i="5"/>
  <c r="B5507" i="106"/>
  <c r="D5507" i="106" s="1"/>
  <c r="B7298" i="106"/>
  <c r="B7299" i="106"/>
  <c r="F6" i="4" l="1"/>
  <c r="B5653" i="106"/>
  <c r="D5653" i="106" s="1"/>
  <c r="J17" i="4"/>
  <c r="J20" i="4" s="1"/>
  <c r="K367" i="29"/>
  <c r="K13" i="4"/>
  <c r="B3572" i="106" s="1"/>
  <c r="D3572" i="106" s="1"/>
  <c r="B3672" i="106"/>
  <c r="D3672" i="106" s="1"/>
  <c r="F275" i="5"/>
  <c r="B5720" i="106" s="1"/>
  <c r="D5720"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B6227" i="106" l="1"/>
  <c r="D6227" i="106" s="1"/>
  <c r="B2593" i="106"/>
  <c r="D2593" i="106" s="1"/>
  <c r="F8" i="4"/>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0" i="4" l="1"/>
  <c r="B4125" i="106" s="1"/>
  <c r="D4125" i="106" s="1"/>
  <c r="B2595" i="106"/>
  <c r="D2595" i="106" s="1"/>
  <c r="D8" i="146"/>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D10" i="146" l="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<sst xmlns="http://schemas.openxmlformats.org/spreadsheetml/2006/main" count="5052" uniqueCount="2116">
  <si>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</si>
  <si>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</si>
  <si>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</si>
  <si>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</si>
  <si>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</si>
  <si>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</si>
  <si>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</si>
  <si>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</si>
  <si>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</si>
  <si>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</si>
  <si>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</si>
  <si>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</si>
  <si>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</si>
  <si>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</si>
  <si>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</si>
  <si>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</si>
  <si>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</si>
  <si>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</si>
  <si>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</si>
  <si>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</si>
  <si>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</si>
  <si>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</si>
  <si>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</si>
  <si>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</si>
  <si>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</si>
  <si>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</si>
  <si>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</si>
  <si>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</si>
  <si>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</si>
  <si>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</si>
  <si>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</si>
  <si>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</si>
  <si>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</si>
  <si>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</si>
  <si>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</si>
  <si>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</si>
  <si>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</si>
  <si>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</si>
  <si>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</si>
  <si>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</si>
  <si>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</si>
  <si>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</si>
  <si>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</si>
  <si>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</si>
  <si>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</si>
  <si>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</si>
  <si>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</si>
  <si>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</si>
  <si>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</si>
  <si>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</si>
  <si>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</si>
  <si>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</si>
  <si>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</si>
  <si>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</si>
  <si>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</si>
  <si>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</si>
  <si>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</si>
  <si>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</si>
  <si>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</si>
  <si>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</si>
  <si>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</si>
  <si>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</si>
  <si>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</si>
  <si>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</si>
  <si>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</si>
  <si>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</si>
  <si>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</si>
  <si>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</si>
  <si>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</si>
  <si>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</si>
  <si>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</si>
  <si>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</si>
  <si>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</si>
  <si>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</si>
  <si>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</si>
  <si>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</si>
  <si>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</si>
  <si>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</si>
  <si>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</si>
  <si>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</si>
  <si>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</si>
  <si>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</si>
  <si>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</si>
  <si>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</si>
  <si>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</si>
  <si>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</si>
  <si>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</si>
  <si>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</si>
  <si>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</si>
  <si>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</si>
  <si>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</si>
  <si>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</si>
  <si>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</si>
  <si>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</si>
  <si>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</si>
  <si>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</si>
  <si>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</si>
  <si>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</si>
  <si>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</si>
  <si>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</si>
  <si>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</si>
  <si>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</si>
  <si>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</si>
  <si>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</si>
  <si>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</si>
  <si>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</si>
  <si>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</si>
  <si>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</si>
  <si>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</si>
  <si>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</si>
  <si>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</si>
  <si>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</si>
  <si>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</si>
  <si>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</si>
  <si>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</si>
  <si>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</si>
  <si>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</si>
  <si>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</si>
  <si>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</si>
  <si>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</si>
  <si>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</si>
  <si>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</si>
  <si>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</si>
  <si>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</si>
  <si>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</si>
  <si>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</si>
  <si>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</si>
  <si>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</si>
  <si>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</si>
  <si>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</si>
  <si>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</si>
  <si>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</si>
  <si>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</si>
  <si>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</si>
  <si>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</si>
  <si>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</si>
  <si>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</si>
  <si>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</si>
  <si>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</si>
  <si>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</si>
  <si>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</si>
  <si>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</si>
  <si>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</si>
  <si>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</si>
  <si>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</si>
  <si>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</si>
  <si>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</si>
  <si>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</si>
  <si>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</si>
  <si>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</si>
  <si>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</si>
  <si>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</si>
  <si>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</si>
  <si>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</si>
  <si>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</si>
  <si>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</si>
  <si>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</si>
  <si>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</si>
  <si>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</si>
  <si>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</si>
  <si>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</si>
  <si>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</si>
  <si>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</si>
  <si>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</si>
  <si>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</si>
  <si>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</si>
  <si>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</si>
  <si>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</si>
  <si>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</si>
  <si>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</si>
  <si>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</si>
  <si>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</si>
  <si>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</si>
  <si>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</si>
  <si>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</si>
  <si>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</si>
  <si>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</si>
  <si>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</si>
  <si>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</si>
  <si>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</si>
  <si>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</si>
  <si>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</si>
  <si>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</si>
  <si>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</si>
  <si>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</si>
  <si>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</si>
  <si>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</si>
  <si>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</si>
  <si>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</si>
  <si>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</si>
  <si>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</si>
  <si>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</si>
  <si>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</si>
  <si>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</si>
  <si>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</si>
  <si>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</si>
  <si>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</si>
  <si>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</si>
  <si>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</si>
  <si>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</si>
  <si>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</si>
  <si>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</si>
  <si>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</si>
  <si>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</si>
  <si>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</si>
  <si>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</si>
  <si>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</si>
  <si>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</si>
  <si>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</si>
  <si>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</si>
  <si>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</si>
  <si>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</si>
  <si>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</si>
  <si>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</si>
  <si>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</si>
  <si>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</si>
  <si>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</si>
  <si>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</si>
  <si>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</si>
  <si>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</si>
  <si>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</si>
  <si>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</si>
  <si>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</si>
  <si>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</si>
  <si>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</si>
  <si>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</si>
  <si>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</si>
  <si>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</si>
  <si>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</si>
  <si>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</si>
  <si>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</si>
  <si>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</si>
  <si>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</si>
  <si>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</si>
  <si>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</si>
  <si>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</si>
  <si>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</si>
  <si>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</si>
  <si>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</si>
  <si>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</si>
  <si>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</si>
  <si>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</si>
  <si>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</si>
  <si>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</si>
  <si>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</si>
  <si>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</si>
  <si>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</si>
  <si>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</si>
  <si>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</si>
  <si>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</si>
  <si>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</si>
  <si>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</si>
  <si>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</si>
  <si>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</si>
  <si>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</si>
  <si>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</si>
  <si>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</si>
  <si>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</si>
  <si>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</si>
  <si>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</si>
  <si>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</si>
  <si>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</si>
  <si>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</si>
  <si>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</si>
  <si>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</si>
  <si>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</si>
  <si>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</si>
  <si>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</si>
  <si>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</si>
  <si>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</si>
  <si>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</si>
  <si>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</si>
  <si>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</si>
  <si>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</si>
  <si>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</si>
  <si>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</si>
  <si>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</si>
  <si>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</si>
  <si>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</si>
  <si>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</si>
  <si>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</si>
  <si>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</si>
  <si>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</si>
  <si>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</si>
  <si>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</si>
  <si>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</si>
  <si>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</si>
  <si>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</si>
  <si>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</si>
  <si>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</si>
  <si>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</si>
  <si>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</si>
  <si>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</si>
  <si>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</si>
  <si>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</si>
  <si>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</si>
  <si>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</si>
  <si>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</si>
  <si>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</si>
  <si>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</si>
  <si>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</si>
  <si>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</si>
  <si>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</si>
  <si>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</si>
  <si>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</si>
  <si>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</si>
  <si>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</si>
  <si>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</si>
  <si>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</si>
  <si>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</si>
  <si>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</si>
  <si>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</si>
  <si>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</si>
  <si>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</si>
  <si>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</si>
  <si>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</si>
  <si>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</si>
  <si>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</si>
  <si>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</si>
  <si>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</si>
  <si>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</si>
  <si>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</si>
  <si>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</si>
  <si>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</si>
  <si>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</si>
  <si>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</si>
  <si>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</si>
  <si>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</si>
  <si>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</si>
  <si>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</si>
  <si>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</si>
  <si>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</si>
  <si>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</si>
  <si>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</si>
  <si>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</si>
  <si>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</si>
  <si>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</si>
  <si>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</si>
  <si>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</si>
  <si>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</si>
  <si>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</si>
  <si>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</si>
  <si>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</si>
  <si>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</si>
  <si>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</si>
  <si>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</si>
  <si>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</si>
  <si>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</si>
  <si>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</si>
  <si>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</si>
  <si>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</si>
  <si>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</si>
  <si>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</si>
  <si>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</si>
  <si>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</si>
  <si>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</si>
  <si>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</si>
  <si>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</si>
  <si>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</si>
  <si>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</si>
  <si>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</si>
  <si>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</si>
  <si>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</si>
  <si>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</si>
  <si>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</si>
  <si>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</si>
  <si>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</si>
  <si>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</si>
  <si>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</si>
  <si>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</si>
  <si>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</si>
  <si>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</si>
  <si>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</si>
  <si>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</si>
  <si>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</si>
  <si>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</si>
  <si>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</si>
  <si>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</si>
  <si>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</si>
  <si>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</si>
  <si>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</si>
  <si>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</si>
  <si>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</si>
  <si>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</si>
  <si>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</si>
  <si>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</si>
  <si>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</si>
  <si>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</si>
  <si>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</si>
  <si>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</si>
  <si>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</si>
  <si>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</si>
  <si>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</si>
  <si>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</si>
  <si>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</si>
  <si>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</si>
  <si>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</si>
  <si>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</si>
  <si>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</si>
  <si>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</si>
  <si>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</si>
  <si>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</si>
  <si>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</si>
  <si>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</si>
  <si>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</si>
  <si>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</si>
  <si>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</si>
  <si>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</si>
  <si>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</si>
  <si>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</si>
  <si>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</si>
  <si>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</si>
  <si>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</si>
  <si>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</si>
  <si>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</si>
  <si>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</si>
  <si>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</si>
  <si>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</si>
  <si>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</si>
  <si>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</si>
  <si>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</si>
  <si>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</si>
  <si>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</si>
  <si>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</si>
  <si>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</si>
  <si>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</si>
  <si>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</si>
  <si>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</si>
  <si>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</si>
  <si>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</si>
  <si>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</si>
  <si>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</si>
  <si>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</si>
  <si>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</si>
  <si>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</si>
  <si>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</si>
  <si>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</si>
  <si>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</si>
  <si>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</si>
  <si>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</si>
  <si>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</si>
  <si>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</si>
  <si>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</si>
  <si>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</si>
  <si>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</si>
  <si>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</si>
  <si>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</si>
  <si>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</si>
  <si>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</si>
  <si>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</si>
  <si>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</si>
  <si>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</si>
  <si>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</si>
  <si>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</si>
  <si>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</si>
  <si>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</si>
  <si>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</si>
  <si>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</si>
  <si>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</si>
  <si>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</si>
  <si>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</si>
  <si>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</si>
  <si>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</si>
  <si>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</si>
  <si>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</si>
  <si>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</si>
  <si>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</si>
  <si>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</si>
  <si>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</si>
  <si>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</si>
  <si>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</si>
  <si>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</si>
  <si>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</si>
  <si>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</si>
  <si>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</si>
  <si>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</si>
  <si>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</si>
  <si>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</si>
  <si>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</si>
  <si>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</si>
  <si>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</si>
  <si>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</si>
  <si>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</si>
  <si>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</si>
  <si>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</si>
  <si>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</si>
  <si>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</si>
  <si>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</si>
  <si>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</si>
  <si>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</si>
  <si>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</si>
  <si>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</si>
  <si>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</si>
  <si>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</si>
  <si>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</si>
  <si>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</si>
  <si>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</si>
  <si>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</si>
  <si>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</si>
  <si>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</si>
  <si>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</si>
  <si>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</si>
  <si>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</si>
  <si>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</si>
  <si>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</si>
  <si>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</si>
  <si>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</si>
  <si>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</si>
  <si>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</si>
  <si>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</si>
  <si>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</si>
  <si>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</si>
  <si>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</si>
  <si>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</si>
  <si>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</si>
  <si>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</si>
  <si>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</si>
  <si>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</si>
  <si>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</si>
  <si>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</si>
  <si>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</si>
  <si>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</si>
  <si>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</si>
  <si>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</si>
  <si>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</si>
  <si>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</si>
  <si>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</si>
  <si>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</si>
  <si>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</si>
  <si>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</si>
  <si>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</si>
  <si>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</si>
  <si>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</si>
  <si>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</si>
  <si>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</si>
  <si>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</si>
  <si>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</si>
  <si>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</si>
  <si>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</si>
  <si>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</si>
  <si>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</si>
  <si>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</si>
  <si>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</si>
  <si>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</si>
  <si>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</si>
  <si>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</si>
  <si>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</si>
  <si>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</si>
  <si>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</si>
  <si>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</si>
  <si>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</si>
  <si>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</si>
  <si>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</si>
  <si>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</si>
  <si>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</si>
  <si>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</si>
  <si>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</si>
  <si>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</si>
  <si>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</si>
  <si>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</si>
  <si>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</si>
  <si>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</si>
  <si>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</si>
  <si>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</si>
  <si>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</si>
  <si>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</si>
  <si>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</si>
  <si>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</si>
  <si>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</si>
  <si>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</si>
  <si>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</si>
  <si>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</si>
  <si>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</si>
  <si>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</si>
  <si>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</si>
  <si>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</si>
  <si>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</si>
  <si>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</si>
  <si>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</si>
  <si>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</si>
  <si>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</si>
  <si>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</si>
  <si>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</si>
  <si>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</si>
  <si>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</si>
  <si>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</si>
  <si>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</si>
  <si>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</si>
  <si>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</si>
  <si>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</si>
  <si>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</si>
  <si>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</si>
  <si>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</si>
  <si>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</si>
  <si>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</si>
  <si>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</si>
  <si>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</si>
  <si>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</si>
  <si>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</si>
  <si>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</si>
  <si>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</si>
  <si>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</si>
  <si>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</si>
  <si>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</si>
  <si>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</si>
  <si>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</si>
  <si>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</si>
  <si>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</si>
  <si>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</si>
  <si>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</si>
  <si>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</si>
  <si>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</si>
  <si>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</si>
  <si>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</si>
  <si>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</si>
  <si>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</si>
  <si>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</si>
  <si>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</si>
  <si>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</si>
  <si>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</si>
  <si>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</si>
  <si>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</si>
  <si>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</si>
  <si>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</si>
  <si>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</si>
  <si>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</si>
  <si>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</si>
  <si>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</si>
  <si>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</si>
  <si>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</si>
  <si>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</si>
  <si>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</si>
  <si>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</si>
  <si>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</si>
  <si>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</si>
  <si>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</si>
  <si>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</si>
  <si>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</si>
  <si>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</si>
  <si>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</si>
  <si>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</si>
  <si>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</si>
  <si>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</si>
  <si>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</si>
  <si>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</si>
  <si>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</si>
  <si>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</si>
  <si>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</si>
  <si>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</si>
  <si>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</si>
  <si>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</si>
  <si>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</si>
  <si>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</si>
  <si>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</si>
  <si>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</si>
  <si>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</si>
  <si>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</si>
  <si>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</si>
  <si>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</si>
  <si>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</si>
  <si>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</si>
  <si>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</si>
  <si>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</si>
  <si>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</si>
  <si>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</si>
  <si>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</si>
  <si>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</si>
  <si>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</si>
  <si>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</si>
  <si>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</si>
  <si>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</si>
  <si>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</si>
  <si>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</si>
  <si>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</si>
  <si>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</si>
  <si>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</si>
  <si>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</si>
  <si>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</si>
  <si>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</si>
  <si>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</si>
  <si>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</si>
  <si>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</si>
  <si>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</si>
  <si>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</si>
  <si>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</si>
  <si>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</si>
  <si>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</si>
  <si>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</si>
  <si>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</si>
  <si>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</si>
  <si>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</si>
  <si>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</si>
  <si>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</si>
  <si>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</si>
  <si>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</si>
  <si>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</si>
  <si>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</si>
  <si>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</si>
  <si>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</si>
  <si>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</si>
  <si>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</si>
  <si>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</si>
  <si>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</si>
  <si>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</si>
  <si>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</si>
  <si>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</si>
  <si>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</si>
  <si>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</si>
  <si>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</si>
  <si>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</si>
  <si>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</si>
  <si>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</si>
  <si>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</si>
  <si>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</si>
  <si>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</si>
  <si>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</si>
  <si>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</si>
  <si>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</si>
  <si>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</si>
  <si>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</si>
  <si>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</si>
  <si>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</si>
  <si>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</si>
  <si>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</si>
  <si>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</si>
  <si>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</si>
  <si>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</si>
  <si>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</si>
  <si>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</si>
  <si>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</si>
  <si>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</si>
  <si>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</si>
  <si>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</si>
  <si>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</si>
  <si>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</si>
  <si>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</si>
  <si>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</si>
  <si>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</si>
  <si>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</si>
  <si>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</si>
  <si>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</si>
  <si>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</si>
  <si>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</si>
  <si>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</si>
  <si>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</si>
  <si>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</si>
  <si>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</si>
  <si>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</si>
  <si>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</si>
  <si>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</si>
  <si>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</si>
  <si>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</si>
  <si>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</si>
  <si>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</si>
  <si>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</si>
  <si>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</si>
  <si>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</si>
  <si>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</si>
  <si>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</si>
  <si>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</si>
  <si>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</si>
  <si>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</si>
  <si>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</si>
  <si>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</si>
  <si>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</si>
  <si>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</si>
  <si>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</si>
  <si>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</si>
  <si>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</si>
  <si>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</si>
  <si>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</si>
  <si>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</si>
  <si>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</si>
  <si>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</si>
  <si>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</si>
  <si>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</si>
  <si>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</si>
  <si>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</si>
  <si>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</si>
  <si>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</si>
  <si>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</si>
  <si>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</si>
  <si>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</si>
  <si>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</si>
  <si>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</si>
  <si>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</si>
  <si>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</si>
  <si>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</si>
  <si>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</si>
  <si>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</si>
  <si>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</si>
  <si>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</si>
  <si>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</si>
  <si>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</si>
  <si>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</si>
  <si>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</si>
  <si>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</si>
  <si>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</si>
  <si>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</si>
  <si>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</si>
  <si>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</si>
  <si>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</si>
  <si>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</si>
  <si>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</si>
  <si>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</si>
  <si>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</si>
  <si>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</si>
  <si>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</si>
  <si>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</si>
  <si>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</si>
  <si>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</si>
  <si>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</si>
  <si>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</si>
  <si>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</si>
  <si>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</si>
  <si>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</si>
  <si>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</si>
  <si>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</si>
  <si>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</si>
  <si>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</si>
  <si>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</si>
  <si>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</si>
  <si>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</si>
  <si>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</si>
  <si>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</si>
  <si>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</si>
  <si>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</si>
  <si>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</si>
  <si>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</si>
  <si>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</si>
  <si>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</si>
  <si>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</si>
  <si>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</si>
  <si>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</si>
  <si>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</si>
  <si>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</si>
  <si>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</si>
  <si>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</si>
  <si>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</si>
  <si>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</si>
  <si>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</si>
  <si>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</si>
  <si>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</si>
  <si>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</si>
  <si>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</si>
  <si>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</si>
  <si>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</si>
  <si>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</si>
  <si>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</si>
  <si>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</si>
  <si>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</si>
  <si>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</si>
  <si>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</si>
  <si>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</si>
  <si>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</si>
  <si>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</si>
  <si>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</si>
  <si>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</si>
  <si>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</si>
  <si>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</si>
  <si>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</si>
  <si>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</si>
  <si>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</si>
  <si>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</si>
  <si>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</si>
  <si>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</si>
  <si>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</si>
  <si>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</si>
  <si>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</si>
  <si>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</si>
  <si>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</si>
  <si>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</si>
  <si>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</si>
  <si>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</si>
  <si>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</si>
  <si>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</si>
  <si>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</si>
  <si>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</si>
  <si>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</si>
  <si>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</si>
  <si>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</si>
  <si>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</si>
  <si>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</si>
  <si>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</si>
  <si>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</si>
  <si>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</si>
  <si>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</si>
  <si>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</si>
  <si>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</si>
  <si>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</si>
  <si>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</si>
  <si>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</si>
  <si>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</si>
  <si>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</si>
  <si>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</si>
  <si>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</si>
  <si>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</si>
  <si>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</si>
  <si>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</si>
  <si>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</si>
  <si>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</si>
  <si>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</si>
  <si>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</si>
  <si>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</si>
  <si>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</si>
  <si>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</si>
  <si>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</si>
  <si>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</si>
  <si>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</si>
  <si>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</si>
  <si>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</si>
  <si>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</si>
  <si>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</si>
  <si>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</si>
  <si>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</si>
  <si>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</si>
  <si>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</si>
  <si>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</si>
  <si>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</si>
  <si>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</si>
  <si>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</si>
  <si>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</si>
  <si>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</si>
  <si>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</si>
  <si>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</si>
  <si>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</si>
  <si>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</si>
  <si>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</si>
  <si>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</si>
  <si>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</si>
  <si>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</si>
  <si>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</si>
  <si>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</si>
  <si>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</si>
  <si>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</si>
  <si>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</si>
  <si>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</si>
  <si>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</si>
  <si>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</si>
  <si>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</si>
  <si>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</si>
  <si>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</si>
  <si>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</si>
  <si>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</si>
  <si>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</si>
  <si>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</si>
  <si>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</si>
  <si>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</si>
  <si>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</si>
  <si>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</si>
  <si>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</si>
  <si>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</si>
  <si>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</si>
  <si>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</si>
  <si>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</si>
  <si>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</si>
  <si>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</si>
  <si>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</si>
  <si>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</si>
  <si>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</si>
  <si>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</si>
  <si>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</si>
  <si>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</si>
  <si>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</si>
  <si>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</si>
  <si>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</si>
  <si>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</si>
  <si>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</si>
  <si>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</si>
  <si>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</si>
  <si>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</si>
  <si>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</si>
  <si>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</si>
  <si>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</si>
  <si>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</si>
  <si>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</si>
  <si>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</si>
  <si>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</si>
  <si>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</si>
  <si>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</si>
  <si>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</si>
  <si>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</si>
  <si>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</si>
  <si>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</si>
  <si>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</si>
  <si>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</si>
  <si>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</si>
  <si>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</si>
  <si>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</si>
  <si>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</si>
  <si>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</si>
  <si>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</si>
  <si>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</si>
  <si>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</si>
  <si>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</si>
  <si>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</si>
  <si>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</si>
  <si>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</si>
  <si>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</si>
  <si>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</si>
  <si>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</si>
  <si>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</si>
  <si>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</si>
  <si>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</si>
  <si>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</si>
  <si>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</si>
  <si>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</si>
  <si>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</si>
  <si>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</si>
  <si>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</si>
  <si>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</si>
  <si>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</si>
  <si>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</si>
  <si>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</si>
  <si>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</si>
  <si>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</si>
  <si>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</si>
  <si>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</si>
  <si>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</si>
  <si>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</si>
  <si>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</si>
  <si>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</si>
  <si>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</si>
  <si>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</si>
  <si>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</si>
  <si>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</si>
  <si>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</si>
  <si>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</si>
  <si>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</si>
  <si>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</si>
  <si>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</si>
  <si>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</si>
  <si>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</si>
  <si>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</si>
  <si>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</si>
  <si>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</si>
  <si>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</si>
  <si>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</si>
  <si>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</si>
  <si>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</si>
  <si>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</si>
  <si>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</si>
  <si>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</si>
  <si>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</si>
  <si>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</si>
  <si>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</si>
  <si>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</si>
  <si>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</si>
  <si>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</si>
  <si>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</si>
  <si>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</si>
  <si>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</si>
  <si>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</si>
  <si>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</si>
  <si>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</si>
  <si>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</si>
  <si>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</si>
  <si>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</si>
  <si>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</si>
  <si>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</si>
  <si>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</si>
  <si>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</si>
  <si>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</si>
  <si>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</si>
  <si>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</si>
  <si>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</si>
  <si>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</si>
  <si>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</si>
  <si>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</si>
  <si>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</si>
  <si>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</si>
  <si>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</si>
  <si>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</si>
  <si>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</si>
  <si>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</si>
  <si>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</si>
  <si>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</si>
  <si>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</si>
  <si>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</si>
  <si>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</si>
  <si>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</si>
  <si>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</si>
  <si>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</si>
  <si>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</si>
  <si>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</si>
  <si>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</si>
  <si>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</si>
  <si>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</si>
  <si>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</si>
  <si>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</si>
  <si>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</si>
  <si>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</si>
  <si>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</si>
  <si>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</si>
  <si>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</si>
  <si>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</si>
  <si>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</si>
  <si>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</si>
  <si>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</si>
  <si>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</si>
  <si>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</si>
  <si>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</si>
  <si>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</si>
  <si>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</si>
  <si>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</si>
  <si>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</si>
  <si>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</si>
  <si>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</si>
  <si>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</si>
  <si>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</si>
  <si>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</si>
  <si>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</si>
  <si>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</si>
  <si>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</si>
  <si>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</si>
  <si>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</si>
  <si>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</si>
  <si>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</si>
  <si>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</si>
  <si>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</si>
  <si>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</si>
  <si>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</si>
  <si>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</si>
  <si>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</si>
  <si>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</si>
  <si>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</si>
  <si>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</si>
  <si>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</si>
  <si>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</si>
  <si>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</si>
  <si>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</si>
  <si>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</si>
  <si>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</si>
  <si>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</si>
  <si>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</si>
  <si>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</si>
  <si>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</si>
  <si>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</si>
  <si>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</si>
  <si>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</si>
  <si>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</si>
  <si>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</si>
  <si>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</si>
  <si>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</si>
  <si>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</si>
  <si>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</si>
  <si>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</si>
  <si>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</si>
  <si>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</si>
  <si>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</si>
  <si>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</si>
  <si>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</si>
  <si>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</si>
  <si>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</si>
  <si>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</si>
  <si>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</si>
  <si>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</si>
  <si>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</si>
  <si>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</si>
  <si>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</si>
  <si>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</si>
  <si>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</si>
  <si>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</si>
  <si>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</si>
  <si>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</si>
  <si>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</si>
  <si>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</si>
  <si>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</si>
  <si>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</si>
  <si>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</si>
  <si>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</si>
  <si>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</si>
  <si>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</si>
  <si>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</si>
  <si>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</si>
  <si>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</si>
  <si>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</si>
  <si>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</si>
  <si>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</si>
  <si>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</si>
  <si>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</si>
  <si>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</si>
  <si>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</si>
  <si>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</si>
  <si>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</si>
  <si>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</si>
  <si>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</si>
  <si>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</si>
  <si>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</si>
  <si>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</si>
  <si>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</si>
  <si>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</si>
  <si>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</si>
  <si>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</si>
  <si>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</si>
  <si>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</si>
  <si>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</si>
  <si>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</si>
  <si>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</si>
  <si>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</si>
  <si>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</si>
  <si>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</si>
  <si>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</si>
  <si>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</si>
  <si>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</si>
  <si>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</si>
  <si>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</si>
  <si>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</si>
  <si>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</si>
  <si>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</si>
  <si>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</si>
  <si>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</si>
  <si>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</si>
  <si>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</si>
  <si>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</si>
  <si>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</si>
  <si>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</si>
  <si>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</si>
  <si>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</si>
  <si>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</si>
  <si>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</si>
  <si>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</si>
  <si>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</si>
  <si>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</si>
  <si>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</si>
  <si>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</si>
  <si>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</si>
  <si>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</si>
  <si>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</si>
  <si>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</si>
  <si>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</si>
  <si>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</si>
  <si>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</si>
  <si>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</si>
  <si>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</si>
  <si>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</si>
  <si>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</si>
  <si>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</si>
  <si>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</si>
  <si>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</si>
  <si>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</si>
  <si>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</si>
  <si>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</si>
  <si>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</si>
  <si>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</si>
  <si>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</si>
  <si>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</si>
  <si>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</si>
  <si>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</si>
  <si>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</si>
  <si>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</si>
  <si>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</si>
  <si>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</si>
  <si>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</si>
  <si>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</si>
  <si>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</si>
  <si>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</si>
  <si>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</si>
  <si>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</si>
  <si>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</si>
  <si>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</si>
  <si>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</si>
  <si>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</si>
  <si>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</si>
  <si>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</si>
  <si>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</si>
  <si>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</si>
  <si>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</si>
  <si>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</si>
  <si>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</si>
  <si>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</si>
  <si>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</si>
  <si>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</si>
  <si>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</si>
  <si>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</si>
  <si>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</si>
  <si>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</si>
  <si>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</si>
  <si>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</si>
  <si>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</si>
  <si>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</si>
  <si>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</si>
  <si>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</si>
  <si>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</si>
  <si>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</si>
  <si>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</si>
  <si>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</si>
  <si>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</si>
  <si>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</si>
  <si>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</si>
  <si>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</si>
  <si>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</si>
  <si>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</si>
  <si>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</si>
  <si>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</si>
  <si>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</si>
  <si>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</si>
  <si>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</si>
  <si>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</si>
  <si>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</si>
  <si>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</si>
  <si>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</si>
  <si>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</si>
  <si>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</si>
  <si>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</si>
  <si>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</si>
  <si>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</si>
  <si>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</si>
  <si>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</si>
  <si>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</si>
  <si>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</si>
  <si>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</si>
  <si>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</si>
  <si>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</si>
  <si>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</si>
  <si>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</si>
  <si>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</si>
  <si>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</si>
  <si>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</si>
  <si>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</si>
  <si>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</si>
  <si>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</si>
  <si>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</si>
  <si>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</si>
  <si>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</si>
  <si>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</si>
  <si>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</si>
  <si>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</si>
  <si>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</si>
  <si>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</si>
  <si>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</si>
  <si>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</si>
  <si>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</si>
  <si>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</si>
  <si>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</si>
  <si>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</si>
  <si>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</si>
  <si>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</si>
  <si>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</si>
  <si>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</si>
  <si>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</si>
  <si>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</si>
  <si>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</si>
  <si>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</si>
  <si>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</si>
  <si>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</si>
  <si>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</si>
  <si>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</si>
  <si>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</si>
  <si>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</si>
  <si>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</si>
  <si>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</si>
  <si>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</si>
  <si>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</si>
  <si>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</si>
  <si>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</si>
  <si>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</si>
  <si>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</si>
  <si>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</si>
  <si>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</si>
  <si>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</si>
  <si>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</si>
  <si>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</si>
  <si>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</si>
  <si>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</si>
  <si>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</si>
  <si>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</si>
  <si>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</si>
  <si>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</si>
  <si>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</si>
  <si>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</si>
  <si>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</si>
  <si>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</si>
  <si>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</si>
  <si>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</si>
  <si>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</si>
  <si>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</si>
  <si>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</si>
  <si>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</si>
  <si>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</si>
  <si>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</si>
  <si>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</si>
  <si>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</si>
  <si>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</si>
  <si>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</si>
  <si>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</si>
  <si>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</si>
  <si>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</si>
  <si>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</si>
  <si>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</si>
  <si>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</si>
  <si>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</si>
  <si>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</si>
  <si>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</si>
  <si>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</si>
  <si>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</si>
  <si>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</si>
  <si>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</si>
  <si>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</si>
  <si>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</si>
  <si>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</si>
  <si>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</si>
  <si>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</si>
  <si>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</si>
  <si>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</si>
  <si>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</si>
  <si>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</si>
  <si>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</si>
  <si>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</si>
  <si>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</si>
  <si>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</si>
  <si>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</si>
  <si>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</si>
  <si>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</si>
  <si>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</si>
  <si>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</si>
  <si>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</si>
  <si>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</si>
  <si>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</si>
  <si>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</si>
  <si>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</si>
  <si>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</si>
  <si>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</si>
  <si>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</si>
  <si>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</si>
  <si>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</si>
  <si>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</si>
  <si>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</si>
  <si>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</si>
  <si>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</si>
  <si>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</si>
  <si>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</si>
  <si>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</si>
  <si>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</si>
  <si>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</si>
  <si>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</si>
  <si>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</si>
  <si>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</si>
  <si>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</si>
  <si>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</si>
  <si>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</si>
  <si>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</si>
  <si>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</si>
  <si>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</si>
  <si>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</si>
  <si>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</si>
  <si>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</si>
  <si>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</si>
  <si>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</si>
  <si>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</si>
  <si>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</si>
  <si>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</si>
  <si>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</si>
  <si>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</si>
  <si>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</si>
  <si>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</si>
  <si>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</si>
  <si>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</si>
  <si>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</si>
  <si>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</si>
  <si>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</si>
  <si>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</si>
  <si>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</si>
  <si>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</si>
  <si>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</si>
  <si>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</si>
  <si>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</si>
  <si>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</si>
  <si>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</si>
  <si>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</si>
  <si>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</si>
  <si>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</si>
  <si>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</si>
  <si>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</si>
  <si>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</si>
  <si>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</si>
  <si>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</si>
  <si>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</si>
  <si>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</si>
  <si>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</si>
  <si>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</si>
  <si>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</si>
  <si>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</si>
  <si>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</si>
  <si>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</si>
  <si>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</si>
  <si>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</si>
  <si>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</si>
  <si>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</si>
  <si>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</si>
  <si>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</si>
  <si>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</si>
  <si>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</si>
  <si>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</si>
  <si>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</si>
  <si>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</si>
  <si>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</si>
  <si>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</si>
  <si>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</si>
  <si>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</si>
  <si>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</si>
  <si>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</si>
  <si>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</si>
  <si>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</si>
  <si>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</si>
  <si>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</si>
  <si>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</si>
  <si>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</si>
  <si>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</si>
  <si>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</si>
  <si>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</si>
  <si>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</si>
  <si>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</si>
  <si>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</si>
  <si>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</si>
  <si>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</si>
  <si>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</si>
  <si>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</si>
  <si>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</si>
  <si>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</si>
  <si>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</si>
  <si>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</si>
  <si>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</si>
  <si>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</si>
  <si>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</si>
  <si>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</si>
  <si>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</si>
  <si>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</si>
  <si>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</si>
  <si>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</si>
  <si>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</si>
  <si>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</si>
  <si>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</si>
  <si>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</si>
  <si>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</si>
  <si>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</si>
  <si>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</si>
  <si>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</si>
  <si>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</si>
  <si>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</si>
  <si>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</si>
  <si>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</si>
  <si>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</si>
  <si>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</si>
  <si>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</si>
  <si>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</si>
  <si>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</si>
  <si>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</si>
  <si>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</si>
  <si>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</si>
  <si>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</si>
  <si>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</si>
  <si>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</si>
  <si>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</si>
  <si>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</si>
  <si>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</si>
  <si>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</si>
  <si>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</si>
  <si>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</si>
  <si>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</si>
  <si>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</si>
  <si>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</si>
  <si>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</si>
  <si>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</si>
  <si>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</si>
  <si>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</si>
  <si>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</si>
  <si>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</si>
  <si>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</si>
  <si>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</si>
  <si>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</si>
  <si>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</si>
  <si>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</si>
  <si>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</si>
  <si>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</si>
  <si>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</si>
  <si>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</si>
  <si>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</si>
  <si>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</si>
  <si>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</si>
  <si>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</si>
  <si>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</si>
  <si>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</si>
  <si>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</si>
  <si>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</si>
  <si>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</si>
  <si>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</si>
  <si>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</si>
  <si>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</si>
  <si>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</si>
  <si>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</si>
  <si>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</si>
  <si>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</si>
  <si>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</si>
  <si>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</si>
  <si>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</si>
  <si>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</si>
  <si>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</si>
  <si>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</si>
  <si>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</si>
  <si>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</si>
  <si>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</si>
  <si>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</si>
  <si>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</si>
  <si>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</si>
  <si>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</si>
  <si>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</si>
  <si>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</si>
  <si>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</si>
  <si>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</si>
  <si>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</si>
  <si>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</si>
  <si>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</si>
  <si>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</si>
  <si>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</si>
  <si>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</si>
  <si>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</si>
  <si>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</si>
  <si>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</si>
  <si>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</si>
  <si>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</si>
  <si>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</si>
  <si>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</si>
  <si>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</si>
  <si>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</si>
  <si>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</si>
  <si>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</si>
  <si>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</si>
  <si>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</si>
  <si>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</si>
  <si>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</si>
  <si>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</si>
  <si>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</si>
  <si>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</si>
  <si>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</si>
  <si>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</si>
  <si>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</si>
  <si>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</si>
  <si>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</si>
  <si>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</si>
  <si>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</si>
  <si>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</si>
  <si>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</si>
  <si>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</si>
  <si>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</si>
  <si>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</si>
  <si>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</si>
  <si>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</si>
  <si>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</si>
  <si>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</si>
  <si>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</si>
  <si>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</si>
  <si>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</si>
  <si>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</si>
  <si>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</si>
  <si>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</si>
  <si>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</si>
  <si>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</si>
  <si>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</si>
  <si>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</si>
  <si>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</si>
  <si>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</si>
  <si>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</si>
  <si>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</si>
  <si>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</si>
  <si>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</si>
  <si>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</si>
  <si>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</si>
  <si>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</si>
  <si>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</si>
  <si>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</si>
  <si>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</si>
  <si>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</si>
  <si>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</si>
  <si>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</si>
  <si>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</si>
  <si>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</si>
  <si>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</si>
  <si>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</si>
  <si>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</si>
  <si>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</si>
  <si>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</si>
  <si>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</si>
  <si>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</si>
  <si>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</si>
  <si>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</si>
  <si>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</si>
  <si>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</si>
  <si>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</si>
  <si>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</si>
  <si>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</si>
  <si>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</si>
  <si>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</si>
  <si>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</si>
  <si>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</si>
  <si>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</si>
  <si>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</si>
  <si>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</si>
  <si>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</si>
  <si>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</si>
  <si>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</si>
  <si>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</si>
  <si>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</si>
  <si>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</si>
  <si>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</si>
  <si>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</si>
  <si>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</si>
  <si>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</si>
  <si>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</si>
  <si>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</si>
  <si>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</si>
  <si>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</si>
  <si>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</si>
  <si>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</si>
  <si>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</si>
  <si>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</si>
  <si>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</si>
  <si>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</si>
  <si>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</si>
  <si>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</si>
  <si>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</si>
  <si>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</si>
  <si>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</si>
  <si>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</si>
  <si>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</si>
  <si>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</si>
  <si>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</si>
  <si>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</si>
  <si>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</si>
  <si>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</si>
  <si>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</si>
  <si>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</si>
  <si>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</si>
  <si>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</si>
  <si>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</si>
  <si>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</si>
  <si>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</si>
  <si>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</si>
  <si>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</si>
  <si>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</si>
  <si>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</si>
  <si>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</si>
  <si>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</si>
  <si>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</si>
  <si>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</si>
  <si>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</si>
  <si>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</si>
  <si>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</si>
  <si>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</si>
  <si>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</si>
  <si>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</si>
  <si>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</si>
  <si>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</si>
  <si>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</si>
  <si>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</si>
  <si>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</si>
  <si>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</si>
  <si>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</si>
  <si>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</si>
  <si>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</si>
  <si>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</si>
  <si>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</si>
  <si>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</si>
  <si>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</si>
  <si>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</si>
  <si>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</si>
  <si>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</si>
  <si>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</si>
  <si>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</si>
  <si>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</si>
  <si>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</si>
  <si>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</si>
  <si>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</si>
  <si>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</si>
  <si>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</si>
  <si>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</si>
  <si>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</si>
  <si>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</si>
  <si>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</si>
  <si>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</si>
  <si>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</si>
  <si>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</si>
  <si>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</si>
  <si>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</si>
  <si>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</si>
  <si>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</si>
  <si>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</si>
  <si>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</si>
  <si>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</si>
  <si>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</si>
  <si>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</si>
  <si>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</si>
  <si>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</si>
  <si>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</si>
  <si>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</si>
  <si>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</si>
  <si>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</si>
  <si>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</si>
  <si>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</si>
  <si>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</si>
  <si>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</si>
  <si>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</si>
  <si>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</si>
  <si>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</si>
  <si>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</si>
  <si>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</si>
  <si>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</si>
  <si>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</si>
  <si>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</si>
  <si>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</si>
  <si>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</si>
  <si>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</si>
  <si>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</si>
  <si>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</si>
  <si>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</si>
  <si>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</si>
  <si>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</si>
  <si>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</si>
  <si>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</si>
  <si>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</si>
  <si>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</si>
  <si>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</si>
  <si>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</si>
  <si>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</si>
  <si>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</si>
  <si>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</si>
  <si>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</si>
  <si>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</si>
  <si>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</si>
  <si>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</si>
  <si>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</si>
  <si>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</si>
  <si>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</si>
  <si>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</si>
  <si>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</si>
  <si>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</si>
  <si>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</si>
  <si>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</si>
  <si>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</si>
  <si>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</si>
  <si>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</si>
  <si>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</si>
  <si>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</si>
  <si>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</si>
  <si>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</si>
  <si>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</si>
  <si>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</si>
  <si>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</si>
  <si>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</si>
  <si>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</si>
  <si>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</si>
  <si>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</si>
  <si>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</si>
  <si>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</si>
  <si>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</si>
  <si>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</si>
  <si>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</si>
  <si>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</si>
  <si>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</si>
  <si>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</si>
  <si>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</si>
  <si>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</si>
  <si>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</si>
  <si>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</si>
  <si>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</si>
  <si>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</si>
  <si>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</si>
  <si>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</si>
  <si>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</si>
  <si>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</si>
  <si>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</si>
  <si>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</si>
  <si>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</si>
  <si>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</si>
  <si>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</si>
  <si>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</si>
  <si>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</si>
  <si>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</si>
  <si>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</si>
  <si>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</si>
  <si>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</si>
  <si>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</si>
  <si>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</si>
  <si>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</si>
  <si>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</si>
  <si>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</si>
  <si>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</si>
  <si>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</si>
  <si>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</si>
  <si>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</si>
  <si>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</si>
  <si>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</si>
  <si>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</si>
  <si>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</si>
  <si>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</si>
  <si>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</si>
  <si>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</si>
  <si>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</si>
  <si>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</si>
  <si>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</si>
  <si>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</si>
  <si>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</si>
  <si>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</si>
  <si>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</si>
  <si>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</si>
  <si>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</si>
  <si>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</si>
  <si>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</si>
  <si>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</si>
  <si>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</si>
  <si>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</si>
  <si>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</si>
  <si>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</si>
  <si>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</si>
  <si>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</si>
  <si>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</si>
  <si>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</si>
  <si>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</si>
  <si>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</si>
  <si>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</si>
  <si>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</si>
  <si>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</si>
  <si>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</si>
  <si>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</si>
  <si>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</si>
  <si>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</si>
  <si>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</si>
  <si>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</si>
  <si>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</si>
  <si>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</si>
  <si>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</si>
  <si>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</si>
  <si>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</si>
  <si>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</si>
  <si>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</si>
  <si>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</si>
  <si>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</si>
  <si>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</si>
  <si>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</si>
  <si>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</si>
  <si>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</si>
  <si>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</si>
  <si>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</si>
  <si>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</si>
  <si>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</si>
  <si>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</si>
  <si>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</si>
  <si>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</si>
  <si>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</si>
  <si>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</si>
  <si>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</si>
  <si>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</si>
  <si>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</si>
  <si>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</si>
  <si>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</si>
  <si>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</si>
  <si>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</si>
  <si>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</si>
  <si>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</si>
  <si>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</si>
  <si>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</si>
  <si>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</si>
  <si>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</si>
  <si>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</si>
  <si>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</si>
  <si>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</si>
  <si>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</si>
  <si>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</si>
  <si>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</si>
  <si>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</si>
  <si>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</si>
  <si>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</si>
  <si>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</si>
  <si>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</si>
  <si>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</si>
  <si>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</si>
  <si>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</si>
  <si>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</si>
  <si>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</si>
  <si>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</si>
  <si>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</si>
  <si>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</si>
  <si>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</si>
  <si>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</si>
  <si>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</si>
  <si>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</si>
  <si>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</si>
  <si>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</si>
  <si>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</si>
  <si>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</si>
  <si>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</si>
  <si>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</si>
  <si>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</si>
  <si>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</si>
  <si>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</si>
  <si>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</si>
  <si>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</si>
  <si>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</si>
  <si>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</si>
  <si>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</si>
  <si>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</si>
  <si>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</si>
  <si>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</si>
  <si>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</si>
  <si>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</si>
  <si>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</si>
  <si>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</si>
  <si>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</si>
  <si>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</si>
  <si>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</si>
  <si>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</si>
  <si>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</si>
  <si>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</si>
  <si>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</si>
  <si>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</si>
  <si>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</si>
  <si>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</si>
  <si>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</si>
  <si>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</si>
  <si>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</si>
  <si>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</si>
  <si>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</si>
  <si>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</si>
  <si>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</si>
  <si>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</si>
  <si>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</si>
  <si>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</si>
  <si>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</si>
  <si>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</si>
  <si>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</si>
  <si>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</si>
  <si>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</si>
  <si>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</si>
  <si>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</si>
  <si>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</si>
  <si>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</si>
  <si>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</si>
  <si>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</si>
  <si>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</si>
  <si>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</si>
  <si>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</si>
  <si>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</si>
  <si>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</si>
  <si>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</si>
  <si>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</si>
  <si>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</si>
  <si>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</si>
  <si>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</si>
  <si>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</si>
  <si>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</si>
  <si>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</si>
  <si>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</si>
  <si>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</si>
  <si>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</si>
  <si>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</si>
  <si>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</si>
  <si>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</si>
  <si>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</si>
  <si>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</si>
  <si>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</si>
  <si>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</si>
  <si>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</si>
  <si>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</si>
  <si>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</si>
  <si>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</si>
  <si>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</si>
  <si>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</si>
  <si>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</si>
  <si>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</si>
  <si>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</si>
  <si>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</si>
  <si>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</si>
  <si>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</si>
  <si>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</si>
  <si>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</si>
  <si>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</si>
  <si>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</si>
  <si>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</si>
  <si>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56-000-0000-40</t>
  </si>
  <si>
    <t>Will</t>
  </si>
  <si>
    <t>Wilco Area Career Center</t>
  </si>
  <si>
    <t>500 Wilco Boulevard</t>
  </si>
  <si>
    <t xml:space="preserve">Romeoville </t>
  </si>
  <si>
    <t>815-838-6941</t>
  </si>
  <si>
    <t>815-838-1163</t>
  </si>
  <si>
    <t>Mack &amp; Associates, P.C.</t>
  </si>
  <si>
    <t>Tawnya Mack, CPA</t>
  </si>
  <si>
    <t>116 E. Washington St., Suite One</t>
  </si>
  <si>
    <t>Morris</t>
  </si>
  <si>
    <t>IL</t>
  </si>
  <si>
    <t>815-942-3306</t>
  </si>
  <si>
    <t>815-942-9430</t>
  </si>
  <si>
    <t>066-005100</t>
  </si>
  <si>
    <t>tmack@mackcpas.com</t>
  </si>
  <si>
    <t>PDF in Opinion Page with signature</t>
  </si>
  <si>
    <t>Series 2016 Debt Certificates</t>
  </si>
  <si>
    <t>x</t>
  </si>
  <si>
    <t>IL School Cooperative</t>
  </si>
  <si>
    <t>See Below</t>
  </si>
  <si>
    <t>Line 19 - Insurance - Health Insurance - Lincolnway Area Affiliation, Liability Insurance - ESIC, Workers Comp. Insurance - SELF</t>
  </si>
  <si>
    <t>Page 11, Acct. #1999 - Other Local Revenues - Ins. Reimb., TRS Refund, Scrap income, other misc. reimb.</t>
  </si>
  <si>
    <t>jramirez@wilco.k12.il.us</t>
  </si>
  <si>
    <t>Elizabeth Kaufman</t>
  </si>
  <si>
    <t>ekaufman@wilco.k12.il.us</t>
  </si>
  <si>
    <t>ED - FISCAL SERVICES - PURCHASED SERVCES</t>
  </si>
  <si>
    <t>10-2520-300</t>
  </si>
  <si>
    <t>SPECIALIZED DATA SYSTEMS</t>
  </si>
  <si>
    <t>ED - O&amp;M PLANT - PURCHASED SERVICES</t>
  </si>
  <si>
    <t>10-2540-300</t>
  </si>
  <si>
    <t>CHAPMAN &amp; CUTLER, LLP</t>
  </si>
  <si>
    <t>D&amp;I ELECTRONICS</t>
  </si>
  <si>
    <t>ECOLAB PEST ELIMINATION</t>
  </si>
  <si>
    <t>ESIC</t>
  </si>
  <si>
    <t>SELF</t>
  </si>
  <si>
    <t>TYCO INTEGRATED SECURITY LLC</t>
  </si>
  <si>
    <t>Line 13 - Grundy Area Vocational Center; JJC, The Nail Inn, Champions Beauty-Barber University, Professional Choice, Franklin Cosmetology, Local 150 Apprenticeship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</si>
</sst>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C36DCF56-9DA5-4339-B736-8877B4991B4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379171A1-D450-45A6-BB05-188E644F9BA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B6EAD948-A2DD-438C-A1F3-602E323272C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D72CE709-B965-4861-96A6-19D50DE2E2D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zoomScaleNormal="100" workbookViewId="0">
      <selection activeCell="I40" sqref="I40:S40"/>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c r="C5" s="26" t="s">
        <v>966</v>
      </c>
      <c r="D5" s="84"/>
      <c r="E5" s="84"/>
      <c r="H5" s="38"/>
      <c r="I5" s="2011" t="s">
        <v>701</v>
      </c>
      <c r="J5" s="2010"/>
      <c r="K5" s="2010"/>
      <c r="L5" s="2010"/>
      <c r="M5" s="2010"/>
      <c r="N5" s="2010"/>
      <c r="O5" s="2010"/>
      <c r="P5" s="2010"/>
      <c r="Q5" s="2010"/>
      <c r="R5" s="2010"/>
      <c r="S5" s="2010"/>
    </row>
    <row r="6" spans="1:28" ht="14.1" customHeight="1" x14ac:dyDescent="0.2">
      <c r="B6" s="104" t="s">
        <v>2077</v>
      </c>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t="s">
        <v>2078</v>
      </c>
      <c r="B13" s="2037"/>
      <c r="C13" s="2037"/>
      <c r="D13" s="2037"/>
      <c r="E13" s="2037"/>
      <c r="F13" s="2037"/>
      <c r="G13" s="2037"/>
      <c r="H13" s="2038"/>
      <c r="I13" s="31"/>
      <c r="J13" s="30"/>
      <c r="K13" s="28"/>
      <c r="L13" s="30"/>
      <c r="M13" s="30"/>
      <c r="N13" s="30"/>
      <c r="O13" s="30"/>
      <c r="P13" s="30"/>
      <c r="Q13" s="30"/>
      <c r="R13" s="30"/>
      <c r="S13" s="30"/>
      <c r="T13" s="2041" t="s">
        <v>2085</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2079</v>
      </c>
      <c r="B15" s="2039"/>
      <c r="C15" s="2039"/>
      <c r="D15" s="2039"/>
      <c r="E15" s="2039"/>
      <c r="F15" s="2039"/>
      <c r="G15" s="2039"/>
      <c r="H15" s="2040"/>
      <c r="T15" s="2045" t="s">
        <v>2086</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2080</v>
      </c>
      <c r="B17" s="1996"/>
      <c r="C17" s="1996"/>
      <c r="D17" s="1996"/>
      <c r="E17" s="1996"/>
      <c r="F17" s="1996"/>
      <c r="G17" s="1996"/>
      <c r="H17" s="2021"/>
      <c r="T17" s="2052" t="s">
        <v>2087</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2081</v>
      </c>
      <c r="B19" s="1981"/>
      <c r="C19" s="1981"/>
      <c r="D19" s="1981"/>
      <c r="E19" s="1981"/>
      <c r="F19" s="1981"/>
      <c r="G19" s="1981"/>
      <c r="H19" s="1961"/>
      <c r="I19" s="30"/>
      <c r="J19" s="99"/>
      <c r="K19" s="40"/>
      <c r="L19" s="38"/>
      <c r="M19" s="112" t="s">
        <v>333</v>
      </c>
      <c r="P19" s="27"/>
      <c r="Q19" s="27"/>
      <c r="R19" s="27"/>
      <c r="S19" s="31"/>
      <c r="T19" s="2035" t="s">
        <v>2088</v>
      </c>
      <c r="U19" s="1960"/>
      <c r="V19" s="1960"/>
      <c r="W19" s="1961"/>
      <c r="X19" s="2050" t="s">
        <v>2089</v>
      </c>
      <c r="Y19" s="2051"/>
      <c r="Z19" s="2048">
        <v>60450</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2082</v>
      </c>
      <c r="B21" s="1960"/>
      <c r="C21" s="1960"/>
      <c r="D21" s="1960"/>
      <c r="E21" s="1960"/>
      <c r="F21" s="1960"/>
      <c r="G21" s="1960"/>
      <c r="H21" s="1961"/>
      <c r="I21" s="2015" t="s">
        <v>699</v>
      </c>
      <c r="J21" s="2010"/>
      <c r="K21" s="2010"/>
      <c r="L21" s="2010"/>
      <c r="M21" s="2010"/>
      <c r="N21" s="2010"/>
      <c r="O21" s="2010"/>
      <c r="P21" s="2010"/>
      <c r="Q21" s="2010"/>
      <c r="R21" s="2010"/>
      <c r="S21" s="2016"/>
      <c r="T21" s="2059" t="s">
        <v>2090</v>
      </c>
      <c r="U21" s="2060"/>
      <c r="V21" s="2060"/>
      <c r="W21" s="2060"/>
      <c r="X21" s="2065" t="s">
        <v>2091</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2101</v>
      </c>
      <c r="B23" s="2013"/>
      <c r="C23" s="2013"/>
      <c r="D23" s="2013"/>
      <c r="E23" s="2013"/>
      <c r="F23" s="2013"/>
      <c r="G23" s="2013"/>
      <c r="H23" s="2014"/>
      <c r="T23" s="1995" t="s">
        <v>2092</v>
      </c>
      <c r="U23" s="2058"/>
      <c r="V23" s="2058"/>
      <c r="W23" s="2058"/>
      <c r="X23" s="2062">
        <v>43434</v>
      </c>
      <c r="Y23" s="2063"/>
      <c r="Z23" s="2063"/>
      <c r="AA23" s="2064"/>
    </row>
    <row r="24" spans="1:27" ht="14.1" customHeight="1" x14ac:dyDescent="0.2">
      <c r="A24" s="88" t="s">
        <v>698</v>
      </c>
      <c r="B24" s="49"/>
      <c r="C24" s="49"/>
      <c r="D24" s="49"/>
      <c r="E24" s="49"/>
      <c r="F24" s="49"/>
      <c r="G24" s="49"/>
      <c r="H24" s="61"/>
      <c r="J24" s="1982" t="str">
        <f>IF(B5="x",IF(AUDITCHECK!D29="AFR form Incomplete.","",IF(AUDITCHECK!D29="Deficit reduction plan is required.","School District must complete a deficit reduction plan in the 2018-2019 Budget",)),"")</f>
        <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60441</v>
      </c>
      <c r="B25" s="1960"/>
      <c r="C25" s="1960"/>
      <c r="D25" s="1960"/>
      <c r="E25" s="1960"/>
      <c r="F25" s="1960"/>
      <c r="G25" s="1960"/>
      <c r="H25" s="1961"/>
      <c r="I25" s="113"/>
      <c r="J25" s="1984"/>
      <c r="K25" s="1984"/>
      <c r="L25" s="1984"/>
      <c r="M25" s="1984"/>
      <c r="N25" s="1984"/>
      <c r="O25" s="1984"/>
      <c r="P25" s="1984"/>
      <c r="Q25" s="1984"/>
      <c r="R25" s="1984"/>
      <c r="S25" s="1985"/>
      <c r="T25" s="2055" t="s">
        <v>2093</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2102</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2103</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2083</v>
      </c>
      <c r="B42" s="1979"/>
      <c r="C42" s="1980"/>
      <c r="D42" s="1978" t="s">
        <v>2084</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Normal="100" workbookViewId="0">
      <selection activeCell="I31" sqref="I3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2036</v>
      </c>
      <c r="D2" s="724" t="s">
        <v>2043</v>
      </c>
      <c r="E2" s="724" t="s">
        <v>2044</v>
      </c>
      <c r="F2" s="1909" t="s">
        <v>2037</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2095</v>
      </c>
      <c r="B31" s="734">
        <v>42527</v>
      </c>
      <c r="C31" s="735">
        <v>2100000</v>
      </c>
      <c r="D31" s="736">
        <v>6</v>
      </c>
      <c r="E31" s="735">
        <v>1925000</v>
      </c>
      <c r="F31" s="735"/>
      <c r="G31" s="735"/>
      <c r="H31" s="735">
        <v>185000</v>
      </c>
      <c r="I31" s="1778">
        <f>((E31+F31)-H31)+G31</f>
        <v>1740000</v>
      </c>
      <c r="J31" s="735">
        <v>1740000</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2100000</v>
      </c>
      <c r="D49" s="746"/>
      <c r="E49" s="1778">
        <f t="shared" ref="E49:J49" si="2">SUM(E31:E48)</f>
        <v>1925000</v>
      </c>
      <c r="F49" s="1778">
        <f t="shared" si="2"/>
        <v>0</v>
      </c>
      <c r="G49" s="1778">
        <f t="shared" si="2"/>
        <v>0</v>
      </c>
      <c r="H49" s="1778">
        <f t="shared" si="2"/>
        <v>185000</v>
      </c>
      <c r="I49" s="1778">
        <f t="shared" si="2"/>
        <v>1740000</v>
      </c>
      <c r="J49" s="1778">
        <f t="shared" si="2"/>
        <v>1740000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0</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0</v>
      </c>
      <c r="I23" s="1780">
        <f>SUM(I14:I16,I21,I22)</f>
        <v>0</v>
      </c>
      <c r="J23" s="1780">
        <f>SUM(J14:J16,J21,J22)</f>
        <v>0</v>
      </c>
      <c r="K23" s="1780">
        <f>SUM(K14:K16,K21,K22)</f>
        <v>0</v>
      </c>
    </row>
    <row r="24" spans="1:11" ht="14.25" thickTop="1" thickBot="1" x14ac:dyDescent="0.25">
      <c r="A24" s="2266" t="s">
        <v>2024</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C13" sqref="C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90524</v>
      </c>
      <c r="D5" s="842"/>
      <c r="E5" s="842"/>
      <c r="F5" s="1782">
        <f>(C5+D5)-E5</f>
        <v>90524</v>
      </c>
      <c r="G5" s="838"/>
      <c r="H5" s="843"/>
      <c r="I5" s="843"/>
      <c r="J5" s="843"/>
      <c r="K5" s="794"/>
      <c r="L5" s="1791">
        <f>F5-K5</f>
        <v>90524</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5718106</v>
      </c>
      <c r="D8" s="845">
        <v>2350759</v>
      </c>
      <c r="E8" s="845"/>
      <c r="F8" s="1782">
        <f>(C8+D8)-E8</f>
        <v>8068865</v>
      </c>
      <c r="G8" s="844">
        <v>50</v>
      </c>
      <c r="H8" s="766">
        <v>3182916</v>
      </c>
      <c r="I8" s="766">
        <v>162318</v>
      </c>
      <c r="J8" s="766"/>
      <c r="K8" s="1791">
        <f>(H8+I8)-J8</f>
        <v>3345234</v>
      </c>
      <c r="L8" s="1791">
        <f>F8-K8</f>
        <v>4723631</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36010</v>
      </c>
      <c r="D12" s="845"/>
      <c r="E12" s="845"/>
      <c r="F12" s="1782">
        <f>(C12+D12)-E12</f>
        <v>36010</v>
      </c>
      <c r="G12" s="844">
        <v>10</v>
      </c>
      <c r="H12" s="766">
        <v>33487</v>
      </c>
      <c r="I12" s="766">
        <v>505</v>
      </c>
      <c r="J12" s="766"/>
      <c r="K12" s="1791">
        <f>(H12+I12)-J12</f>
        <v>33992</v>
      </c>
      <c r="L12" s="1791">
        <f>F12-K12</f>
        <v>2018</v>
      </c>
    </row>
    <row r="13" spans="1:14" ht="14.25" thickTop="1" thickBot="1" x14ac:dyDescent="0.25">
      <c r="A13" s="849" t="s">
        <v>1184</v>
      </c>
      <c r="B13" s="841">
        <v>252</v>
      </c>
      <c r="C13" s="845">
        <v>1465654</v>
      </c>
      <c r="D13" s="845">
        <v>113003</v>
      </c>
      <c r="E13" s="845"/>
      <c r="F13" s="1782">
        <f>(C13+D13)-E13</f>
        <v>1578657</v>
      </c>
      <c r="G13" s="844">
        <v>5</v>
      </c>
      <c r="H13" s="766">
        <v>1340316</v>
      </c>
      <c r="I13" s="766">
        <v>73417</v>
      </c>
      <c r="J13" s="766"/>
      <c r="K13" s="1791">
        <f>(H13+I13)-J13</f>
        <v>1413733</v>
      </c>
      <c r="L13" s="1791">
        <f>F13-K13</f>
        <v>164924</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7310294</v>
      </c>
      <c r="D16" s="1782">
        <f>SUM(D3,D5:D6,D8:D10,D12:D15)</f>
        <v>2463762</v>
      </c>
      <c r="E16" s="1782">
        <f>SUM(E3,E5:E6,E8:E10,E12:E15)</f>
        <v>0</v>
      </c>
      <c r="F16" s="1782">
        <f>SUM(F3,F5:F6,F8:F10,F12:F15)</f>
        <v>9774056</v>
      </c>
      <c r="G16" s="844"/>
      <c r="H16" s="1782">
        <f>SUM(H3,H6,H8:H10,H12:H14,)</f>
        <v>4556719</v>
      </c>
      <c r="I16" s="1782">
        <f>SUM(I3,I6,I8:I10,I12:I14,)</f>
        <v>236240</v>
      </c>
      <c r="J16" s="1782">
        <f>SUM(J3,J6,J8:J10,J12:J14,)</f>
        <v>0</v>
      </c>
      <c r="K16" s="1782">
        <f>(H16+I16)-J16</f>
        <v>4792959</v>
      </c>
      <c r="L16" s="1782">
        <f>F16-K16</f>
        <v>4981097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236240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3636865</v>
      </c>
      <c r="G8" s="866"/>
    </row>
    <row r="9" spans="1:7" x14ac:dyDescent="0.2">
      <c r="A9" s="870" t="s">
        <v>480</v>
      </c>
      <c r="B9" s="871" t="s">
        <v>1988</v>
      </c>
      <c r="C9" s="872"/>
      <c r="D9" s="870" t="s">
        <v>522</v>
      </c>
      <c r="E9" s="869"/>
      <c r="F9" s="1935">
        <f>'Expenditures 15-22'!K151</f>
        <v>0</v>
      </c>
      <c r="G9" s="873"/>
    </row>
    <row r="10" spans="1:7" x14ac:dyDescent="0.2">
      <c r="A10" s="870" t="s">
        <v>520</v>
      </c>
      <c r="B10" s="871" t="s">
        <v>1989</v>
      </c>
      <c r="C10" s="872"/>
      <c r="D10" s="870" t="s">
        <v>522</v>
      </c>
      <c r="E10" s="869"/>
      <c r="F10" s="1935">
        <f>'Expenditures 15-22'!K174</f>
        <v>239588</v>
      </c>
      <c r="G10" s="873"/>
    </row>
    <row r="11" spans="1:7" x14ac:dyDescent="0.2">
      <c r="A11" s="870" t="s">
        <v>481</v>
      </c>
      <c r="B11" s="871" t="s">
        <v>1990</v>
      </c>
      <c r="C11" s="872"/>
      <c r="D11" s="870" t="s">
        <v>522</v>
      </c>
      <c r="E11" s="869"/>
      <c r="F11" s="1935">
        <f>'Expenditures 15-22'!K210</f>
        <v>0</v>
      </c>
      <c r="G11" s="873"/>
    </row>
    <row r="12" spans="1:7" x14ac:dyDescent="0.2">
      <c r="A12" s="870" t="s">
        <v>482</v>
      </c>
      <c r="B12" s="871" t="s">
        <v>1991</v>
      </c>
      <c r="C12" s="872"/>
      <c r="D12" s="870" t="s">
        <v>522</v>
      </c>
      <c r="E12" s="869"/>
      <c r="F12" s="1935">
        <f>'Expenditures 15-22'!K295</f>
        <v>0</v>
      </c>
      <c r="G12" s="873"/>
    </row>
    <row r="13" spans="1:7" x14ac:dyDescent="0.2">
      <c r="A13" s="870" t="s">
        <v>108</v>
      </c>
      <c r="B13" s="871" t="s">
        <v>1992</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3876453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9673</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0</v>
      </c>
      <c r="G53" s="866"/>
    </row>
    <row r="54" spans="1:7" x14ac:dyDescent="0.2">
      <c r="A54" s="870" t="s">
        <v>479</v>
      </c>
      <c r="B54" s="870" t="s">
        <v>1552</v>
      </c>
      <c r="C54" s="890" t="s">
        <v>1039</v>
      </c>
      <c r="D54" s="886" t="s">
        <v>1157</v>
      </c>
      <c r="E54" s="869"/>
      <c r="F54" s="1939">
        <f>'Expenditures 15-22'!G114</f>
        <v>395665</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0</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185000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590338</v>
      </c>
      <c r="G76" s="866"/>
    </row>
    <row r="77" spans="1:8" s="894" customFormat="1" ht="12" customHeight="1" thickTop="1" thickBot="1" x14ac:dyDescent="0.25">
      <c r="A77" s="1801"/>
      <c r="B77" s="1798"/>
      <c r="C77" s="1794"/>
      <c r="D77" s="1799" t="s">
        <v>2011</v>
      </c>
      <c r="E77" s="1796"/>
      <c r="F77" s="1802">
        <f>(F14-F76)</f>
        <v>3286115</v>
      </c>
      <c r="G77" s="870"/>
    </row>
    <row r="78" spans="1:8" s="894" customFormat="1" ht="12" customHeight="1" thickTop="1" x14ac:dyDescent="0.2">
      <c r="A78" s="1803"/>
      <c r="B78" s="1798"/>
      <c r="C78" s="1794"/>
      <c r="D78" s="1799" t="s">
        <v>2057</v>
      </c>
      <c r="E78" s="1796"/>
      <c r="F78" s="899">
        <v>0</v>
      </c>
      <c r="G78" s="900"/>
      <c r="H78" s="870"/>
    </row>
    <row r="79" spans="1:8" s="894" customFormat="1" ht="12" customHeight="1" thickBot="1" x14ac:dyDescent="0.25">
      <c r="A79" s="1804"/>
      <c r="B79" s="1798"/>
      <c r="C79" s="1794"/>
      <c r="D79" s="1799" t="s">
        <v>2012</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34100</v>
      </c>
      <c r="G95" s="913"/>
    </row>
    <row r="96" spans="1:7" x14ac:dyDescent="0.2">
      <c r="A96" s="909" t="s">
        <v>479</v>
      </c>
      <c r="B96" s="909" t="s">
        <v>178</v>
      </c>
      <c r="C96" s="911">
        <f>'Revenues 9-14'!B84</f>
        <v>1811</v>
      </c>
      <c r="D96" s="912" t="str">
        <f>'Revenues 9-14'!A84</f>
        <v>Rentals - Regular Textbooks</v>
      </c>
      <c r="E96" s="907"/>
      <c r="F96" s="1811">
        <f>'Revenues 9-14'!C84</f>
        <v>7003</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239588</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775758</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128506</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1184955</v>
      </c>
    </row>
    <row r="179" spans="1:7" ht="12" customHeight="1" x14ac:dyDescent="0.2">
      <c r="A179" s="1792"/>
      <c r="B179" s="1806"/>
      <c r="C179" s="1807"/>
      <c r="D179" s="1808" t="s">
        <v>2014</v>
      </c>
      <c r="E179" s="1809"/>
      <c r="F179" s="1811">
        <f>'PCTC-OEPP 27-28'!F77-F178</f>
        <v>2101160</v>
      </c>
    </row>
    <row r="180" spans="1:7" ht="12" customHeight="1" x14ac:dyDescent="0.2">
      <c r="A180" s="1792"/>
      <c r="B180" s="1806"/>
      <c r="C180" s="1807"/>
      <c r="D180" s="1808" t="s">
        <v>1924</v>
      </c>
      <c r="E180" s="1809"/>
      <c r="F180" s="1811">
        <f>'Cap Outlay Deprec 26'!I18</f>
        <v>236240</v>
      </c>
    </row>
    <row r="181" spans="1:7" ht="12" customHeight="1" x14ac:dyDescent="0.2">
      <c r="A181" s="1792"/>
      <c r="B181" s="1806"/>
      <c r="C181" s="1807"/>
      <c r="D181" s="1808" t="s">
        <v>2015</v>
      </c>
      <c r="E181" s="1809"/>
      <c r="F181" s="1811">
        <f>F179+F180</f>
        <v>2337400</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2016</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24" sqref="D24"/>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2104</v>
      </c>
      <c r="B17" s="1957" t="s">
        <v>2105</v>
      </c>
      <c r="C17" s="1958" t="s">
        <v>2106</v>
      </c>
      <c r="D17" s="1867">
        <f>1730+2200</f>
        <v>3930</v>
      </c>
      <c r="E17" s="1562">
        <f t="shared" ref="E17:E141" si="1">IF(D17&lt;=25000,D17,IF(D17&gt;25000,25000,0))</f>
        <v>3930</v>
      </c>
      <c r="F17" s="1815">
        <f t="shared" si="0"/>
        <v>3930</v>
      </c>
      <c r="G17" s="1816">
        <f>IF(F17=0,0,D17-F17)</f>
        <v>0</v>
      </c>
      <c r="H17" s="1669"/>
    </row>
    <row r="18" spans="1:8" x14ac:dyDescent="0.25">
      <c r="A18" s="1956" t="s">
        <v>2107</v>
      </c>
      <c r="B18" s="1957" t="s">
        <v>2108</v>
      </c>
      <c r="C18" s="1958" t="s">
        <v>2109</v>
      </c>
      <c r="D18" s="1867">
        <v>2000</v>
      </c>
      <c r="E18" s="1562">
        <f t="shared" ref="E18:E140" si="2">IF(D18&lt;=25000,D18,IF(D18&gt;25000,25000,0))</f>
        <v>2000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2000</v>
      </c>
      <c r="G18" s="1816">
        <f t="shared" ref="G18:G140" si="4">IF(F18=0,0,D18-F18)</f>
        <v>0</v>
      </c>
    </row>
    <row r="19" spans="1:8" x14ac:dyDescent="0.25">
      <c r="A19" s="1956" t="s">
        <v>2107</v>
      </c>
      <c r="B19" s="1957" t="s">
        <v>2108</v>
      </c>
      <c r="C19" s="1958" t="s">
        <v>2110</v>
      </c>
      <c r="D19" s="1867">
        <v>660</v>
      </c>
      <c r="E19" s="1562">
        <f t="shared" si="2"/>
        <v>660</v>
      </c>
      <c r="F19" s="1815">
        <f t="shared" si="3"/>
        <v>660</v>
      </c>
      <c r="G19" s="1816">
        <f t="shared" si="4"/>
        <v>0</v>
      </c>
    </row>
    <row r="20" spans="1:8" x14ac:dyDescent="0.25">
      <c r="A20" s="1956" t="s">
        <v>2107</v>
      </c>
      <c r="B20" s="1957" t="s">
        <v>2108</v>
      </c>
      <c r="C20" s="1958" t="s">
        <v>2111</v>
      </c>
      <c r="D20" s="1867">
        <v>3020</v>
      </c>
      <c r="E20" s="1562">
        <f t="shared" si="2"/>
        <v>3020</v>
      </c>
      <c r="F20" s="1815">
        <f t="shared" si="3"/>
        <v>3020</v>
      </c>
      <c r="G20" s="1816">
        <f t="shared" si="4"/>
        <v>0</v>
      </c>
    </row>
    <row r="21" spans="1:8" x14ac:dyDescent="0.25">
      <c r="A21" s="1956" t="s">
        <v>2107</v>
      </c>
      <c r="B21" s="1957" t="s">
        <v>2108</v>
      </c>
      <c r="C21" s="1958" t="s">
        <v>2112</v>
      </c>
      <c r="D21" s="1867">
        <v>48493</v>
      </c>
      <c r="E21" s="1562">
        <f t="shared" si="2"/>
        <v>25000</v>
      </c>
      <c r="F21" s="1815">
        <f t="shared" si="3"/>
        <v>25000</v>
      </c>
      <c r="G21" s="1816">
        <f t="shared" si="4"/>
        <v>23493</v>
      </c>
    </row>
    <row r="22" spans="1:8" x14ac:dyDescent="0.25">
      <c r="A22" s="1956" t="s">
        <v>2107</v>
      </c>
      <c r="B22" s="1957" t="s">
        <v>2108</v>
      </c>
      <c r="C22" s="1958" t="s">
        <v>2113</v>
      </c>
      <c r="D22" s="1867">
        <v>16282</v>
      </c>
      <c r="E22" s="1562">
        <f t="shared" si="2"/>
        <v>16282</v>
      </c>
      <c r="F22" s="1815">
        <f t="shared" si="3"/>
        <v>16282</v>
      </c>
      <c r="G22" s="1816">
        <f t="shared" si="4"/>
        <v>0</v>
      </c>
    </row>
    <row r="23" spans="1:8" x14ac:dyDescent="0.25">
      <c r="A23" s="1956" t="s">
        <v>2107</v>
      </c>
      <c r="B23" s="1957" t="s">
        <v>2108</v>
      </c>
      <c r="C23" s="1958" t="s">
        <v>2114</v>
      </c>
      <c r="D23" s="1867">
        <v>891</v>
      </c>
      <c r="E23" s="1562">
        <f t="shared" si="2"/>
        <v>891</v>
      </c>
      <c r="F23" s="1815">
        <f t="shared" si="3"/>
        <v>891</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75276</v>
      </c>
      <c r="E141" s="1563">
        <f t="shared" si="1"/>
        <v>25000</v>
      </c>
      <c r="F141" s="1817">
        <f>SUM(F17:F140)</f>
        <v>51783</v>
      </c>
      <c r="G141" s="1818">
        <f>SUM(G17:G140)</f>
        <v>23493</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8" sqref="E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5" t="s">
        <v>1944</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1843602</v>
      </c>
      <c r="F19" s="1822"/>
      <c r="G19" s="1824">
        <f>'Expenditures 15-22'!K33-SUM('Expenditures 15-22'!G33,'Expenditures 15-22'!I33)+'Expenditures 15-22'!D229</f>
        <v>1843602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250626</v>
      </c>
      <c r="F21" s="1825"/>
      <c r="G21" s="1828">
        <f>'Expenditures 15-22'!K42-SUM('Expenditures 15-22'!G42,'Expenditures 15-22'!I42)+'Expenditures 15-22'!K120-SUM('Expenditures 15-22'!G120,'Expenditures 15-22'!I120)+'Expenditures 15-22'!K180-SUM('Expenditures 15-22'!G180,'Expenditures 15-22'!I180)+'Expenditures 15-22'!D238</f>
        <v>250626</v>
      </c>
      <c r="H21" s="988"/>
      <c r="I21" s="162"/>
    </row>
    <row r="22" spans="1:9" s="669" customFormat="1" ht="12" customHeight="1" x14ac:dyDescent="0.2">
      <c r="A22" s="995" t="s">
        <v>585</v>
      </c>
      <c r="B22" s="996"/>
      <c r="C22" s="994">
        <v>2200</v>
      </c>
      <c r="D22" s="1825"/>
      <c r="E22" s="1827">
        <f>'Expenditures 15-22'!K47-SUM('Expenditures 15-22'!G47,'Expenditures 15-22'!I47)+'Expenditures 15-22'!D243</f>
        <v>252011</v>
      </c>
      <c r="F22" s="1825"/>
      <c r="G22" s="1828">
        <f>'Expenditures 15-22'!K47-SUM('Expenditures 15-22'!G47,'Expenditures 15-22'!I47)+'Expenditures 15-22'!D243</f>
        <v>252011</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336947</v>
      </c>
      <c r="F23" s="1825"/>
      <c r="G23" s="1827">
        <f>'Expenditures 15-22'!K53-SUM('Expenditures 15-22'!G53,'Expenditures 15-22'!I53)+'Expenditures 15-22'!D257+'Expenditures 15-22'!K330-SUM('Expenditures 15-22'!G330,'Expenditures 15-22'!I330)</f>
        <v>336947</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83177</v>
      </c>
      <c r="E27" s="1827">
        <f>E8</f>
        <v>0</v>
      </c>
      <c r="F27" s="1827">
        <f>'Expenditures 15-22'!K60-SUM('Expenditures 15-22'!G60,'Expenditures 15-22'!I60)+'Expenditures 15-22'!D264-E8</f>
        <v>83177</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474837</v>
      </c>
      <c r="F28" s="1829">
        <f>'Expenditures 15-22'!K61-SUM('Expenditures 15-22'!G61,'Expenditures 15-22'!I61)+'Expenditures 15-22'!K124-SUM('Expenditures 15-22'!G124,'Expenditures 15-22'!I124)+'Expenditures 15-22'!D266-E9</f>
        <v>474837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-23493</v>
      </c>
      <c r="F40" s="1825"/>
      <c r="G40" s="1829">
        <f>-'Contracts Paid in CY 29'!G141</f>
        <v>-23493</v>
      </c>
    </row>
    <row r="41" spans="1:7" ht="12" customHeight="1" x14ac:dyDescent="0.2">
      <c r="A41" s="999" t="s">
        <v>158</v>
      </c>
      <c r="B41" s="1000"/>
      <c r="C41" s="1001"/>
      <c r="D41" s="1829">
        <f>SUM(D19:D39)</f>
        <v>83177</v>
      </c>
      <c r="E41" s="1829">
        <f>SUM(E19:E40)</f>
        <v>3134530</v>
      </c>
      <c r="F41" s="1829">
        <f>SUM(F19:F39)</f>
        <v>558014</v>
      </c>
      <c r="G41" s="1829">
        <f>SUM(G19:G40)</f>
        <v>2659693</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83177</v>
      </c>
      <c r="F43" s="1830" t="s">
        <v>495</v>
      </c>
      <c r="G43" s="1831">
        <f>F41</f>
        <v>558014</v>
      </c>
    </row>
    <row r="44" spans="1:7" ht="12" customHeight="1" x14ac:dyDescent="0.2">
      <c r="A44" s="988"/>
      <c r="B44" s="162"/>
      <c r="C44" s="1002"/>
      <c r="D44" s="1830" t="s">
        <v>494</v>
      </c>
      <c r="E44" s="1831">
        <f>E41</f>
        <v>3134530</v>
      </c>
      <c r="F44" s="1830" t="s">
        <v>494</v>
      </c>
      <c r="G44" s="1831">
        <f>G41</f>
        <v>2659693</v>
      </c>
    </row>
    <row r="45" spans="1:7" ht="12" customHeight="1" x14ac:dyDescent="0.2">
      <c r="A45" s="988"/>
      <c r="B45" s="162"/>
      <c r="C45" s="162"/>
      <c r="D45" s="1832" t="s">
        <v>1063</v>
      </c>
      <c r="E45" s="1833">
        <f>(E43/E44)</f>
        <v>2.6535716678417497E-2</v>
      </c>
      <c r="F45" s="1832" t="s">
        <v>1063</v>
      </c>
      <c r="G45" s="1833">
        <f>(G43/G44)</f>
        <v>0.20980391345918495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8" activePane="bottomLeft" state="frozen"/>
      <selection activeCell="A47" sqref="A47"/>
      <selection pane="bottomLeft" activeCell="A43" sqref="A43:F43"/>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Wilco Area Career Center</v>
      </c>
      <c r="D6" s="2326"/>
      <c r="E6" s="2326"/>
      <c r="F6" s="1877"/>
    </row>
    <row r="7" spans="1:10" ht="11.25" customHeight="1" thickBot="1" x14ac:dyDescent="0.3">
      <c r="A7" s="1875"/>
      <c r="B7" s="1876"/>
      <c r="C7" s="2327" t="str">
        <f>COVER!A13</f>
        <v>56-000-0000-40</v>
      </c>
      <c r="D7" s="2327"/>
      <c r="E7" s="2327"/>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2096</v>
      </c>
      <c r="D13" s="1890" t="s">
        <v>2096</v>
      </c>
      <c r="E13" s="1893"/>
      <c r="F13" s="1892" t="s">
        <v>2098</v>
      </c>
      <c r="H13" s="1903">
        <f t="shared" si="0"/>
        <v>5</v>
      </c>
      <c r="I13" s="1903">
        <f t="shared" si="1"/>
        <v>5</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t="s">
        <v>2096</v>
      </c>
      <c r="D15" s="1890" t="s">
        <v>2096</v>
      </c>
      <c r="E15" s="1893"/>
      <c r="F15" s="1892" t="s">
        <v>2097</v>
      </c>
      <c r="H15" s="1903">
        <f t="shared" si="0"/>
        <v>5</v>
      </c>
      <c r="I15" s="1903">
        <f t="shared" si="1"/>
        <v>5</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2096</v>
      </c>
      <c r="D19" s="1890" t="s">
        <v>2096</v>
      </c>
      <c r="E19" s="1893"/>
      <c r="F19" s="1892" t="s">
        <v>2098</v>
      </c>
      <c r="H19" s="1903">
        <f t="shared" si="0"/>
        <v>5</v>
      </c>
      <c r="I19" s="1903">
        <f t="shared" si="1"/>
        <v>5</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0</v>
      </c>
      <c r="K34" s="1903">
        <f>SUM(H34:J34)</f>
        <v>30</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t="s">
        <v>2099</v>
      </c>
      <c r="B41" s="2320"/>
      <c r="C41" s="2320"/>
      <c r="D41" s="2320"/>
      <c r="E41" s="2320"/>
      <c r="F41" s="2321"/>
      <c r="H41" s="1904"/>
      <c r="I41" s="1904"/>
      <c r="J41" s="1904"/>
      <c r="K41" s="1904"/>
    </row>
    <row r="42" spans="1:11" s="1895" customFormat="1" ht="12" customHeight="1" x14ac:dyDescent="0.25">
      <c r="A42" s="2319" t="s">
        <v>2115</v>
      </c>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Wilco Area Career Center</v>
      </c>
      <c r="J6" s="2336"/>
      <c r="Q6" s="1686"/>
    </row>
    <row r="7" spans="1:17" x14ac:dyDescent="0.2">
      <c r="A7" s="2337" t="s">
        <v>924</v>
      </c>
      <c r="B7" s="2338"/>
      <c r="C7" s="2338"/>
      <c r="D7" s="2338"/>
      <c r="E7" s="2339"/>
      <c r="F7" s="1018"/>
      <c r="G7" s="1010"/>
      <c r="H7" s="1017" t="s">
        <v>390</v>
      </c>
      <c r="I7" s="2340" t="str">
        <f>COVER!A13</f>
        <v>56-000-0000-40</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325686</v>
      </c>
      <c r="F12" s="1040"/>
      <c r="G12" s="1834">
        <f t="shared" ref="G12:G18" si="0">SUM(E12:F12)</f>
        <v>325686</v>
      </c>
      <c r="H12" s="1041">
        <v>242984</v>
      </c>
      <c r="I12" s="1040"/>
      <c r="J12" s="1834">
        <f t="shared" ref="J12:J18" si="1">SUM(H12:I12)</f>
        <v>242984</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325686</v>
      </c>
      <c r="F19" s="1836">
        <f t="shared" si="2"/>
        <v>0</v>
      </c>
      <c r="G19" s="1836">
        <f t="shared" si="2"/>
        <v>325686</v>
      </c>
      <c r="H19" s="1836">
        <f t="shared" si="2"/>
        <v>242984</v>
      </c>
      <c r="I19" s="1836">
        <f t="shared" si="2"/>
        <v>0</v>
      </c>
      <c r="J19" s="1836">
        <f t="shared" si="2"/>
        <v>242984</v>
      </c>
    </row>
    <row r="20" spans="1:10" ht="13.5" thickTop="1" x14ac:dyDescent="0.2">
      <c r="A20" s="1036">
        <v>9</v>
      </c>
      <c r="B20" s="2347" t="s">
        <v>1703</v>
      </c>
      <c r="C20" s="2347"/>
      <c r="D20" s="2348"/>
      <c r="E20" s="1047"/>
      <c r="F20" s="1047"/>
      <c r="G20" s="1047"/>
      <c r="H20" s="1047"/>
      <c r="I20" s="1047"/>
      <c r="J20" s="1837">
        <f>IF(AND(G19&gt;0,J19&gt;0),(((J19-G19)/G19)),"Enter Budget Data")</f>
        <v>-0.2539317010863224</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6" sqref="B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2100</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Wilco Area Career Center</v>
      </c>
    </row>
    <row r="65" spans="2:2" x14ac:dyDescent="0.2">
      <c r="B65" s="1071" t="str">
        <f>COVER!A13</f>
        <v>56-000-0000-40</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13" sqref="A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50177"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Exch.Document.11" dvAspect="DVASPECT_ICON" shapeId="50177" r:id="rId4"/>
      </mc:Fallback>
    </mc:AlternateContent>
    <mc:AlternateContent xmlns:mc="http://schemas.openxmlformats.org/markup-compatibility/2006">
      <mc:Choice Requires="x14">
        <oleObject progId="AcroExch.Document.11" dvAspect="DVASPECT_ICON" shapeId="50178" r:id="rId6">
          <objectPr defaultSize="0" r:id="rId5">
            <anchor moveWithCells="1">
              <from>
                <xdr:col>0</xdr:col>
                <xdr:colOff>0</xdr:colOff>
                <xdr:row>4</xdr:row>
                <xdr:rowOff>0</xdr:rowOff>
              </from>
              <to>
                <xdr:col>1</xdr:col>
                <xdr:colOff>790575</xdr:colOff>
                <xdr:row>8</xdr:row>
                <xdr:rowOff>38100</xdr:rowOff>
              </to>
            </anchor>
          </objectPr>
        </oleObject>
      </mc:Choice>
      <mc:Fallback>
        <oleObject progId="AcroExch.Document.11" dvAspect="DVASPECT_ICON" shapeId="50178" r:id="rId6"/>
      </mc:Fallback>
    </mc:AlternateContent>
    <mc:AlternateContent xmlns:mc="http://schemas.openxmlformats.org/markup-compatibility/2006">
      <mc:Choice Requires="x14">
        <oleObject progId="AcroExch.Document.11" dvAspect="DVASPECT_ICON" shapeId="50179" r:id="rId7">
          <objectPr defaultSize="0" r:id="rId5">
            <anchor moveWithCells="1">
              <from>
                <xdr:col>0</xdr:col>
                <xdr:colOff>0</xdr:colOff>
                <xdr:row>8</xdr:row>
                <xdr:rowOff>0</xdr:rowOff>
              </from>
              <to>
                <xdr:col>1</xdr:col>
                <xdr:colOff>790575</xdr:colOff>
                <xdr:row>12</xdr:row>
                <xdr:rowOff>38100</xdr:rowOff>
              </to>
            </anchor>
          </objectPr>
        </oleObject>
      </mc:Choice>
      <mc:Fallback>
        <oleObject progId="AcroExch.Document.11" dvAspect="DVASPECT_ICON" shapeId="50179" r:id="rId7"/>
      </mc:Fallback>
    </mc:AlternateContent>
    <mc:AlternateContent xmlns:mc="http://schemas.openxmlformats.org/markup-compatibility/2006">
      <mc:Choice Requires="x14">
        <oleObject progId="AcroExch.Document.11" dvAspect="DVASPECT_ICON" shapeId="50180" r:id="rId8">
          <objectPr defaultSize="0" r:id="rId5">
            <anchor moveWithCells="1">
              <from>
                <xdr:col>0</xdr:col>
                <xdr:colOff>0</xdr:colOff>
                <xdr:row>12</xdr:row>
                <xdr:rowOff>0</xdr:rowOff>
              </from>
              <to>
                <xdr:col>1</xdr:col>
                <xdr:colOff>790575</xdr:colOff>
                <xdr:row>15</xdr:row>
                <xdr:rowOff>200025</xdr:rowOff>
              </to>
            </anchor>
          </objectPr>
        </oleObject>
      </mc:Choice>
      <mc:Fallback>
        <oleObject progId="AcroExch.Document.11" dvAspect="DVASPECT_ICON" shapeId="50180"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3988968</v>
      </c>
      <c r="C8" s="1838">
        <f>'Acct Summary 7-8'!D8</f>
        <v>0</v>
      </c>
      <c r="D8" s="1838">
        <f>'Acct Summary 7-8'!F8</f>
        <v>0</v>
      </c>
      <c r="E8" s="1838">
        <f>'Acct Summary 7-8'!I8</f>
        <v>0</v>
      </c>
      <c r="F8" s="1838">
        <f>SUM(B8:E8)</f>
        <v>3988968</v>
      </c>
    </row>
    <row r="9" spans="1:8" s="1080" customFormat="1" ht="14.25" customHeight="1" thickBot="1" x14ac:dyDescent="0.25">
      <c r="A9" s="1079" t="s">
        <v>1436</v>
      </c>
      <c r="B9" s="1839">
        <f>'Acct Summary 7-8'!C17</f>
        <v>3636865</v>
      </c>
      <c r="C9" s="1839">
        <f>'Acct Summary 7-8'!D17</f>
        <v>0</v>
      </c>
      <c r="D9" s="1839">
        <f>'Acct Summary 7-8'!F17</f>
        <v>0</v>
      </c>
      <c r="E9" s="1838"/>
      <c r="F9" s="1838">
        <f>SUM(B9:E9)</f>
        <v>3636865</v>
      </c>
    </row>
    <row r="10" spans="1:8" s="1080" customFormat="1" ht="14.25" thickTop="1" thickBot="1" x14ac:dyDescent="0.25">
      <c r="A10" s="1081" t="s">
        <v>1437</v>
      </c>
      <c r="B10" s="1840">
        <f>(B8-B9)</f>
        <v>352103</v>
      </c>
      <c r="C10" s="1840">
        <f>(C8-C9)</f>
        <v>0</v>
      </c>
      <c r="D10" s="1840">
        <f>(D8-D9)</f>
        <v>0</v>
      </c>
      <c r="E10" s="1839">
        <f>(E8-E9)</f>
        <v>0</v>
      </c>
      <c r="F10" s="1841">
        <f>SUM(F8-F9)</f>
        <v>352103</v>
      </c>
    </row>
    <row r="11" spans="1:8" s="1080" customFormat="1" ht="14.25" thickTop="1" thickBot="1" x14ac:dyDescent="0.25">
      <c r="A11" s="1082" t="s">
        <v>1785</v>
      </c>
      <c r="B11" s="1842">
        <f>'Acct Summary 7-8'!C81</f>
        <v>944705</v>
      </c>
      <c r="C11" s="1842">
        <f>'Acct Summary 7-8'!D81</f>
        <v>0</v>
      </c>
      <c r="D11" s="1842">
        <f>'Acct Summary 7-8'!F81</f>
        <v>0</v>
      </c>
      <c r="E11" s="1842">
        <f>'Acct Summary 7-8'!I81</f>
        <v>0</v>
      </c>
      <c r="F11" s="1843">
        <f>SUM(B11:E11)</f>
        <v>944705</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3"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56-000-0000-40</v>
      </c>
    </row>
    <row r="3" spans="1:2" x14ac:dyDescent="0.2">
      <c r="A3" t="s">
        <v>1013</v>
      </c>
      <c r="B3" s="138" t="str">
        <f>COVER!A15</f>
        <v>Will</v>
      </c>
    </row>
    <row r="4" spans="1:2" x14ac:dyDescent="0.2">
      <c r="A4" t="s">
        <v>1064</v>
      </c>
      <c r="B4" s="138" t="str">
        <f>COVER!A17</f>
        <v>Wilco Area Career Center</v>
      </c>
    </row>
    <row r="5" spans="1:2" x14ac:dyDescent="0.2">
      <c r="A5" t="s">
        <v>728</v>
      </c>
      <c r="B5" s="138" t="str">
        <f>COVER!A38</f>
        <v>Elizabeth Kaufman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066-005100</v>
      </c>
    </row>
    <row r="16" spans="1:2" x14ac:dyDescent="0.2">
      <c r="A16" t="s">
        <v>442</v>
      </c>
      <c r="B16" s="138" t="str">
        <f>COVER!T13</f>
        <v>Mack &amp; Associates, P.C.</v>
      </c>
    </row>
    <row r="17" spans="1:2" x14ac:dyDescent="0.2">
      <c r="A17" t="s">
        <v>939</v>
      </c>
      <c r="B17" s="138" t="str">
        <f>COVER!T15</f>
        <v>Tawnya Mack, CPA</v>
      </c>
    </row>
    <row r="18" spans="1:2" x14ac:dyDescent="0.2">
      <c r="A18" t="s">
        <v>1212</v>
      </c>
      <c r="B18" s="138" t="str">
        <f>COVER!T17</f>
        <v>116 E. Washington St., Suite One</v>
      </c>
    </row>
    <row r="19" spans="1:2" x14ac:dyDescent="0.2">
      <c r="A19" t="s">
        <v>941</v>
      </c>
      <c r="B19" s="138" t="str">
        <f>COVER!T25</f>
        <v>tmack@mackcpas.com</v>
      </c>
    </row>
    <row r="20" spans="1:2" x14ac:dyDescent="0.2">
      <c r="A20" t="s">
        <v>942</v>
      </c>
      <c r="B20" s="138" t="str">
        <f>COVER!T19</f>
        <v>Morris</v>
      </c>
    </row>
    <row r="21" spans="1:2" x14ac:dyDescent="0.2">
      <c r="A21" t="s">
        <v>500</v>
      </c>
      <c r="B21" s="138" t="str">
        <f>COVER!X19</f>
        <v>IL</v>
      </c>
    </row>
    <row r="22" spans="1:2" x14ac:dyDescent="0.2">
      <c r="A22" t="s">
        <v>943</v>
      </c>
      <c r="B22" s="138">
        <f>COVER!Z19</f>
        <v>60450</v>
      </c>
    </row>
    <row r="23" spans="1:2" x14ac:dyDescent="0.2">
      <c r="A23" t="s">
        <v>1214</v>
      </c>
      <c r="B23" s="138" t="str">
        <f>COVER!T21</f>
        <v>815-942-3306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944705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798530</v>
      </c>
      <c r="D92" s="2" t="str">
        <f t="shared" si="0"/>
        <v>Error?</v>
      </c>
    </row>
    <row r="93" spans="1:4" x14ac:dyDescent="0.2">
      <c r="A93" s="5">
        <v>32</v>
      </c>
      <c r="B93" s="138">
        <f>'Assets-Liab 5-6'!C41</f>
        <v>944705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4099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4099</v>
      </c>
      <c r="D212" s="2" t="str">
        <f t="shared" si="2"/>
        <v>Error?</v>
      </c>
    </row>
    <row r="213" spans="1:4" x14ac:dyDescent="0.2">
      <c r="A213" s="12">
        <v>152</v>
      </c>
      <c r="B213" s="138">
        <f>'Assets-Liab 5-6'!H41</f>
        <v>4099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90524</v>
      </c>
      <c r="D273" s="2" t="str">
        <f t="shared" si="3"/>
        <v>Error?</v>
      </c>
    </row>
    <row r="274" spans="1:4" x14ac:dyDescent="0.2">
      <c r="A274" s="5">
        <v>213</v>
      </c>
      <c r="B274" s="138">
        <f>'Assets-Liab 5-6'!M17</f>
        <v>4723631</v>
      </c>
      <c r="D274" s="2" t="str">
        <f t="shared" si="3"/>
        <v>Error?</v>
      </c>
    </row>
    <row r="275" spans="1:4" x14ac:dyDescent="0.2">
      <c r="A275" s="5">
        <v>214</v>
      </c>
      <c r="B275" s="138">
        <f>'Assets-Liab 5-6'!M18</f>
        <v>0</v>
      </c>
      <c r="D275" s="2" t="str">
        <f t="shared" si="3"/>
        <v>Error?</v>
      </c>
    </row>
    <row r="276" spans="1:4" x14ac:dyDescent="0.2">
      <c r="A276" s="5">
        <v>215</v>
      </c>
      <c r="B276" s="138">
        <f>'Assets-Liab 5-6'!M19</f>
        <v>166942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4981097</v>
      </c>
      <c r="C279" s="2" t="s">
        <v>594</v>
      </c>
      <c r="D279" s="2" t="str">
        <f t="shared" si="3"/>
        <v>Error?</v>
      </c>
    </row>
    <row r="280" spans="1:4" x14ac:dyDescent="0.2">
      <c r="A280" s="5">
        <v>219</v>
      </c>
      <c r="B280" s="138">
        <f>'Assets-Liab 5-6'!M40</f>
        <v>4981097</v>
      </c>
      <c r="D280" s="2" t="str">
        <f t="shared" si="3"/>
        <v>Error?</v>
      </c>
    </row>
    <row r="281" spans="1:4" x14ac:dyDescent="0.2">
      <c r="A281" s="5">
        <v>220</v>
      </c>
      <c r="B281" s="138">
        <f>'Assets-Liab 5-6'!M41</f>
        <v>4981097</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1740000</v>
      </c>
      <c r="D283" s="2" t="str">
        <f t="shared" si="3"/>
        <v>Error?</v>
      </c>
    </row>
    <row r="284" spans="1:4" x14ac:dyDescent="0.2">
      <c r="A284" s="5">
        <v>223</v>
      </c>
      <c r="B284" s="138">
        <f>'Assets-Liab 5-6'!N23</f>
        <v>1740000</v>
      </c>
      <c r="C284" s="2" t="s">
        <v>594</v>
      </c>
      <c r="D284" s="2" t="str">
        <f t="shared" si="3"/>
        <v>Error?</v>
      </c>
    </row>
    <row r="285" spans="1:4" x14ac:dyDescent="0.2">
      <c r="A285" s="5">
        <v>224</v>
      </c>
      <c r="B285" s="138">
        <f>'Assets-Liab 5-6'!N36</f>
        <v>1740000</v>
      </c>
      <c r="D285" s="2" t="str">
        <f t="shared" si="3"/>
        <v>Error?</v>
      </c>
    </row>
    <row r="286" spans="1:4" x14ac:dyDescent="0.2">
      <c r="A286" s="10">
        <v>225</v>
      </c>
      <c r="D286" s="2" t="str">
        <f t="shared" si="3"/>
        <v>OK</v>
      </c>
    </row>
    <row r="287" spans="1:4" x14ac:dyDescent="0.2">
      <c r="A287" s="5">
        <v>226</v>
      </c>
      <c r="B287" s="138">
        <f>'Assets-Liab 5-6'!N37</f>
        <v>1740000</v>
      </c>
      <c r="C287" s="2" t="s">
        <v>594</v>
      </c>
      <c r="D287" s="2" t="str">
        <f t="shared" si="3"/>
        <v>Error?</v>
      </c>
    </row>
    <row r="288" spans="1:4" x14ac:dyDescent="0.2">
      <c r="A288" s="5">
        <v>227</v>
      </c>
      <c r="B288" s="138">
        <f>'Assets-Liab 5-6'!N41</f>
        <v>1740000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7425</v>
      </c>
      <c r="D716" s="2" t="str">
        <f t="shared" si="10"/>
        <v>Error?</v>
      </c>
    </row>
    <row r="717" spans="1:4" x14ac:dyDescent="0.2">
      <c r="A717" s="5">
        <v>656</v>
      </c>
      <c r="B717" s="138">
        <f>'Expenditures 15-22'!C13</f>
        <v>1163814</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1171239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192319</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192319</v>
      </c>
      <c r="C727" s="2" t="s">
        <v>594</v>
      </c>
      <c r="D727" s="2" t="str">
        <f t="shared" si="10"/>
        <v>Error?</v>
      </c>
    </row>
    <row r="728" spans="1:4" x14ac:dyDescent="0.2">
      <c r="A728" s="5">
        <v>667</v>
      </c>
      <c r="B728" s="138">
        <f>'Expenditures 15-22'!C44</f>
        <v>131774</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131774</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247818</v>
      </c>
      <c r="D733" s="2" t="str">
        <f t="shared" si="10"/>
        <v>Error?</v>
      </c>
    </row>
    <row r="734" spans="1:4" x14ac:dyDescent="0.2">
      <c r="A734" s="5">
        <v>673</v>
      </c>
      <c r="B734" s="138">
        <f>'Expenditures 15-22'!C53</f>
        <v>247818</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52817</v>
      </c>
      <c r="D739" s="2" t="str">
        <f t="shared" si="10"/>
        <v>Error?</v>
      </c>
    </row>
    <row r="740" spans="1:4" x14ac:dyDescent="0.2">
      <c r="A740" s="5">
        <v>679</v>
      </c>
      <c r="B740" s="138">
        <f>'Expenditures 15-22'!C61</f>
        <v>164740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217557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789468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1960707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558</v>
      </c>
      <c r="D774" s="2" t="str">
        <f t="shared" si="11"/>
        <v>Error?</v>
      </c>
    </row>
    <row r="775" spans="1:4" x14ac:dyDescent="0.2">
      <c r="A775" s="5">
        <v>714</v>
      </c>
      <c r="B775" s="138">
        <f>'Expenditures 15-22'!D13</f>
        <v>266395</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266953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35915</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35915</v>
      </c>
      <c r="C785" s="2" t="s">
        <v>594</v>
      </c>
      <c r="D785" s="2" t="str">
        <f t="shared" si="11"/>
        <v>Error?</v>
      </c>
    </row>
    <row r="786" spans="1:4" x14ac:dyDescent="0.2">
      <c r="A786" s="5">
        <v>725</v>
      </c>
      <c r="B786" s="138">
        <f>'Expenditures 15-22'!D44</f>
        <v>44337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44337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54720</v>
      </c>
      <c r="D791" s="2" t="str">
        <f t="shared" si="11"/>
        <v>Error?</v>
      </c>
    </row>
    <row r="792" spans="1:4" x14ac:dyDescent="0.2">
      <c r="A792" s="5">
        <v>731</v>
      </c>
      <c r="B792" s="138">
        <f>'Expenditures 15-22'!D53</f>
        <v>54720</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19926</v>
      </c>
      <c r="D797" s="2" t="str">
        <f t="shared" si="11"/>
        <v>Error?</v>
      </c>
    </row>
    <row r="798" spans="1:4" x14ac:dyDescent="0.2">
      <c r="A798" s="5">
        <v>737</v>
      </c>
      <c r="B798" s="138">
        <f>'Expenditures 15-22'!D61</f>
        <v>70876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90802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225774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492727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390</v>
      </c>
      <c r="D832" s="2" t="str">
        <f t="shared" si="12"/>
        <v>Error?</v>
      </c>
    </row>
    <row r="833" spans="1:4" x14ac:dyDescent="0.2">
      <c r="A833" s="5">
        <v>772</v>
      </c>
      <c r="B833" s="138">
        <f>'Expenditures 15-22'!E13</f>
        <v>4825</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5215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19182</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19182</v>
      </c>
      <c r="C843" s="2" t="s">
        <v>594</v>
      </c>
      <c r="D843" s="2" t="str">
        <f t="shared" si="12"/>
        <v>Error?</v>
      </c>
    </row>
    <row r="844" spans="1:4" x14ac:dyDescent="0.2">
      <c r="A844" s="5">
        <v>783</v>
      </c>
      <c r="B844" s="138">
        <f>'Expenditures 15-22'!E44</f>
        <v>24441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24441</v>
      </c>
      <c r="C847" s="2" t="s">
        <v>594</v>
      </c>
      <c r="D847" s="2" t="str">
        <f t="shared" si="12"/>
        <v>Error?</v>
      </c>
    </row>
    <row r="848" spans="1:4" x14ac:dyDescent="0.2">
      <c r="A848" s="5">
        <v>787</v>
      </c>
      <c r="B848" s="138">
        <f>'Expenditures 15-22'!E49</f>
        <v>11139</v>
      </c>
      <c r="D848" s="2" t="str">
        <f t="shared" si="12"/>
        <v>Error?</v>
      </c>
    </row>
    <row r="849" spans="1:4" x14ac:dyDescent="0.2">
      <c r="A849" s="5">
        <v>788</v>
      </c>
      <c r="B849" s="138">
        <f>'Expenditures 15-22'!E50</f>
        <v>16514</v>
      </c>
      <c r="D849" s="2" t="str">
        <f t="shared" si="12"/>
        <v>Error?</v>
      </c>
    </row>
    <row r="850" spans="1:4" x14ac:dyDescent="0.2">
      <c r="A850" s="5">
        <v>789</v>
      </c>
      <c r="B850" s="138">
        <f>'Expenditures 15-22'!E53</f>
        <v>27653</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6694</v>
      </c>
      <c r="D855" s="2" t="str">
        <f t="shared" si="12"/>
        <v>Error?</v>
      </c>
    </row>
    <row r="856" spans="1:4" x14ac:dyDescent="0.2">
      <c r="A856" s="5">
        <v>795</v>
      </c>
      <c r="B856" s="138">
        <f>'Expenditures 15-22'!E61</f>
        <v>124798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131492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202768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207983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1300</v>
      </c>
      <c r="D890" s="2" t="str">
        <f t="shared" si="12"/>
        <v>Error?</v>
      </c>
    </row>
    <row r="891" spans="1:4" x14ac:dyDescent="0.2">
      <c r="A891" s="5">
        <v>830</v>
      </c>
      <c r="B891" s="138">
        <f>'Expenditures 15-22'!F13</f>
        <v>165001</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166301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2266</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2266</v>
      </c>
      <c r="C901" s="2" t="s">
        <v>594</v>
      </c>
      <c r="D901" s="2" t="str">
        <f t="shared" si="13"/>
        <v>Error?</v>
      </c>
    </row>
    <row r="902" spans="1:4" x14ac:dyDescent="0.2">
      <c r="A902" s="5">
        <v>841</v>
      </c>
      <c r="B902" s="138">
        <f>'Expenditures 15-22'!F44</f>
        <v>47251</v>
      </c>
      <c r="D902" s="2" t="str">
        <f t="shared" si="13"/>
        <v>Error?</v>
      </c>
    </row>
    <row r="903" spans="1:4" x14ac:dyDescent="0.2">
      <c r="A903" s="5">
        <v>842</v>
      </c>
      <c r="B903" s="138">
        <f>'Expenditures 15-22'!F45</f>
        <v>0</v>
      </c>
      <c r="D903" s="2" t="str">
        <f t="shared" si="13"/>
        <v>Error?</v>
      </c>
    </row>
    <row r="904" spans="1:4" x14ac:dyDescent="0.2">
      <c r="A904" s="5">
        <v>843</v>
      </c>
      <c r="B904" s="138">
        <f>'Expenditures 15-22'!F46</f>
        <v>4208</v>
      </c>
      <c r="D904" s="2" t="str">
        <f t="shared" si="13"/>
        <v>Error?</v>
      </c>
    </row>
    <row r="905" spans="1:4" x14ac:dyDescent="0.2">
      <c r="A905" s="5">
        <v>844</v>
      </c>
      <c r="B905" s="138">
        <f>'Expenditures 15-22'!F47</f>
        <v>51459</v>
      </c>
      <c r="C905" s="2" t="s">
        <v>594</v>
      </c>
      <c r="D905" s="2" t="str">
        <f t="shared" si="13"/>
        <v>Error?</v>
      </c>
    </row>
    <row r="906" spans="1:4" x14ac:dyDescent="0.2">
      <c r="A906" s="5">
        <v>845</v>
      </c>
      <c r="B906" s="138">
        <f>'Expenditures 15-22'!F49</f>
        <v>122</v>
      </c>
      <c r="D906" s="2" t="str">
        <f t="shared" si="13"/>
        <v>Error?</v>
      </c>
    </row>
    <row r="907" spans="1:4" x14ac:dyDescent="0.2">
      <c r="A907" s="5">
        <v>846</v>
      </c>
      <c r="B907" s="138">
        <f>'Expenditures 15-22'!F50</f>
        <v>4635</v>
      </c>
      <c r="D907" s="2" t="str">
        <f t="shared" si="13"/>
        <v>Error?</v>
      </c>
    </row>
    <row r="908" spans="1:4" x14ac:dyDescent="0.2">
      <c r="A908" s="5">
        <v>847</v>
      </c>
      <c r="B908" s="138">
        <f>'Expenditures 15-22'!F53</f>
        <v>4757</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510</v>
      </c>
      <c r="D913" s="2" t="str">
        <f t="shared" si="13"/>
        <v>Error?</v>
      </c>
    </row>
    <row r="914" spans="1:4" x14ac:dyDescent="0.2">
      <c r="A914" s="5">
        <v>853</v>
      </c>
      <c r="B914" s="138">
        <f>'Expenditures 15-22'!F61</f>
        <v>99523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100033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158515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324816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37139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37139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33150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33150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325376</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325376</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358526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395665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233894</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233894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944</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944</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1999</v>
      </c>
      <c r="D1023" s="2" t="str">
        <f t="shared" ref="D1023:D1086" si="15">IF(ISBLANK(B1023),"OK",IF(A1023-B1023=0,"OK","Error?"))</f>
        <v>Error?</v>
      </c>
    </row>
    <row r="1024" spans="1:4" x14ac:dyDescent="0.2">
      <c r="A1024" s="5">
        <v>963</v>
      </c>
      <c r="B1024" s="138">
        <f>'Expenditures 15-22'!H53</f>
        <v>1999</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3230</v>
      </c>
      <c r="D1029" s="2" t="str">
        <f t="shared" si="15"/>
        <v>Error?</v>
      </c>
    </row>
    <row r="1030" spans="1:4" x14ac:dyDescent="0.2">
      <c r="A1030" s="5">
        <v>969</v>
      </c>
      <c r="B1030" s="138">
        <f>'Expenditures 15-22'!H61</f>
        <v>14900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18130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21073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254967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9673</v>
      </c>
      <c r="C1104" s="2" t="s">
        <v>594</v>
      </c>
      <c r="D1104" s="2" t="str">
        <f t="shared" si="16"/>
        <v>Error?</v>
      </c>
    </row>
    <row r="1105" spans="1:4" x14ac:dyDescent="0.2">
      <c r="A1105" s="5">
        <v>1044</v>
      </c>
      <c r="B1105" s="138">
        <f>'Expenditures 15-22'!K13</f>
        <v>1871068</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1880741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250626</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250626</v>
      </c>
      <c r="C1115" s="2" t="s">
        <v>594</v>
      </c>
      <c r="D1115" s="2" t="str">
        <f t="shared" si="16"/>
        <v>Error?</v>
      </c>
    </row>
    <row r="1116" spans="1:4" x14ac:dyDescent="0.2">
      <c r="A1116" s="5">
        <v>1055</v>
      </c>
      <c r="B1116" s="138">
        <f>'Expenditures 15-22'!K44</f>
        <v>280953</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4208</v>
      </c>
      <c r="C1118" s="2" t="s">
        <v>594</v>
      </c>
      <c r="D1118" s="2" t="str">
        <f t="shared" si="16"/>
        <v>Error?</v>
      </c>
    </row>
    <row r="1119" spans="1:4" x14ac:dyDescent="0.2">
      <c r="A1119" s="5">
        <v>1058</v>
      </c>
      <c r="B1119" s="138">
        <f>'Expenditures 15-22'!K47</f>
        <v>285161</v>
      </c>
      <c r="C1119" s="2" t="s">
        <v>594</v>
      </c>
      <c r="D1119" s="2" t="str">
        <f t="shared" si="16"/>
        <v>Error?</v>
      </c>
    </row>
    <row r="1120" spans="1:4" x14ac:dyDescent="0.2">
      <c r="A1120" s="5">
        <v>1059</v>
      </c>
      <c r="B1120" s="138">
        <f>'Expenditures 15-22'!K49</f>
        <v>11261</v>
      </c>
      <c r="C1120" s="2" t="s">
        <v>594</v>
      </c>
      <c r="D1120" s="2" t="str">
        <f t="shared" si="16"/>
        <v>Error?</v>
      </c>
    </row>
    <row r="1121" spans="1:4" x14ac:dyDescent="0.2">
      <c r="A1121" s="5">
        <v>1060</v>
      </c>
      <c r="B1121" s="138">
        <f>'Expenditures 15-22'!K50</f>
        <v>325686</v>
      </c>
      <c r="C1121" s="2" t="s">
        <v>594</v>
      </c>
      <c r="D1121" s="2" t="str">
        <f t="shared" si="16"/>
        <v>Error?</v>
      </c>
    </row>
    <row r="1122" spans="1:4" x14ac:dyDescent="0.2">
      <c r="A1122" s="5">
        <v>1061</v>
      </c>
      <c r="B1122" s="138">
        <f>'Expenditures 15-22'!K53</f>
        <v>336947</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83177</v>
      </c>
      <c r="C1127" s="2" t="s">
        <v>594</v>
      </c>
      <c r="D1127" s="2" t="str">
        <f t="shared" si="16"/>
        <v>Error?</v>
      </c>
    </row>
    <row r="1128" spans="1:4" x14ac:dyDescent="0.2">
      <c r="A1128" s="5">
        <v>1067</v>
      </c>
      <c r="B1128" s="138">
        <f>'Expenditures 15-22'!K61</f>
        <v>800213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883390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1756124</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3636865</v>
      </c>
      <c r="C1152" s="2" t="s">
        <v>594</v>
      </c>
      <c r="D1152" s="2" t="str">
        <f t="shared" si="17"/>
        <v>Error?</v>
      </c>
    </row>
    <row r="1153" spans="1:4" x14ac:dyDescent="0.2">
      <c r="A1153" s="5">
        <v>1092</v>
      </c>
      <c r="B1153" s="138">
        <f>'Expenditures 15-22'!K115</f>
        <v>352103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54588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185000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239588</v>
      </c>
      <c r="C1317" s="2" t="s">
        <v>594</v>
      </c>
      <c r="D1317" s="2" t="str">
        <f t="shared" si="19"/>
        <v>Error?</v>
      </c>
    </row>
    <row r="1318" spans="1:4" x14ac:dyDescent="0.2">
      <c r="A1318" s="5">
        <v>1257</v>
      </c>
      <c r="B1318" s="138">
        <f>'Expenditures 15-22'!H174</f>
        <v>239588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54588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185000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239588</v>
      </c>
      <c r="C1331" s="2" t="s">
        <v>594</v>
      </c>
      <c r="D1331" s="2" t="str">
        <f t="shared" si="19"/>
        <v>Error?</v>
      </c>
    </row>
    <row r="1332" spans="1:4" x14ac:dyDescent="0.2">
      <c r="A1332" s="5">
        <v>1271</v>
      </c>
      <c r="B1332" s="138">
        <f>'Expenditures 15-22'!K174</f>
        <v>239588</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42878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42878</v>
      </c>
      <c r="C1535" s="2" t="s">
        <v>594</v>
      </c>
      <c r="D1535" s="2" t="str">
        <f t="shared" ref="D1535:D1598" si="23">IF(ISBLANK(B1535),"OK",IF(A1535-B1535=0,"OK","Error?"))</f>
        <v>Error?</v>
      </c>
    </row>
    <row r="1536" spans="1:4" x14ac:dyDescent="0.2">
      <c r="A1536" s="5">
        <v>1475</v>
      </c>
      <c r="B1536" s="138">
        <f>'Expenditures 15-22'!E312</f>
        <v>42878</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16947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16947</v>
      </c>
      <c r="C1547" s="2" t="s">
        <v>594</v>
      </c>
      <c r="D1547" s="2" t="str">
        <f t="shared" si="23"/>
        <v>Error?</v>
      </c>
    </row>
    <row r="1548" spans="1:4" x14ac:dyDescent="0.2">
      <c r="A1548" s="5">
        <v>1487</v>
      </c>
      <c r="B1548" s="138">
        <f>'Expenditures 15-22'!G312</f>
        <v>16947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59825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59825</v>
      </c>
      <c r="C1559" s="2" t="s">
        <v>594</v>
      </c>
      <c r="D1559" s="2" t="str">
        <f t="shared" si="23"/>
        <v>Error?</v>
      </c>
    </row>
    <row r="1560" spans="1:4" x14ac:dyDescent="0.2">
      <c r="A1560" s="5">
        <v>1499</v>
      </c>
      <c r="B1560" s="138">
        <f>'Expenditures 15-22'!K312</f>
        <v>59825</v>
      </c>
      <c r="C1560" s="2" t="s">
        <v>594</v>
      </c>
      <c r="D1560" s="2" t="str">
        <f t="shared" si="23"/>
        <v>Error?</v>
      </c>
    </row>
    <row r="1561" spans="1:4" x14ac:dyDescent="0.2">
      <c r="A1561" s="5">
        <v>1500</v>
      </c>
      <c r="B1561" s="138">
        <f>'Expenditures 15-22'!K313</f>
        <v>-59804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592602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944705</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63903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4099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1925000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90524</v>
      </c>
      <c r="D2008" s="2" t="str">
        <f t="shared" si="30"/>
        <v>Error?</v>
      </c>
    </row>
    <row r="2009" spans="1:4" x14ac:dyDescent="0.2">
      <c r="A2009" s="5">
        <v>1948</v>
      </c>
      <c r="B2009" s="138">
        <f>'Cap Outlay Deprec 26'!C8</f>
        <v>5718106</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36010</v>
      </c>
      <c r="D2011" s="2" t="str">
        <f t="shared" si="30"/>
        <v>Error?</v>
      </c>
    </row>
    <row r="2012" spans="1:4" x14ac:dyDescent="0.2">
      <c r="A2012" s="5">
        <v>1951</v>
      </c>
      <c r="B2012" s="138">
        <f>'Cap Outlay Deprec 26'!C13</f>
        <v>1465654</v>
      </c>
      <c r="D2012" s="2" t="str">
        <f t="shared" si="30"/>
        <v>Error?</v>
      </c>
    </row>
    <row r="2013" spans="1:4" x14ac:dyDescent="0.2">
      <c r="A2013" s="5">
        <v>1952</v>
      </c>
      <c r="B2013" s="138">
        <f>'Cap Outlay Deprec 26'!C16</f>
        <v>7310294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2350759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113003</v>
      </c>
      <c r="D2018" s="2" t="str">
        <f t="shared" si="30"/>
        <v>Error?</v>
      </c>
    </row>
    <row r="2019" spans="1:4" x14ac:dyDescent="0.2">
      <c r="A2019" s="5">
        <v>1958</v>
      </c>
      <c r="B2019" s="138">
        <f>'Cap Outlay Deprec 26'!D16</f>
        <v>2463762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90524</v>
      </c>
      <c r="C2026" s="2" t="s">
        <v>594</v>
      </c>
      <c r="D2026" s="2" t="str">
        <f t="shared" si="30"/>
        <v>Error?</v>
      </c>
    </row>
    <row r="2027" spans="1:4" x14ac:dyDescent="0.2">
      <c r="A2027" s="5">
        <v>1966</v>
      </c>
      <c r="B2027" s="138">
        <f>'Cap Outlay Deprec 26'!F8</f>
        <v>8068865</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36010</v>
      </c>
      <c r="C2029" s="2" t="s">
        <v>594</v>
      </c>
      <c r="D2029" s="2" t="str">
        <f t="shared" si="30"/>
        <v>Error?</v>
      </c>
    </row>
    <row r="2030" spans="1:4" x14ac:dyDescent="0.2">
      <c r="A2030" s="5">
        <v>1969</v>
      </c>
      <c r="B2030" s="138">
        <f>'Cap Outlay Deprec 26'!F13</f>
        <v>1578657</v>
      </c>
      <c r="C2030" s="2" t="s">
        <v>594</v>
      </c>
      <c r="D2030" s="2" t="str">
        <f t="shared" si="30"/>
        <v>Error?</v>
      </c>
    </row>
    <row r="2031" spans="1:4" x14ac:dyDescent="0.2">
      <c r="A2031" s="5">
        <v>1970</v>
      </c>
      <c r="B2031" s="138">
        <f>'Cap Outlay Deprec 26'!F16</f>
        <v>9774056</v>
      </c>
      <c r="C2031" s="2" t="s">
        <v>594</v>
      </c>
      <c r="D2031" s="2" t="str">
        <f t="shared" si="30"/>
        <v>Error?</v>
      </c>
    </row>
    <row r="2032" spans="1:4" x14ac:dyDescent="0.2">
      <c r="A2032" s="10">
        <v>1971</v>
      </c>
      <c r="D2032" s="2" t="str">
        <f t="shared" si="30"/>
        <v>OK</v>
      </c>
    </row>
    <row r="2033" spans="1:4" x14ac:dyDescent="0.2">
      <c r="A2033" s="5">
        <v>1972</v>
      </c>
      <c r="B2033" s="138">
        <f>'Cap Outlay Deprec 26'!H8</f>
        <v>3182916</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33487</v>
      </c>
      <c r="D2035" s="2" t="str">
        <f t="shared" si="30"/>
        <v>Error?</v>
      </c>
    </row>
    <row r="2036" spans="1:4" x14ac:dyDescent="0.2">
      <c r="A2036" s="5">
        <v>1975</v>
      </c>
      <c r="B2036" s="138">
        <f>'Cap Outlay Deprec 26'!H13</f>
        <v>1340316</v>
      </c>
      <c r="D2036" s="2" t="str">
        <f t="shared" si="30"/>
        <v>Error?</v>
      </c>
    </row>
    <row r="2037" spans="1:4" x14ac:dyDescent="0.2">
      <c r="A2037" s="5">
        <v>1976</v>
      </c>
      <c r="B2037" s="138">
        <f>'Cap Outlay Deprec 26'!H16</f>
        <v>4556719</v>
      </c>
      <c r="C2037" s="2" t="s">
        <v>594</v>
      </c>
      <c r="D2037" s="2" t="str">
        <f t="shared" si="30"/>
        <v>Error?</v>
      </c>
    </row>
    <row r="2038" spans="1:4" x14ac:dyDescent="0.2">
      <c r="A2038" s="10">
        <v>1977</v>
      </c>
      <c r="D2038" s="2" t="str">
        <f t="shared" si="30"/>
        <v>OK</v>
      </c>
    </row>
    <row r="2039" spans="1:4" x14ac:dyDescent="0.2">
      <c r="A2039" s="5">
        <v>1978</v>
      </c>
      <c r="B2039" s="138">
        <f>'Cap Outlay Deprec 26'!I8</f>
        <v>162318</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505</v>
      </c>
      <c r="D2041" s="2" t="str">
        <f t="shared" si="30"/>
        <v>Error?</v>
      </c>
    </row>
    <row r="2042" spans="1:4" x14ac:dyDescent="0.2">
      <c r="A2042" s="5">
        <v>1981</v>
      </c>
      <c r="B2042" s="138">
        <f>'Cap Outlay Deprec 26'!I13</f>
        <v>73417</v>
      </c>
      <c r="D2042" s="2" t="str">
        <f t="shared" si="30"/>
        <v>Error?</v>
      </c>
    </row>
    <row r="2043" spans="1:4" x14ac:dyDescent="0.2">
      <c r="A2043" s="5">
        <v>1982</v>
      </c>
      <c r="B2043" s="138">
        <f>'Cap Outlay Deprec 26'!I16</f>
        <v>236240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3345234</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33992</v>
      </c>
      <c r="C2053" s="2" t="s">
        <v>594</v>
      </c>
      <c r="D2053" s="2" t="str">
        <f t="shared" si="31"/>
        <v>Error?</v>
      </c>
    </row>
    <row r="2054" spans="1:4" x14ac:dyDescent="0.2">
      <c r="A2054" s="5">
        <v>1993</v>
      </c>
      <c r="B2054" s="138">
        <f>'Cap Outlay Deprec 26'!K13</f>
        <v>1413733</v>
      </c>
      <c r="C2054" s="2" t="s">
        <v>594</v>
      </c>
      <c r="D2054" s="2" t="str">
        <f t="shared" si="31"/>
        <v>Error?</v>
      </c>
    </row>
    <row r="2055" spans="1:4" x14ac:dyDescent="0.2">
      <c r="A2055" s="5">
        <v>1994</v>
      </c>
      <c r="B2055" s="138">
        <f>'Cap Outlay Deprec 26'!K16</f>
        <v>4792959</v>
      </c>
      <c r="C2055" s="2" t="s">
        <v>594</v>
      </c>
      <c r="D2055" s="2" t="str">
        <f t="shared" si="31"/>
        <v>Error?</v>
      </c>
    </row>
    <row r="2056" spans="1:4" x14ac:dyDescent="0.2">
      <c r="A2056" s="5">
        <v>1995</v>
      </c>
      <c r="B2056" s="138">
        <f>'Cap Outlay Deprec 26'!L5</f>
        <v>90524</v>
      </c>
      <c r="C2056" s="2" t="s">
        <v>594</v>
      </c>
      <c r="D2056" s="2" t="str">
        <f t="shared" si="31"/>
        <v>Error?</v>
      </c>
    </row>
    <row r="2057" spans="1:4" x14ac:dyDescent="0.2">
      <c r="A2057" s="5">
        <v>1996</v>
      </c>
      <c r="B2057" s="138">
        <f>'Cap Outlay Deprec 26'!L8</f>
        <v>4723631</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2018</v>
      </c>
      <c r="C2059" s="2" t="s">
        <v>594</v>
      </c>
      <c r="D2059" s="2" t="str">
        <f t="shared" si="31"/>
        <v>Error?</v>
      </c>
    </row>
    <row r="2060" spans="1:4" x14ac:dyDescent="0.2">
      <c r="A2060" s="5">
        <v>1999</v>
      </c>
      <c r="B2060" s="138">
        <f>'Cap Outlay Deprec 26'!L13</f>
        <v>164924</v>
      </c>
      <c r="C2060" s="2" t="s">
        <v>594</v>
      </c>
      <c r="D2060" s="2" t="str">
        <f t="shared" si="31"/>
        <v>Error?</v>
      </c>
    </row>
    <row r="2061" spans="1:4" x14ac:dyDescent="0.2">
      <c r="A2061" s="5">
        <v>2000</v>
      </c>
      <c r="B2061" s="138">
        <f>'Cap Outlay Deprec 26'!L16</f>
        <v>4981097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146175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3084704</v>
      </c>
      <c r="C2551" s="2" t="s">
        <v>594</v>
      </c>
      <c r="D2551" s="2" t="str">
        <f t="shared" si="38"/>
        <v>Error?</v>
      </c>
    </row>
    <row r="2552" spans="1:4" x14ac:dyDescent="0.2">
      <c r="A2552" s="10">
        <v>2491</v>
      </c>
      <c r="D2552" s="2" t="str">
        <f t="shared" si="38"/>
        <v>OK</v>
      </c>
    </row>
    <row r="2553" spans="1:4" x14ac:dyDescent="0.2">
      <c r="A2553" s="5">
        <v>2492</v>
      </c>
      <c r="B2553" s="138">
        <f>'Acct Summary 7-8'!C6</f>
        <v>775758</v>
      </c>
      <c r="C2553" s="2" t="s">
        <v>594</v>
      </c>
      <c r="D2553" s="2" t="str">
        <f t="shared" si="38"/>
        <v>Error?</v>
      </c>
    </row>
    <row r="2554" spans="1:4" x14ac:dyDescent="0.2">
      <c r="A2554" s="5">
        <v>2493</v>
      </c>
      <c r="B2554" s="138">
        <f>'Acct Summary 7-8'!C7</f>
        <v>128506</v>
      </c>
      <c r="C2554" s="2" t="s">
        <v>594</v>
      </c>
      <c r="D2554" s="2" t="str">
        <f t="shared" si="38"/>
        <v>Error?</v>
      </c>
    </row>
    <row r="2555" spans="1:4" x14ac:dyDescent="0.2">
      <c r="A2555" s="5">
        <v>2494</v>
      </c>
      <c r="B2555" s="138">
        <f>'Acct Summary 7-8'!C8</f>
        <v>3988968</v>
      </c>
      <c r="C2555" s="2" t="s">
        <v>594</v>
      </c>
      <c r="D2555" s="2" t="str">
        <f t="shared" si="38"/>
        <v>Error?</v>
      </c>
    </row>
    <row r="2556" spans="1:4" x14ac:dyDescent="0.2">
      <c r="A2556" s="5">
        <v>2495</v>
      </c>
      <c r="B2556" s="138">
        <f>'Acct Summary 7-8'!C12</f>
        <v>1880741</v>
      </c>
      <c r="C2556" s="2" t="s">
        <v>594</v>
      </c>
      <c r="D2556" s="2" t="str">
        <f t="shared" si="38"/>
        <v>Error?</v>
      </c>
    </row>
    <row r="2557" spans="1:4" x14ac:dyDescent="0.2">
      <c r="A2557" s="5">
        <v>2496</v>
      </c>
      <c r="B2557" s="138">
        <f>'Acct Summary 7-8'!C13</f>
        <v>1756124</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3636865</v>
      </c>
      <c r="C2561" s="2" t="s">
        <v>594</v>
      </c>
      <c r="D2561" s="2" t="str">
        <f t="shared" si="39"/>
        <v>Error?</v>
      </c>
    </row>
    <row r="2562" spans="1:4" x14ac:dyDescent="0.2">
      <c r="A2562" s="5">
        <v>2501</v>
      </c>
      <c r="B2562" s="138">
        <f>'Acct Summary 7-8'!C20</f>
        <v>352103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239588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239588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239588</v>
      </c>
      <c r="C2634" s="2" t="s">
        <v>594</v>
      </c>
      <c r="D2634" s="2" t="str">
        <f t="shared" si="40"/>
        <v>Error?</v>
      </c>
    </row>
    <row r="2635" spans="1:4" x14ac:dyDescent="0.2">
      <c r="A2635" s="5">
        <v>2574</v>
      </c>
      <c r="B2635" s="138">
        <f>'Acct Summary 7-8'!E17</f>
        <v>239588</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21</v>
      </c>
      <c r="C2658" s="2" t="s">
        <v>594</v>
      </c>
      <c r="D2658" s="2" t="str">
        <f t="shared" si="40"/>
        <v>Error?</v>
      </c>
    </row>
    <row r="2659" spans="1:4" x14ac:dyDescent="0.2">
      <c r="A2659" s="5">
        <v>2598</v>
      </c>
      <c r="B2659" s="138">
        <f>'Acct Summary 7-8'!H13</f>
        <v>59825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59825</v>
      </c>
      <c r="C2661" s="2" t="s">
        <v>594</v>
      </c>
      <c r="D2661" s="2" t="str">
        <f t="shared" si="40"/>
        <v>Error?</v>
      </c>
    </row>
    <row r="2662" spans="1:4" x14ac:dyDescent="0.2">
      <c r="A2662" s="5">
        <v>2601</v>
      </c>
      <c r="B2662" s="138">
        <f>'Acct Summary 7-8'!H20</f>
        <v>-59804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38706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38706</v>
      </c>
      <c r="D2914" s="2" t="str">
        <f t="shared" si="44"/>
        <v>Error?</v>
      </c>
    </row>
    <row r="2915" spans="1:4" x14ac:dyDescent="0.2">
      <c r="A2915" s="10">
        <v>2854</v>
      </c>
      <c r="D2915" s="2" t="str">
        <f t="shared" si="44"/>
        <v>OK</v>
      </c>
    </row>
    <row r="2916" spans="1:4" x14ac:dyDescent="0.2">
      <c r="A2916" s="5">
        <v>2855</v>
      </c>
      <c r="B2916" s="138">
        <f>'Assets-Liab 5-6'!L34</f>
        <v>38706</v>
      </c>
      <c r="C2916" s="2" t="s">
        <v>594</v>
      </c>
      <c r="D2916" s="2" t="str">
        <f t="shared" si="44"/>
        <v>Error?</v>
      </c>
    </row>
    <row r="2917" spans="1:4" x14ac:dyDescent="0.2">
      <c r="A2917" s="5">
        <v>2856</v>
      </c>
      <c r="B2917" s="138">
        <f>'Assets-Liab 5-6'!L41</f>
        <v>38706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352103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-59804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944705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4099</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38706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157613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4146581</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239588</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21</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157613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3794478</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239588</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59825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1740000</v>
      </c>
      <c r="C4171" s="2" t="s">
        <v>594</v>
      </c>
      <c r="D4171" s="2" t="str">
        <f t="shared" si="64"/>
        <v>Error?</v>
      </c>
    </row>
    <row r="4172" spans="1:4" x14ac:dyDescent="0.2">
      <c r="A4172" s="5">
        <v>4111</v>
      </c>
      <c r="B4172" s="138">
        <f>'Short-Term Long-Term Debt 24'!J49</f>
        <v>1740000</v>
      </c>
      <c r="C4172" s="2" t="s">
        <v>594</v>
      </c>
      <c r="D4172" s="2" t="str">
        <f t="shared" si="64"/>
        <v>Error?</v>
      </c>
    </row>
    <row r="4173" spans="1:4" x14ac:dyDescent="0.2">
      <c r="A4173" s="5">
        <v>4112</v>
      </c>
      <c r="B4173" s="138">
        <f>'Short-Term Long-Term Debt 24'!H49</f>
        <v>185000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944705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1740000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2974596</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17985</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2992581</v>
      </c>
      <c r="C5087" s="2" t="s">
        <v>594</v>
      </c>
      <c r="D5087" s="2" t="str">
        <f t="shared" si="78"/>
        <v>Error?</v>
      </c>
    </row>
    <row r="5088" spans="1:4" x14ac:dyDescent="0.2">
      <c r="A5088" s="5">
        <v>5027</v>
      </c>
      <c r="B5088" s="138">
        <f>'Revenues 9-14'!C65</f>
        <v>1124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1124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34100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34100</v>
      </c>
      <c r="C5102" s="2" t="s">
        <v>594</v>
      </c>
      <c r="D5102" s="2" t="str">
        <f t="shared" si="78"/>
        <v>Error?</v>
      </c>
    </row>
    <row r="5103" spans="1:4" x14ac:dyDescent="0.2">
      <c r="A5103" s="5">
        <v>5042</v>
      </c>
      <c r="B5103" s="138">
        <f>'Revenues 9-14'!C84</f>
        <v>7003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7003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36964</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12932</v>
      </c>
      <c r="D5119" s="2" t="str">
        <f t="shared" ref="D5119:D5182" si="79">IF(ISBLANK(B5119),"OK",IF(A5119-B5119=0,"OK","Error?"))</f>
        <v>Error?</v>
      </c>
    </row>
    <row r="5120" spans="1:4" x14ac:dyDescent="0.2">
      <c r="A5120" s="5">
        <v>5059</v>
      </c>
      <c r="B5120" s="138">
        <f>'Revenues 9-14'!C108</f>
        <v>49896</v>
      </c>
      <c r="C5120" s="2" t="s">
        <v>594</v>
      </c>
      <c r="D5120" s="2" t="str">
        <f t="shared" si="79"/>
        <v>Error?</v>
      </c>
    </row>
    <row r="5121" spans="1:4" x14ac:dyDescent="0.2">
      <c r="A5121" s="5">
        <v>5060</v>
      </c>
      <c r="B5121" s="138">
        <f>'Revenues 9-14'!C109</f>
        <v>3084704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765758</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775758</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775758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775758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128506</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128506</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128506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128506</v>
      </c>
      <c r="C5326" s="2" t="s">
        <v>594</v>
      </c>
      <c r="D5326" s="2" t="str">
        <f t="shared" si="82"/>
        <v>Error?</v>
      </c>
    </row>
    <row r="5327" spans="1:4" x14ac:dyDescent="0.2">
      <c r="A5327" s="5">
        <v>5266</v>
      </c>
      <c r="B5327" s="138">
        <f>'Revenues 9-14'!C275</f>
        <v>3988968</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239588</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239588</v>
      </c>
      <c r="C5526" s="2" t="s">
        <v>594</v>
      </c>
      <c r="D5526" s="2" t="str">
        <f t="shared" si="85"/>
        <v>Error?</v>
      </c>
    </row>
    <row r="5527" spans="1:4" x14ac:dyDescent="0.2">
      <c r="A5527" s="5">
        <v>5466</v>
      </c>
      <c r="B5527" s="138">
        <f>'Revenues 9-14'!E109</f>
        <v>239588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239588</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21</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21</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21</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352103</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-59804</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0.37271211648080615</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f>'Acct Summary 7-8'!H83</f>
        <v>-14.589899975603807</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10000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236240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75276</v>
      </c>
      <c r="D7797" s="2" t="str">
        <f t="shared" si="127"/>
        <v>Error?</v>
      </c>
      <c r="E7797" s="4" t="s">
        <v>2019</v>
      </c>
    </row>
    <row r="7798" spans="1:5" x14ac:dyDescent="0.2">
      <c r="A7798">
        <v>7737</v>
      </c>
      <c r="B7798" s="138">
        <f>'Contracts Paid in CY 29'!F141</f>
        <v>51783</v>
      </c>
      <c r="D7798" s="2" t="str">
        <f t="shared" si="127"/>
        <v>Error?</v>
      </c>
      <c r="E7798" s="4" t="s">
        <v>2019</v>
      </c>
    </row>
    <row r="7799" spans="1:5" x14ac:dyDescent="0.2">
      <c r="A7799">
        <v>7738</v>
      </c>
      <c r="B7799" s="138">
        <f>'Contracts Paid in CY 29'!G141</f>
        <v>23493</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Wilco Area Career Center</v>
      </c>
      <c r="B7" s="2403"/>
      <c r="C7" s="2403"/>
      <c r="D7" s="2440"/>
      <c r="E7" s="2441" t="str">
        <f>COVER!A13</f>
        <v>56-000-0000-40</v>
      </c>
      <c r="F7" s="2442"/>
      <c r="G7" s="2409" t="str">
        <f>COVER!T23</f>
        <v>066-005100</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Mack &amp; Associates, P.C.</v>
      </c>
      <c r="H9" s="2416"/>
      <c r="I9" s="2416"/>
      <c r="J9" s="2416"/>
      <c r="K9" s="2416"/>
      <c r="L9" s="2417"/>
    </row>
    <row r="10" spans="1:29" ht="13.5" customHeight="1" x14ac:dyDescent="0.2">
      <c r="A10" s="2399" t="str">
        <f>COVER!A38</f>
        <v>Elizabeth Kaufman</v>
      </c>
      <c r="B10" s="2400"/>
      <c r="C10" s="2400"/>
      <c r="D10" s="2400"/>
      <c r="E10" s="2400"/>
      <c r="F10" s="2401"/>
      <c r="G10" s="2415" t="str">
        <f>COVER!T17</f>
        <v>116 E. Washington St., Suite One</v>
      </c>
      <c r="H10" s="2428"/>
      <c r="I10" s="2428"/>
      <c r="J10" s="2428"/>
      <c r="K10" s="2428"/>
      <c r="L10" s="2429"/>
    </row>
    <row r="11" spans="1:29" ht="13.5" customHeight="1" x14ac:dyDescent="0.2">
      <c r="A11" s="1185" t="s">
        <v>1599</v>
      </c>
      <c r="B11" s="1186"/>
      <c r="C11" s="1187"/>
      <c r="D11" s="1192"/>
      <c r="E11" s="1187"/>
      <c r="F11" s="1191"/>
      <c r="G11" s="2415" t="str">
        <f>COVER!T19</f>
        <v>Morris</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tmack@mackcpas.com</v>
      </c>
      <c r="J13" s="2437"/>
      <c r="K13" s="2437"/>
      <c r="L13" s="2438"/>
    </row>
    <row r="14" spans="1:29" ht="13.5" customHeight="1" x14ac:dyDescent="0.2">
      <c r="A14" s="2415" t="str">
        <f>COVER!A19</f>
        <v>500 Wilco Boulevard</v>
      </c>
      <c r="B14" s="2428"/>
      <c r="C14" s="2428"/>
      <c r="D14" s="2428"/>
      <c r="E14" s="2428"/>
      <c r="F14" s="2429"/>
      <c r="G14" s="1196" t="s">
        <v>1247</v>
      </c>
      <c r="H14" s="1194"/>
      <c r="I14" s="1194"/>
      <c r="J14" s="1194"/>
      <c r="K14" s="1194"/>
      <c r="L14" s="1195"/>
    </row>
    <row r="15" spans="1:29" ht="13.5" customHeight="1" x14ac:dyDescent="0.2">
      <c r="A15" s="2415" t="str">
        <f>COVER!A21</f>
        <v xml:space="preserve">Romeoville </v>
      </c>
      <c r="B15" s="2428"/>
      <c r="C15" s="2428"/>
      <c r="D15" s="2428"/>
      <c r="E15" s="2428"/>
      <c r="F15" s="2429"/>
      <c r="G15" s="2425" t="str">
        <f>COVER!T15</f>
        <v>Tawnya Mack, CPA</v>
      </c>
      <c r="H15" s="2426"/>
      <c r="I15" s="2426"/>
      <c r="J15" s="2426"/>
      <c r="K15" s="2426"/>
      <c r="L15" s="2427"/>
    </row>
    <row r="16" spans="1:29" ht="12.2" customHeight="1" x14ac:dyDescent="0.2">
      <c r="A16" s="2405">
        <f>COVER!A25</f>
        <v>60441</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815-942-3306</v>
      </c>
      <c r="H18" s="2403"/>
      <c r="I18" s="2403"/>
      <c r="J18" s="2403"/>
      <c r="K18" s="2402" t="str">
        <f>COVER!X21</f>
        <v>815-942-9430</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Wilco Area Career Center</v>
      </c>
      <c r="B1" s="2439"/>
      <c r="C1" s="2439"/>
      <c r="D1" s="2439"/>
    </row>
    <row r="2" spans="1:11" s="1215" customFormat="1" ht="12.75" x14ac:dyDescent="0.2">
      <c r="A2" s="2444" t="str">
        <f>'Single Audit Cover'!E7</f>
        <v>56-000-0000-40</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abSelected="1" topLeftCell="A7"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Wilco Area Career Center</v>
      </c>
      <c r="B1" s="2447"/>
      <c r="C1" s="2447"/>
      <c r="D1" s="2447"/>
      <c r="E1" s="2447"/>
    </row>
    <row r="2" spans="1:5" x14ac:dyDescent="0.2">
      <c r="A2" s="2448" t="str">
        <f>'Single Audit Cover'!E7</f>
        <v>56-000-0000-40</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128506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128506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128506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128506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Wilco Area Career Center</v>
      </c>
      <c r="B1" s="2452"/>
      <c r="C1" s="2452"/>
      <c r="D1" s="2452"/>
      <c r="E1" s="2452"/>
      <c r="F1" s="2452"/>
    </row>
    <row r="2" spans="1:7" ht="13.5" customHeight="1" x14ac:dyDescent="0.2">
      <c r="A2" s="2453" t="str">
        <f>'Single Audit Cover'!E7</f>
        <v>56-000-0000-40</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3" colorId="8" zoomScale="110" zoomScaleNormal="11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2085</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t="s">
        <v>2094</v>
      </c>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Wilco Area Career Center</v>
      </c>
      <c r="C1" s="2464"/>
      <c r="D1" s="2464"/>
      <c r="E1" s="2464"/>
      <c r="F1" s="2464"/>
      <c r="G1" s="2464"/>
      <c r="H1" s="2464"/>
      <c r="I1" s="2464"/>
      <c r="J1" s="2464"/>
      <c r="K1" s="2464"/>
      <c r="L1" s="2464"/>
      <c r="M1" s="2464"/>
    </row>
    <row r="2" spans="2:14" ht="15" x14ac:dyDescent="0.2">
      <c r="B2" s="2453" t="str">
        <f>'Single Audit Cover'!E7</f>
        <v>56-000-0000-40</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Wilco Area Career Center</v>
      </c>
      <c r="C1" s="2472"/>
      <c r="D1" s="2472"/>
      <c r="E1" s="2472"/>
      <c r="F1" s="2472"/>
      <c r="G1" s="2472"/>
      <c r="H1" s="2472"/>
      <c r="I1" s="2472"/>
      <c r="J1" s="1422"/>
    </row>
    <row r="2" spans="2:10" s="317" customFormat="1" ht="12.75" customHeight="1" x14ac:dyDescent="0.2">
      <c r="B2" s="2473" t="str">
        <f>'Single Audit Cover'!E7</f>
        <v>56-000-0000-40</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1951</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Wilco Area Career Center</v>
      </c>
      <c r="C1" s="2471"/>
      <c r="D1" s="2471"/>
      <c r="E1" s="2471"/>
      <c r="F1" s="2471"/>
      <c r="G1" s="2471"/>
      <c r="H1" s="2471"/>
      <c r="I1" s="2471"/>
      <c r="J1" s="2471"/>
      <c r="K1" s="2471"/>
      <c r="L1" s="1374"/>
      <c r="M1" s="1374"/>
    </row>
    <row r="2" spans="1:13" ht="12" customHeight="1" x14ac:dyDescent="0.2">
      <c r="B2" s="2473" t="str">
        <f>'Single Audit Cover'!E7</f>
        <v>56-000-0000-40</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Wilco Area Career Center</v>
      </c>
      <c r="C1" s="2498"/>
      <c r="D1" s="2498"/>
      <c r="E1" s="2498"/>
      <c r="F1" s="2498"/>
      <c r="G1" s="2498"/>
      <c r="H1" s="2498"/>
      <c r="I1" s="2498"/>
      <c r="J1" s="2498"/>
      <c r="K1" s="2498"/>
      <c r="L1" s="1465"/>
    </row>
    <row r="2" spans="1:12" ht="12.75" customHeight="1" x14ac:dyDescent="0.2">
      <c r="B2" s="2499" t="str">
        <f>'Single Audit Cover'!E7</f>
        <v>56-000-0000-40</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Wilco Area Career Center</v>
      </c>
      <c r="C1" s="2471"/>
      <c r="D1" s="2471"/>
      <c r="E1" s="1491"/>
    </row>
    <row r="2" spans="2:5" s="1282" customFormat="1" ht="12.75" customHeight="1" x14ac:dyDescent="0.2">
      <c r="B2" s="2473" t="str">
        <f>'Single Audit Cover'!E7</f>
        <v>56-000-0000-40</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6"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3988968</v>
      </c>
      <c r="E16" s="356"/>
      <c r="F16" s="1755">
        <f>SUM('Acct Summary 7-8'!C17,'Acct Summary 7-8'!D17,'Acct Summary 7-8'!F17)</f>
        <v>3636865</v>
      </c>
      <c r="G16" s="356"/>
      <c r="H16" s="1755">
        <f>SUM(D16-F16)</f>
        <v>352103</v>
      </c>
      <c r="I16" s="222"/>
      <c r="J16" s="1755">
        <f>SUM('Acct Summary 7-8'!C81,'Acct Summary 7-8'!D81,'Acct Summary 7-8'!F81,'Acct Summary 7-8'!I81)</f>
        <v>944705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1740000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Wilco Area Career Center</v>
      </c>
      <c r="E7" s="391"/>
      <c r="G7" s="252"/>
      <c r="H7" s="387"/>
      <c r="I7" s="387"/>
      <c r="J7" s="387"/>
      <c r="K7" s="387"/>
      <c r="L7" s="329"/>
      <c r="M7" s="329"/>
      <c r="N7" s="329"/>
      <c r="O7" s="329"/>
      <c r="P7" s="329"/>
    </row>
    <row r="8" spans="1:18" ht="12.75" x14ac:dyDescent="0.2">
      <c r="A8" s="329"/>
      <c r="B8" s="329"/>
      <c r="C8" s="389" t="s">
        <v>1187</v>
      </c>
      <c r="D8" s="392" t="str">
        <f>COVER!A13</f>
        <v>56-000-0000-40</v>
      </c>
      <c r="E8" s="393"/>
      <c r="G8" s="329"/>
      <c r="H8" s="329"/>
      <c r="I8" s="329"/>
      <c r="J8" s="329"/>
      <c r="K8" s="329"/>
      <c r="L8" s="329"/>
      <c r="M8" s="329"/>
      <c r="N8" s="329"/>
      <c r="O8" s="329"/>
      <c r="P8" s="329"/>
    </row>
    <row r="9" spans="1:18" ht="12.75" x14ac:dyDescent="0.2">
      <c r="A9" s="329"/>
      <c r="B9" s="329"/>
      <c r="C9" s="389" t="s">
        <v>737</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944705</v>
      </c>
      <c r="I12" s="404"/>
      <c r="J12" s="404"/>
      <c r="K12" s="405">
        <f>TRUNC((H12/H13*100000),5)/100000</f>
        <v>0.2368294255</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3988968</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3636865</v>
      </c>
      <c r="I17" s="404"/>
      <c r="J17" s="416"/>
      <c r="K17" s="405">
        <f>TRUNC((H17/H18*100000),5)/100000</f>
        <v>0.91173080350000002</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3988968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944705</v>
      </c>
      <c r="I24" s="422"/>
      <c r="J24" s="422"/>
      <c r="K24" s="423">
        <f>TRUNC(((H24/H25*100000)/100000),2)</f>
        <v>93.51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10102.40278</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1740000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activeCell="A47" sqref="A47"/>
      <selection pane="bottomLeft" activeCell="B41" sqref="B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944705</v>
      </c>
      <c r="D4" s="466"/>
      <c r="E4" s="466"/>
      <c r="F4" s="466"/>
      <c r="G4" s="466"/>
      <c r="H4" s="466">
        <v>4099</v>
      </c>
      <c r="I4" s="466"/>
      <c r="J4" s="467"/>
      <c r="K4" s="466"/>
      <c r="L4" s="466">
        <v>38706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944705</v>
      </c>
      <c r="D13" s="1759">
        <f t="shared" ref="D13:L13" si="0">SUM(D4:D12)</f>
        <v>0</v>
      </c>
      <c r="E13" s="1759">
        <f t="shared" si="0"/>
        <v>0</v>
      </c>
      <c r="F13" s="1759">
        <f t="shared" si="0"/>
        <v>0</v>
      </c>
      <c r="G13" s="1759">
        <f t="shared" si="0"/>
        <v>0</v>
      </c>
      <c r="H13" s="1759">
        <f t="shared" si="0"/>
        <v>4099</v>
      </c>
      <c r="I13" s="1759">
        <f t="shared" si="0"/>
        <v>0</v>
      </c>
      <c r="J13" s="1759">
        <f t="shared" si="0"/>
        <v>0</v>
      </c>
      <c r="K13" s="1759">
        <f t="shared" si="0"/>
        <v>0</v>
      </c>
      <c r="L13" s="1759">
        <f t="shared" si="0"/>
        <v>38706</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90524</v>
      </c>
      <c r="N16" s="484"/>
    </row>
    <row r="17" spans="1:14" s="485" customFormat="1" ht="12.75" customHeight="1" x14ac:dyDescent="0.2">
      <c r="A17" s="482" t="s">
        <v>1470</v>
      </c>
      <c r="B17" s="483">
        <v>230</v>
      </c>
      <c r="C17" s="477"/>
      <c r="D17" s="477"/>
      <c r="E17" s="477"/>
      <c r="F17" s="477"/>
      <c r="G17" s="477"/>
      <c r="H17" s="477"/>
      <c r="I17" s="477"/>
      <c r="J17" s="477"/>
      <c r="K17" s="477"/>
      <c r="L17" s="477"/>
      <c r="M17" s="467">
        <v>4723631</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166942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1740000</v>
      </c>
    </row>
    <row r="23" spans="1:14" ht="13.5" customHeight="1" thickBot="1" x14ac:dyDescent="0.25">
      <c r="A23" s="1758" t="s">
        <v>664</v>
      </c>
      <c r="B23" s="1763"/>
      <c r="C23" s="468"/>
      <c r="D23" s="468"/>
      <c r="E23" s="468"/>
      <c r="F23" s="468"/>
      <c r="G23" s="468"/>
      <c r="H23" s="468"/>
      <c r="I23" s="468"/>
      <c r="J23" s="468"/>
      <c r="K23" s="468"/>
      <c r="L23" s="468"/>
      <c r="M23" s="1710">
        <f>SUM(M15:M22)</f>
        <v>4981097</v>
      </c>
      <c r="N23" s="1710">
        <f>SUM(N21:N22)</f>
        <v>1740000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38706</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38706</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1740000</v>
      </c>
    </row>
    <row r="37" spans="1:14" ht="13.5" thickBot="1" x14ac:dyDescent="0.25">
      <c r="A37" s="1758" t="s">
        <v>674</v>
      </c>
      <c r="B37" s="1763"/>
      <c r="C37" s="477"/>
      <c r="D37" s="477"/>
      <c r="E37" s="477"/>
      <c r="F37" s="477"/>
      <c r="G37" s="477"/>
      <c r="H37" s="477"/>
      <c r="I37" s="477"/>
      <c r="J37" s="477"/>
      <c r="K37" s="477"/>
      <c r="L37" s="480"/>
      <c r="M37" s="468"/>
      <c r="N37" s="1710">
        <f>SUM(N36:N36)</f>
        <v>1740000</v>
      </c>
    </row>
    <row r="38" spans="1:14" s="329" customFormat="1" ht="13.5" customHeight="1" thickTop="1" x14ac:dyDescent="0.2">
      <c r="A38" s="496" t="s">
        <v>440</v>
      </c>
      <c r="B38" s="483">
        <v>714</v>
      </c>
      <c r="C38" s="466">
        <v>146175</v>
      </c>
      <c r="D38" s="466"/>
      <c r="E38" s="466"/>
      <c r="F38" s="466"/>
      <c r="G38" s="466"/>
      <c r="H38" s="466"/>
      <c r="I38" s="466"/>
      <c r="J38" s="467"/>
      <c r="K38" s="466"/>
      <c r="L38" s="481"/>
      <c r="M38" s="497"/>
      <c r="N38" s="497"/>
    </row>
    <row r="39" spans="1:14" s="329" customFormat="1" ht="13.5" customHeight="1" x14ac:dyDescent="0.2">
      <c r="A39" s="496" t="s">
        <v>360</v>
      </c>
      <c r="B39" s="483">
        <v>730</v>
      </c>
      <c r="C39" s="466">
        <v>798530</v>
      </c>
      <c r="D39" s="466"/>
      <c r="E39" s="466"/>
      <c r="F39" s="466"/>
      <c r="G39" s="466"/>
      <c r="H39" s="466">
        <v>4099</v>
      </c>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4981097</v>
      </c>
      <c r="N40" s="497"/>
    </row>
    <row r="41" spans="1:14" ht="13.5" customHeight="1" thickBot="1" x14ac:dyDescent="0.25">
      <c r="A41" s="1758" t="s">
        <v>676</v>
      </c>
      <c r="B41" s="1728"/>
      <c r="C41" s="1710">
        <f>(SUM(C34,C37,C38,C39))</f>
        <v>944705</v>
      </c>
      <c r="D41" s="1710">
        <f t="shared" ref="D41:L41" si="2">SUM(D34,D37,D38:D39)</f>
        <v>0</v>
      </c>
      <c r="E41" s="1710">
        <f t="shared" si="2"/>
        <v>0</v>
      </c>
      <c r="F41" s="1710">
        <f t="shared" si="2"/>
        <v>0</v>
      </c>
      <c r="G41" s="1710">
        <f t="shared" si="2"/>
        <v>0</v>
      </c>
      <c r="H41" s="1710">
        <f t="shared" si="2"/>
        <v>4099</v>
      </c>
      <c r="I41" s="1710">
        <f t="shared" si="2"/>
        <v>0</v>
      </c>
      <c r="J41" s="1710">
        <f t="shared" si="2"/>
        <v>0</v>
      </c>
      <c r="K41" s="1710">
        <f t="shared" si="2"/>
        <v>0</v>
      </c>
      <c r="L41" s="1710">
        <f t="shared" si="2"/>
        <v>38706</v>
      </c>
      <c r="M41" s="1710">
        <f>SUM(M40)</f>
        <v>4981097</v>
      </c>
      <c r="N41" s="1710">
        <f>SUM(N37)</f>
        <v>1740000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J79" sqref="J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3084704</v>
      </c>
      <c r="D4" s="1764">
        <f>'Revenues 9-14'!D109</f>
        <v>0</v>
      </c>
      <c r="E4" s="1764">
        <f>'Revenues 9-14'!E109</f>
        <v>239588</v>
      </c>
      <c r="F4" s="1764">
        <f>'Revenues 9-14'!F109</f>
        <v>0</v>
      </c>
      <c r="G4" s="1764">
        <f>'Revenues 9-14'!G109</f>
        <v>0</v>
      </c>
      <c r="H4" s="1764">
        <f>'Revenues 9-14'!H109</f>
        <v>21</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775758</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128506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3988968</v>
      </c>
      <c r="D8" s="1710">
        <f t="shared" ref="D8:K8" si="0">SUM(D4:D7)</f>
        <v>0</v>
      </c>
      <c r="E8" s="1710">
        <f t="shared" si="0"/>
        <v>239588</v>
      </c>
      <c r="F8" s="1710">
        <f t="shared" si="0"/>
        <v>0</v>
      </c>
      <c r="G8" s="1710">
        <f t="shared" si="0"/>
        <v>0</v>
      </c>
      <c r="H8" s="1710">
        <f t="shared" si="0"/>
        <v>21</v>
      </c>
      <c r="I8" s="1710">
        <f t="shared" si="0"/>
        <v>0</v>
      </c>
      <c r="J8" s="1710">
        <f t="shared" si="0"/>
        <v>0</v>
      </c>
      <c r="K8" s="1710">
        <f t="shared" si="0"/>
        <v>0</v>
      </c>
      <c r="L8" s="347"/>
    </row>
    <row r="9" spans="1:13" ht="15.75" thickTop="1" x14ac:dyDescent="0.2">
      <c r="A9" s="514" t="s">
        <v>1752</v>
      </c>
      <c r="B9" s="515">
        <v>3998</v>
      </c>
      <c r="C9" s="481">
        <v>157613</v>
      </c>
      <c r="D9" s="516"/>
      <c r="E9" s="481"/>
      <c r="F9" s="481"/>
      <c r="G9" s="517"/>
      <c r="H9" s="481"/>
      <c r="I9" s="509" t="s">
        <v>1231</v>
      </c>
      <c r="J9" s="478"/>
      <c r="K9" s="481"/>
      <c r="L9" s="347"/>
    </row>
    <row r="10" spans="1:13" s="519" customFormat="1" ht="13.5" thickBot="1" x14ac:dyDescent="0.25">
      <c r="A10" s="1758" t="s">
        <v>1235</v>
      </c>
      <c r="B10" s="1731"/>
      <c r="C10" s="1710">
        <f>SUM(C8:C9)</f>
        <v>4146581</v>
      </c>
      <c r="D10" s="1710">
        <f t="shared" ref="D10:K10" si="1">SUM(D8:D9)</f>
        <v>0</v>
      </c>
      <c r="E10" s="1710">
        <f t="shared" si="1"/>
        <v>239588</v>
      </c>
      <c r="F10" s="1710">
        <f t="shared" si="1"/>
        <v>0</v>
      </c>
      <c r="G10" s="1710">
        <f t="shared" si="1"/>
        <v>0</v>
      </c>
      <c r="H10" s="1710">
        <f t="shared" si="1"/>
        <v>21</v>
      </c>
      <c r="I10" s="1710">
        <f t="shared" si="1"/>
        <v>0</v>
      </c>
      <c r="J10" s="1710">
        <f t="shared" si="1"/>
        <v>0</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1880741</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1756124</v>
      </c>
      <c r="D13" s="1765">
        <f>'Expenditures 15-22'!K129</f>
        <v>0</v>
      </c>
      <c r="E13" s="469" t="s">
        <v>1231</v>
      </c>
      <c r="F13" s="1765">
        <f>'Expenditures 15-22'!K184</f>
        <v>0</v>
      </c>
      <c r="G13" s="1765">
        <f>'Expenditures 15-22'!K279</f>
        <v>0</v>
      </c>
      <c r="H13" s="1765">
        <f>'Expenditures 15-22'!K303</f>
        <v>59825</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239588</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3636865</v>
      </c>
      <c r="D17" s="1710">
        <f t="shared" si="2"/>
        <v>0</v>
      </c>
      <c r="E17" s="1710">
        <f t="shared" si="2"/>
        <v>239588</v>
      </c>
      <c r="F17" s="1710">
        <f t="shared" si="2"/>
        <v>0</v>
      </c>
      <c r="G17" s="1710">
        <f t="shared" si="2"/>
        <v>0</v>
      </c>
      <c r="H17" s="1710">
        <f t="shared" si="2"/>
        <v>59825</v>
      </c>
      <c r="I17" s="468"/>
      <c r="J17" s="1710">
        <f>SUM(J12:J16)</f>
        <v>0</v>
      </c>
      <c r="K17" s="1710">
        <f>SUM(K12:K16)</f>
        <v>0</v>
      </c>
      <c r="L17" s="347"/>
    </row>
    <row r="18" spans="1:12" ht="15" customHeight="1" thickTop="1" x14ac:dyDescent="0.2">
      <c r="A18" s="1766" t="s">
        <v>1753</v>
      </c>
      <c r="B18" s="1767">
        <v>4180</v>
      </c>
      <c r="C18" s="1764">
        <f t="shared" ref="C18:H18" si="3">C9</f>
        <v>157613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3794478</v>
      </c>
      <c r="D19" s="1710">
        <f t="shared" si="4"/>
        <v>0</v>
      </c>
      <c r="E19" s="1710">
        <f t="shared" si="4"/>
        <v>239588</v>
      </c>
      <c r="F19" s="1710">
        <f t="shared" si="4"/>
        <v>0</v>
      </c>
      <c r="G19" s="1710">
        <f t="shared" si="4"/>
        <v>0</v>
      </c>
      <c r="H19" s="1710">
        <f t="shared" si="4"/>
        <v>59825</v>
      </c>
      <c r="I19" s="468"/>
      <c r="J19" s="1710">
        <f>SUM(J17:J18)</f>
        <v>0</v>
      </c>
      <c r="K19" s="1710">
        <f>SUM(K17:K18)</f>
        <v>0</v>
      </c>
      <c r="L19" s="347"/>
    </row>
    <row r="20" spans="1:12" ht="16.5" thickTop="1" thickBot="1" x14ac:dyDescent="0.25">
      <c r="A20" s="2144" t="s">
        <v>1754</v>
      </c>
      <c r="B20" s="2145"/>
      <c r="C20" s="1768">
        <f>C8-C17</f>
        <v>352103</v>
      </c>
      <c r="D20" s="1768">
        <f t="shared" ref="D20:K20" si="5">D8-D17</f>
        <v>0</v>
      </c>
      <c r="E20" s="1768">
        <f t="shared" si="5"/>
        <v>0</v>
      </c>
      <c r="F20" s="1768">
        <f t="shared" si="5"/>
        <v>0</v>
      </c>
      <c r="G20" s="1768">
        <f t="shared" si="5"/>
        <v>0</v>
      </c>
      <c r="H20" s="1768">
        <f t="shared" si="5"/>
        <v>-59804</v>
      </c>
      <c r="I20" s="1768">
        <f t="shared" si="5"/>
        <v>0</v>
      </c>
      <c r="J20" s="1768">
        <f t="shared" si="5"/>
        <v>0</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352103</v>
      </c>
      <c r="D78" s="1724">
        <f t="shared" si="9"/>
        <v>0</v>
      </c>
      <c r="E78" s="1724">
        <f t="shared" si="9"/>
        <v>0</v>
      </c>
      <c r="F78" s="1724">
        <f t="shared" si="9"/>
        <v>0</v>
      </c>
      <c r="G78" s="1724">
        <f t="shared" si="9"/>
        <v>0</v>
      </c>
      <c r="H78" s="1724">
        <f t="shared" si="9"/>
        <v>-59804</v>
      </c>
      <c r="I78" s="1724">
        <f t="shared" si="9"/>
        <v>0</v>
      </c>
      <c r="J78" s="1724">
        <f t="shared" si="9"/>
        <v>0</v>
      </c>
      <c r="K78" s="1724">
        <f t="shared" si="9"/>
        <v>0</v>
      </c>
      <c r="L78" s="533"/>
    </row>
    <row r="79" spans="1:12" ht="13.5" thickTop="1" x14ac:dyDescent="0.2">
      <c r="A79" s="1516" t="s">
        <v>2071</v>
      </c>
      <c r="B79" s="534"/>
      <c r="C79" s="478">
        <v>592602</v>
      </c>
      <c r="D79" s="535"/>
      <c r="E79" s="535"/>
      <c r="F79" s="535"/>
      <c r="G79" s="535"/>
      <c r="H79" s="535">
        <v>63903</v>
      </c>
      <c r="I79" s="535"/>
      <c r="J79" s="535"/>
      <c r="K79" s="535"/>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10">
        <f>(SUM(C78:C80))</f>
        <v>944705</v>
      </c>
      <c r="D81" s="1710">
        <f>SUM(D78:D80)</f>
        <v>0</v>
      </c>
      <c r="E81" s="1710">
        <f t="shared" ref="E81:K81" si="10">SUM(E78:E80)</f>
        <v>0</v>
      </c>
      <c r="F81" s="1710">
        <f t="shared" si="10"/>
        <v>0</v>
      </c>
      <c r="G81" s="1710">
        <f t="shared" si="10"/>
        <v>0</v>
      </c>
      <c r="H81" s="1710">
        <f t="shared" si="10"/>
        <v>4099</v>
      </c>
      <c r="I81" s="1710">
        <f t="shared" si="10"/>
        <v>0</v>
      </c>
      <c r="J81" s="1710">
        <f t="shared" si="10"/>
        <v>0</v>
      </c>
      <c r="K81" s="1710">
        <f t="shared" si="10"/>
        <v>0</v>
      </c>
      <c r="L81" s="347"/>
    </row>
    <row r="82" spans="1:12" ht="0.75" customHeight="1" thickTop="1" thickBot="1" x14ac:dyDescent="0.25">
      <c r="A82" s="536" t="s">
        <v>361</v>
      </c>
      <c r="B82" s="537"/>
      <c r="C82" s="538">
        <f>(C81-C79)</f>
        <v>352103</v>
      </c>
      <c r="D82" s="538">
        <f t="shared" ref="D82:K82" si="11">(D81-D79)</f>
        <v>0</v>
      </c>
      <c r="E82" s="538">
        <f t="shared" si="11"/>
        <v>0</v>
      </c>
      <c r="F82" s="538">
        <f t="shared" si="11"/>
        <v>0</v>
      </c>
      <c r="G82" s="538">
        <f t="shared" si="11"/>
        <v>0</v>
      </c>
      <c r="H82" s="538">
        <f t="shared" si="11"/>
        <v>-59804</v>
      </c>
      <c r="I82" s="538">
        <f t="shared" si="11"/>
        <v>0</v>
      </c>
      <c r="J82" s="538">
        <f t="shared" si="11"/>
        <v>0</v>
      </c>
      <c r="K82" s="538">
        <f t="shared" si="11"/>
        <v>0</v>
      </c>
    </row>
    <row r="83" spans="1:12" ht="14.25" hidden="1" thickTop="1" thickBot="1" x14ac:dyDescent="0.25">
      <c r="A83" s="539" t="s">
        <v>362</v>
      </c>
      <c r="B83" s="464"/>
      <c r="C83" s="540">
        <f>C82/C81</f>
        <v>0.37271211648080615</v>
      </c>
      <c r="D83" s="540" t="e">
        <f t="shared" ref="D83:K83" si="12">D82/D81</f>
        <v>#DIV/0!</v>
      </c>
      <c r="E83" s="540" t="e">
        <f t="shared" si="12"/>
        <v>#DIV/0!</v>
      </c>
      <c r="F83" s="540" t="e">
        <f t="shared" si="12"/>
        <v>#DIV/0!</v>
      </c>
      <c r="G83" s="540" t="e">
        <f t="shared" si="12"/>
        <v>#DIV/0!</v>
      </c>
      <c r="H83" s="540">
        <f t="shared" si="12"/>
        <v>-14.589899975603807</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14" activePane="bottomLeft" state="frozen"/>
      <selection activeCell="A47" sqref="A47"/>
      <selection pane="bottomLeft" activeCell="C136" sqref="C13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v>2974596</v>
      </c>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v>17985</v>
      </c>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2992581</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1124</v>
      </c>
      <c r="D65" s="466"/>
      <c r="E65" s="466"/>
      <c r="F65" s="467"/>
      <c r="G65" s="466"/>
      <c r="H65" s="466">
        <v>21</v>
      </c>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1124</v>
      </c>
      <c r="D67" s="1710">
        <f t="shared" ref="D67:K67" si="2">SUM(D65:D66)</f>
        <v>0</v>
      </c>
      <c r="E67" s="1710">
        <f t="shared" si="2"/>
        <v>0</v>
      </c>
      <c r="F67" s="1710">
        <f t="shared" si="2"/>
        <v>0</v>
      </c>
      <c r="G67" s="1710">
        <f t="shared" si="2"/>
        <v>0</v>
      </c>
      <c r="H67" s="1710">
        <f t="shared" si="2"/>
        <v>21</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34100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34100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7003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7003</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v>239588</v>
      </c>
      <c r="F104" s="467"/>
      <c r="G104" s="467"/>
      <c r="H104" s="466"/>
      <c r="I104" s="468"/>
      <c r="J104" s="468"/>
      <c r="K104" s="468"/>
    </row>
    <row r="105" spans="1:12" ht="12.75" customHeight="1" x14ac:dyDescent="0.2">
      <c r="A105" s="463" t="s">
        <v>876</v>
      </c>
      <c r="B105" s="470">
        <v>1992</v>
      </c>
      <c r="C105" s="466">
        <v>36964</v>
      </c>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12932</v>
      </c>
      <c r="D107" s="466"/>
      <c r="E107" s="466"/>
      <c r="F107" s="466"/>
      <c r="G107" s="466"/>
      <c r="H107" s="466"/>
      <c r="I107" s="466"/>
      <c r="J107" s="467"/>
      <c r="K107" s="466"/>
    </row>
    <row r="108" spans="1:12" ht="12.75" customHeight="1" thickBot="1" x14ac:dyDescent="0.25">
      <c r="A108" s="1730" t="s">
        <v>508</v>
      </c>
      <c r="B108" s="1734"/>
      <c r="C108" s="1729">
        <f>SUM(C95:C107)</f>
        <v>49896</v>
      </c>
      <c r="D108" s="1729">
        <f t="shared" ref="D108:K108" si="3">SUM(D95:D107)</f>
        <v>0</v>
      </c>
      <c r="E108" s="1729">
        <f t="shared" si="3"/>
        <v>239588</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3084704</v>
      </c>
      <c r="D109" s="1737">
        <f t="shared" si="4"/>
        <v>0</v>
      </c>
      <c r="E109" s="1737">
        <f t="shared" si="4"/>
        <v>239588</v>
      </c>
      <c r="F109" s="1737">
        <f t="shared" si="4"/>
        <v>0</v>
      </c>
      <c r="G109" s="1737">
        <f t="shared" si="4"/>
        <v>0</v>
      </c>
      <c r="H109" s="1737">
        <f t="shared" si="4"/>
        <v>21</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765758</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10000</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775758</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775758</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775758</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128506</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128506</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128506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128506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3988968</v>
      </c>
      <c r="D275" s="1737">
        <f t="shared" si="12"/>
        <v>0</v>
      </c>
      <c r="E275" s="1737">
        <f t="shared" si="12"/>
        <v>239588</v>
      </c>
      <c r="F275" s="1737">
        <f t="shared" si="12"/>
        <v>0</v>
      </c>
      <c r="G275" s="1737">
        <f t="shared" si="12"/>
        <v>0</v>
      </c>
      <c r="H275" s="1737">
        <f t="shared" si="12"/>
        <v>21</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activeCell="A47" sqref="A47"/>
      <selection pane="bottomLeft" activeCell="K44" sqref="K4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v>7425</v>
      </c>
      <c r="D12" s="466">
        <v>558</v>
      </c>
      <c r="E12" s="466">
        <v>390</v>
      </c>
      <c r="F12" s="466">
        <v>1300</v>
      </c>
      <c r="G12" s="466"/>
      <c r="H12" s="466"/>
      <c r="I12" s="467"/>
      <c r="J12" s="467"/>
      <c r="K12" s="1693">
        <f t="shared" si="0"/>
        <v>9673</v>
      </c>
      <c r="L12" s="466">
        <v>11967</v>
      </c>
    </row>
    <row r="13" spans="1:14" x14ac:dyDescent="0.2">
      <c r="A13" s="1526" t="s">
        <v>747</v>
      </c>
      <c r="B13" s="615">
        <v>1400</v>
      </c>
      <c r="C13" s="466">
        <v>1163814</v>
      </c>
      <c r="D13" s="466">
        <v>266395</v>
      </c>
      <c r="E13" s="466">
        <v>4825</v>
      </c>
      <c r="F13" s="466">
        <v>165001</v>
      </c>
      <c r="G13" s="466">
        <v>37139</v>
      </c>
      <c r="H13" s="466">
        <v>233894</v>
      </c>
      <c r="I13" s="467"/>
      <c r="J13" s="467"/>
      <c r="K13" s="1693">
        <f t="shared" si="0"/>
        <v>1871068</v>
      </c>
      <c r="L13" s="466">
        <v>1903595</v>
      </c>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1171239</v>
      </c>
      <c r="D33" s="1692">
        <f t="shared" ref="D33:L33" si="1">SUM(D5:D32)</f>
        <v>266953</v>
      </c>
      <c r="E33" s="1692">
        <f t="shared" si="1"/>
        <v>5215</v>
      </c>
      <c r="F33" s="1692">
        <f t="shared" si="1"/>
        <v>166301</v>
      </c>
      <c r="G33" s="1692">
        <f t="shared" si="1"/>
        <v>37139</v>
      </c>
      <c r="H33" s="1692">
        <f t="shared" si="1"/>
        <v>233894</v>
      </c>
      <c r="I33" s="1692">
        <f t="shared" si="1"/>
        <v>0</v>
      </c>
      <c r="J33" s="1692">
        <f t="shared" si="1"/>
        <v>0</v>
      </c>
      <c r="K33" s="1692">
        <f t="shared" si="1"/>
        <v>1880741</v>
      </c>
      <c r="L33" s="1692">
        <f t="shared" si="1"/>
        <v>1915562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192319</v>
      </c>
      <c r="D37" s="466">
        <v>35915</v>
      </c>
      <c r="E37" s="466">
        <v>19182</v>
      </c>
      <c r="F37" s="466">
        <v>2266</v>
      </c>
      <c r="G37" s="466"/>
      <c r="H37" s="466">
        <v>944</v>
      </c>
      <c r="I37" s="467"/>
      <c r="J37" s="467"/>
      <c r="K37" s="1693">
        <f t="shared" si="2"/>
        <v>250626</v>
      </c>
      <c r="L37" s="466">
        <v>254115</v>
      </c>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192319</v>
      </c>
      <c r="D42" s="1692">
        <f t="shared" ref="D42:L42" si="3">SUM(D36:D41)</f>
        <v>35915</v>
      </c>
      <c r="E42" s="1692">
        <f t="shared" si="3"/>
        <v>19182</v>
      </c>
      <c r="F42" s="1692">
        <f t="shared" si="3"/>
        <v>2266</v>
      </c>
      <c r="G42" s="1692">
        <f t="shared" si="3"/>
        <v>0</v>
      </c>
      <c r="H42" s="1692">
        <f t="shared" si="3"/>
        <v>944</v>
      </c>
      <c r="I42" s="1692">
        <f t="shared" si="3"/>
        <v>0</v>
      </c>
      <c r="J42" s="1692">
        <f t="shared" si="3"/>
        <v>0</v>
      </c>
      <c r="K42" s="1692">
        <f t="shared" si="3"/>
        <v>250626</v>
      </c>
      <c r="L42" s="1692">
        <f t="shared" si="3"/>
        <v>254115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131774</v>
      </c>
      <c r="D44" s="481">
        <v>44337</v>
      </c>
      <c r="E44" s="481">
        <v>24441</v>
      </c>
      <c r="F44" s="481">
        <v>47251</v>
      </c>
      <c r="G44" s="481">
        <v>33150</v>
      </c>
      <c r="H44" s="481"/>
      <c r="I44" s="467"/>
      <c r="J44" s="467"/>
      <c r="K44" s="1694">
        <f>SUM(C44:J44)</f>
        <v>280953</v>
      </c>
      <c r="L44" s="481">
        <v>307186</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v>4208</v>
      </c>
      <c r="G46" s="466"/>
      <c r="H46" s="466"/>
      <c r="I46" s="467"/>
      <c r="J46" s="467"/>
      <c r="K46" s="1694">
        <f>SUM(C46:J46)</f>
        <v>4208</v>
      </c>
      <c r="L46" s="466">
        <v>4000</v>
      </c>
    </row>
    <row r="47" spans="1:14" ht="12.75" customHeight="1" thickBot="1" x14ac:dyDescent="0.25">
      <c r="A47" s="1690" t="s">
        <v>582</v>
      </c>
      <c r="B47" s="1691" t="s">
        <v>32</v>
      </c>
      <c r="C47" s="1692">
        <f>SUM(C44:C46)</f>
        <v>131774</v>
      </c>
      <c r="D47" s="1692">
        <f t="shared" ref="D47:K47" si="4">SUM(D44:D46)</f>
        <v>44337</v>
      </c>
      <c r="E47" s="1692">
        <f t="shared" si="4"/>
        <v>24441</v>
      </c>
      <c r="F47" s="1692">
        <f t="shared" si="4"/>
        <v>51459</v>
      </c>
      <c r="G47" s="1692">
        <f t="shared" si="4"/>
        <v>33150</v>
      </c>
      <c r="H47" s="1692">
        <f t="shared" si="4"/>
        <v>0</v>
      </c>
      <c r="I47" s="1692">
        <f t="shared" si="4"/>
        <v>0</v>
      </c>
      <c r="J47" s="1692">
        <f t="shared" si="4"/>
        <v>0</v>
      </c>
      <c r="K47" s="1692">
        <f t="shared" si="4"/>
        <v>285161</v>
      </c>
      <c r="L47" s="1692">
        <f>SUM(L44:L46)</f>
        <v>311186</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11139</v>
      </c>
      <c r="F49" s="481">
        <v>122</v>
      </c>
      <c r="G49" s="481"/>
      <c r="H49" s="481"/>
      <c r="I49" s="467"/>
      <c r="J49" s="467"/>
      <c r="K49" s="1694">
        <f>SUM(C49:J49)</f>
        <v>11261</v>
      </c>
      <c r="L49" s="481">
        <v>20990</v>
      </c>
    </row>
    <row r="50" spans="1:14" x14ac:dyDescent="0.2">
      <c r="A50" s="1526" t="s">
        <v>872</v>
      </c>
      <c r="B50" s="615">
        <v>2320</v>
      </c>
      <c r="C50" s="466">
        <v>247818</v>
      </c>
      <c r="D50" s="466">
        <v>54720</v>
      </c>
      <c r="E50" s="466">
        <v>16514</v>
      </c>
      <c r="F50" s="466">
        <v>4635</v>
      </c>
      <c r="G50" s="466"/>
      <c r="H50" s="466">
        <v>1999</v>
      </c>
      <c r="I50" s="467"/>
      <c r="J50" s="467"/>
      <c r="K50" s="1694">
        <f>SUM(C50:J50)</f>
        <v>325686</v>
      </c>
      <c r="L50" s="466">
        <v>332012</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247818</v>
      </c>
      <c r="D53" s="1692">
        <f t="shared" ref="D53:L53" si="5">SUM(D49:D52)</f>
        <v>54720</v>
      </c>
      <c r="E53" s="1692">
        <f t="shared" si="5"/>
        <v>27653</v>
      </c>
      <c r="F53" s="1692">
        <f t="shared" si="5"/>
        <v>4757</v>
      </c>
      <c r="G53" s="1692">
        <f t="shared" si="5"/>
        <v>0</v>
      </c>
      <c r="H53" s="1692">
        <f t="shared" si="5"/>
        <v>1999</v>
      </c>
      <c r="I53" s="1692">
        <f t="shared" si="5"/>
        <v>0</v>
      </c>
      <c r="J53" s="1692">
        <f t="shared" si="5"/>
        <v>0</v>
      </c>
      <c r="K53" s="1692">
        <f t="shared" si="5"/>
        <v>336947</v>
      </c>
      <c r="L53" s="1692">
        <f t="shared" si="5"/>
        <v>353002</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52817</v>
      </c>
      <c r="D60" s="466">
        <v>19926</v>
      </c>
      <c r="E60" s="466">
        <v>6694</v>
      </c>
      <c r="F60" s="466">
        <v>510</v>
      </c>
      <c r="G60" s="466"/>
      <c r="H60" s="466">
        <v>3230</v>
      </c>
      <c r="I60" s="467"/>
      <c r="J60" s="467"/>
      <c r="K60" s="1694">
        <f t="shared" si="7"/>
        <v>83177</v>
      </c>
      <c r="L60" s="466">
        <v>84562</v>
      </c>
      <c r="M60" s="610"/>
      <c r="N60" s="610"/>
    </row>
    <row r="61" spans="1:14" s="343" customFormat="1" x14ac:dyDescent="0.2">
      <c r="A61" s="1526" t="s">
        <v>206</v>
      </c>
      <c r="B61" s="615">
        <v>2540</v>
      </c>
      <c r="C61" s="466">
        <v>164740</v>
      </c>
      <c r="D61" s="466">
        <v>70876</v>
      </c>
      <c r="E61" s="466">
        <v>124798</v>
      </c>
      <c r="F61" s="466">
        <v>99523</v>
      </c>
      <c r="G61" s="466">
        <v>325376</v>
      </c>
      <c r="H61" s="466">
        <v>14900</v>
      </c>
      <c r="I61" s="467"/>
      <c r="J61" s="467"/>
      <c r="K61" s="1694">
        <f t="shared" si="7"/>
        <v>800213</v>
      </c>
      <c r="L61" s="466">
        <v>842719</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217557</v>
      </c>
      <c r="D65" s="1692">
        <f t="shared" ref="D65:L65" si="8">SUM(D59:D64)</f>
        <v>90802</v>
      </c>
      <c r="E65" s="1692">
        <f t="shared" si="8"/>
        <v>131492</v>
      </c>
      <c r="F65" s="1692">
        <f t="shared" si="8"/>
        <v>100033</v>
      </c>
      <c r="G65" s="1692">
        <f t="shared" si="8"/>
        <v>325376</v>
      </c>
      <c r="H65" s="1692">
        <f t="shared" si="8"/>
        <v>18130</v>
      </c>
      <c r="I65" s="1692">
        <f t="shared" si="8"/>
        <v>0</v>
      </c>
      <c r="J65" s="1692">
        <f t="shared" si="8"/>
        <v>0</v>
      </c>
      <c r="K65" s="1692">
        <f t="shared" si="8"/>
        <v>883390</v>
      </c>
      <c r="L65" s="1692">
        <f t="shared" si="8"/>
        <v>927281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789468</v>
      </c>
      <c r="D74" s="1699">
        <f t="shared" ref="D74:K74" si="10">SUM(D42,D47,D53,D57,D65,D72,D73)</f>
        <v>225774</v>
      </c>
      <c r="E74" s="1699">
        <f t="shared" si="10"/>
        <v>202768</v>
      </c>
      <c r="F74" s="1699">
        <f t="shared" si="10"/>
        <v>158515</v>
      </c>
      <c r="G74" s="1699">
        <f t="shared" si="10"/>
        <v>358526</v>
      </c>
      <c r="H74" s="1699">
        <f t="shared" si="10"/>
        <v>21073</v>
      </c>
      <c r="I74" s="1699">
        <f t="shared" si="10"/>
        <v>0</v>
      </c>
      <c r="J74" s="1699">
        <f t="shared" si="10"/>
        <v>0</v>
      </c>
      <c r="K74" s="1699">
        <f t="shared" si="10"/>
        <v>1756124</v>
      </c>
      <c r="L74" s="1699">
        <f>SUM(L42,L47,L53,L57,L65,L72,L73)</f>
        <v>1845584</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0</v>
      </c>
      <c r="I102" s="477"/>
      <c r="J102" s="477"/>
      <c r="K102" s="1699">
        <f>SUM(K84,K92,K100,K101)</f>
        <v>0</v>
      </c>
      <c r="L102" s="1699">
        <f>SUM(L84,L92,L100,L101)</f>
        <v>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1960707</v>
      </c>
      <c r="D114" s="1692">
        <f t="shared" ref="D114:K114" si="13">SUM(D33,D74,D75,D102,D112,D113)</f>
        <v>492727</v>
      </c>
      <c r="E114" s="1692">
        <f t="shared" si="13"/>
        <v>207983</v>
      </c>
      <c r="F114" s="1692">
        <f t="shared" si="13"/>
        <v>324816</v>
      </c>
      <c r="G114" s="1692">
        <f t="shared" si="13"/>
        <v>395665</v>
      </c>
      <c r="H114" s="1692">
        <f>SUM(H33,H74,H75,H102,H112,H113)</f>
        <v>254967</v>
      </c>
      <c r="I114" s="1692">
        <f t="shared" si="13"/>
        <v>0</v>
      </c>
      <c r="J114" s="1692">
        <f t="shared" si="13"/>
        <v>0</v>
      </c>
      <c r="K114" s="1692">
        <f t="shared" si="13"/>
        <v>3636865</v>
      </c>
      <c r="L114" s="1692">
        <f>SUM(L33,L74,L75,L102,L112,L113)</f>
        <v>3761146</v>
      </c>
    </row>
    <row r="115" spans="1:14" ht="13.5" thickTop="1" x14ac:dyDescent="0.2">
      <c r="A115" s="2174" t="s">
        <v>1053</v>
      </c>
      <c r="B115" s="2175"/>
      <c r="C115" s="619"/>
      <c r="D115" s="619"/>
      <c r="E115" s="619"/>
      <c r="F115" s="619"/>
      <c r="G115" s="619"/>
      <c r="H115" s="619"/>
      <c r="I115" s="619"/>
      <c r="J115" s="619"/>
      <c r="K115" s="1706">
        <f>'Revenues 9-14'!C275-'Expenditures 15-22'!K114</f>
        <v>352103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4" t="s">
        <v>1240</v>
      </c>
      <c r="B152" s="2195"/>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54588</v>
      </c>
      <c r="I169" s="617"/>
      <c r="J169" s="617"/>
      <c r="K169" s="1693">
        <f>SUM(C169:H169)</f>
        <v>54588</v>
      </c>
      <c r="L169" s="657">
        <v>54588</v>
      </c>
    </row>
    <row r="170" spans="1:14" ht="33.75" customHeight="1" x14ac:dyDescent="0.2">
      <c r="A170" s="670" t="s">
        <v>1769</v>
      </c>
      <c r="B170" s="672" t="s">
        <v>31</v>
      </c>
      <c r="C170" s="617"/>
      <c r="D170" s="617"/>
      <c r="E170" s="617"/>
      <c r="F170" s="617"/>
      <c r="G170" s="617"/>
      <c r="H170" s="569">
        <v>185000</v>
      </c>
      <c r="I170" s="617"/>
      <c r="J170" s="617"/>
      <c r="K170" s="1693">
        <f>SUM(C170:J170)</f>
        <v>185000</v>
      </c>
      <c r="L170" s="569">
        <v>185000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239588</v>
      </c>
      <c r="I172" s="639"/>
      <c r="J172" s="617"/>
      <c r="K172" s="1699">
        <f>SUM(K168,K169,K170,K171)</f>
        <v>239588</v>
      </c>
      <c r="L172" s="1699">
        <f>SUM(L168,L169,L170,L171)</f>
        <v>239588</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239588</v>
      </c>
      <c r="I174" s="639"/>
      <c r="J174" s="617"/>
      <c r="K174" s="1699">
        <f>SUM(K160,K172,K173)</f>
        <v>239588</v>
      </c>
      <c r="L174" s="1699">
        <f>SUM(L160,L172,L173)</f>
        <v>239588</v>
      </c>
    </row>
    <row r="175" spans="1:14" ht="13.5" thickTop="1" x14ac:dyDescent="0.2">
      <c r="A175" s="2174" t="s">
        <v>1053</v>
      </c>
      <c r="B175" s="2175"/>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74" t="s">
        <v>1053</v>
      </c>
      <c r="B211" s="2175"/>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74" t="s">
        <v>1053</v>
      </c>
      <c r="B296" s="2175"/>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42878</v>
      </c>
      <c r="F301" s="466"/>
      <c r="G301" s="466">
        <v>16947</v>
      </c>
      <c r="H301" s="466"/>
      <c r="I301" s="467"/>
      <c r="J301" s="467"/>
      <c r="K301" s="1693">
        <f>SUM(C301:J301)</f>
        <v>59825</v>
      </c>
      <c r="L301" s="467">
        <v>60100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42878</v>
      </c>
      <c r="F303" s="1699">
        <f t="shared" si="23"/>
        <v>0</v>
      </c>
      <c r="G303" s="1699">
        <f t="shared" si="23"/>
        <v>16947</v>
      </c>
      <c r="H303" s="1699">
        <f t="shared" si="23"/>
        <v>0</v>
      </c>
      <c r="I303" s="1699">
        <f t="shared" si="23"/>
        <v>0</v>
      </c>
      <c r="J303" s="1699">
        <f t="shared" si="23"/>
        <v>0</v>
      </c>
      <c r="K303" s="1699">
        <f t="shared" si="23"/>
        <v>59825</v>
      </c>
      <c r="L303" s="1699">
        <f t="shared" si="23"/>
        <v>60100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42878</v>
      </c>
      <c r="F312" s="1692">
        <f>SUM(F303)</f>
        <v>0</v>
      </c>
      <c r="G312" s="1692">
        <f>SUM(G303)</f>
        <v>16947</v>
      </c>
      <c r="H312" s="1692">
        <f>SUM(H303,H310)</f>
        <v>0</v>
      </c>
      <c r="I312" s="1692">
        <f>SUM(I303)</f>
        <v>0</v>
      </c>
      <c r="J312" s="1692">
        <f>SUM(J303)</f>
        <v>0</v>
      </c>
      <c r="K312" s="1692">
        <f>SUM(K303,K310,K311)</f>
        <v>59825</v>
      </c>
      <c r="L312" s="1692">
        <f>SUM(L303,L310,L311)</f>
        <v>60100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-59804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7" t="s">
        <v>1053</v>
      </c>
      <c r="B343" s="2188"/>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4" t="s">
        <v>1053</v>
      </c>
      <c r="B368" s="2175"/>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http://purl.org/dc/dcmitype/"/>
    <ds:schemaRef ds:uri="http://purl.org/dc/elements/1.1/"/>
    <ds:schemaRef ds:uri="http://schemas.microsoft.com/office/2006/documentManagement/types"/>
    <ds:schemaRef ds:uri="http://schemas.microsoft.com/sharepoint/v3"/>
    <ds:schemaRef ds:uri="http://schemas.openxmlformats.org/package/2006/metadata/core-properties"/>
    <ds:schemaRef ds:uri="4d435f69-8686-490b-bd6d-b153bf22ab50"/>
    <ds:schemaRef ds:uri="http://purl.org/dc/terms/"/>
    <ds:schemaRef ds:uri="d21dc803-237d-4c68-8692-8d731fd29118"/>
    <ds:schemaRef ds:uri="6ce3111e-7420-4802-b50a-75d4e9a0b980"/>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Sheet1</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2018-10-09T18:49:08Z</cp:lastPrinted>
  <dcterms:created xsi:type="dcterms:W3CDTF">2003-10-29T19:06:34Z</dcterms:created>
  <dcterms:modified xsi:type="dcterms:W3CDTF">2018-10-09T20:34:52Z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