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2)" sheetId="18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 SEFA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7" i="183" l="1"/>
  <c r="L26" i="183"/>
  <c r="L25" i="183"/>
  <c r="L24" i="183"/>
  <c r="L23" i="183"/>
  <c r="L22" i="183"/>
  <c r="L21" i="183"/>
  <c r="L20" i="183"/>
  <c r="L19" i="183"/>
  <c r="L18" i="183"/>
  <c r="L17" i="183"/>
  <c r="L16" i="183"/>
  <c r="L15" i="183"/>
  <c r="L14" i="183"/>
  <c r="L13" i="183"/>
  <c r="L12" i="183"/>
  <c r="L11" i="183"/>
  <c r="B4" i="183"/>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82" i="36"/>
  <c r="D78" i="36"/>
  <c r="K75" i="29"/>
  <c r="K130" i="29"/>
  <c r="K185" i="29"/>
  <c r="B2836" i="106" s="1"/>
  <c r="D2836" i="106" s="1"/>
  <c r="K122" i="29"/>
  <c r="F15" i="145" s="1"/>
  <c r="F19" i="145" s="1"/>
  <c r="K67" i="29"/>
  <c r="K64" i="29"/>
  <c r="K59" i="29"/>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B3008" i="106" s="1"/>
  <c r="D3008" i="106" s="1"/>
  <c r="K190" i="29"/>
  <c r="K191" i="29"/>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s="1"/>
  <c r="B5103" i="106"/>
  <c r="D5103" i="106"/>
  <c r="B5104" i="106"/>
  <c r="D5104" i="106" s="1"/>
  <c r="B5105" i="106"/>
  <c r="D5105" i="106"/>
  <c r="B5106" i="106"/>
  <c r="D5106" i="106" s="1"/>
  <c r="B5107" i="106"/>
  <c r="D5107" i="106"/>
  <c r="B5108" i="106"/>
  <c r="D5108" i="106" s="1"/>
  <c r="B5109" i="106"/>
  <c r="D5109" i="106"/>
  <c r="B5110" i="106"/>
  <c r="D5110" i="106" s="1"/>
  <c r="B5111" i="106"/>
  <c r="D5111" i="106"/>
  <c r="B5113" i="106"/>
  <c r="D5113" i="106" s="1"/>
  <c r="B5114" i="106"/>
  <c r="D5114" i="106"/>
  <c r="B5115" i="106"/>
  <c r="D5115" i="106" s="1"/>
  <c r="B5116" i="106"/>
  <c r="D5116" i="106"/>
  <c r="B5117" i="106"/>
  <c r="D5117" i="106" s="1"/>
  <c r="B5118" i="106"/>
  <c r="D5118" i="106"/>
  <c r="B5119" i="106"/>
  <c r="D5119" i="106" s="1"/>
  <c r="B5122" i="106"/>
  <c r="D5122" i="106"/>
  <c r="B5123" i="106"/>
  <c r="D5123" i="106" s="1"/>
  <c r="B5124" i="106"/>
  <c r="D5124" i="106"/>
  <c r="B5126" i="106"/>
  <c r="D5126" i="106" s="1"/>
  <c r="B5127" i="106"/>
  <c r="D5127" i="106"/>
  <c r="D5128" i="106"/>
  <c r="D5129" i="106"/>
  <c r="D5130" i="106"/>
  <c r="D5131" i="106"/>
  <c r="B5133" i="106"/>
  <c r="D5133" i="106" s="1"/>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c r="B5242" i="106"/>
  <c r="D5242" i="106" s="1"/>
  <c r="B5243" i="106"/>
  <c r="D5243" i="106"/>
  <c r="D5244" i="106"/>
  <c r="D5245" i="106"/>
  <c r="B5247" i="106"/>
  <c r="D5247" i="106"/>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c r="B6735" i="106"/>
  <c r="D6735" i="106" s="1"/>
  <c r="B6736" i="106"/>
  <c r="D6736" i="106" s="1"/>
  <c r="B6737" i="106"/>
  <c r="D6737" i="106" s="1"/>
  <c r="B6738" i="106"/>
  <c r="D6738" i="106" s="1"/>
  <c r="B6739" i="106"/>
  <c r="D6739" i="106" s="1"/>
  <c r="B6740" i="106"/>
  <c r="D6740" i="106" s="1"/>
  <c r="B6741" i="106"/>
  <c r="D6741" i="106" s="1"/>
  <c r="B6742" i="106"/>
  <c r="D6742" i="106"/>
  <c r="B6743" i="106"/>
  <c r="D6743" i="106" s="1"/>
  <c r="B6744" i="106"/>
  <c r="D6744" i="106" s="1"/>
  <c r="B6745" i="106"/>
  <c r="D6745" i="106" s="1"/>
  <c r="B6746" i="106"/>
  <c r="D6746" i="106" s="1"/>
  <c r="B6747" i="106"/>
  <c r="D6747" i="106" s="1"/>
  <c r="B6748" i="106"/>
  <c r="D6748" i="106" s="1"/>
  <c r="B6749" i="106"/>
  <c r="D6749" i="106" s="1"/>
  <c r="B6750" i="106"/>
  <c r="D6750" i="106"/>
  <c r="B6751" i="106"/>
  <c r="D6751" i="106" s="1"/>
  <c r="B6752" i="106"/>
  <c r="D6752" i="106" s="1"/>
  <c r="B6753" i="106"/>
  <c r="D6753" i="106" s="1"/>
  <c r="B6754" i="106"/>
  <c r="D6754" i="106" s="1"/>
  <c r="B6755" i="106"/>
  <c r="D6755" i="106" s="1"/>
  <c r="B6756" i="106"/>
  <c r="D6756" i="106" s="1"/>
  <c r="B6757" i="106"/>
  <c r="D6757" i="106" s="1"/>
  <c r="B6758" i="106"/>
  <c r="D6758" i="106"/>
  <c r="B6759" i="106"/>
  <c r="D6759" i="106" s="1"/>
  <c r="B6760" i="106"/>
  <c r="D6760" i="106" s="1"/>
  <c r="B6761" i="106"/>
  <c r="D6761" i="106" s="1"/>
  <c r="B6762" i="106"/>
  <c r="D6762" i="106" s="1"/>
  <c r="B6763" i="106"/>
  <c r="D6763" i="106" s="1"/>
  <c r="B6764" i="106"/>
  <c r="D6764" i="106" s="1"/>
  <c r="B6765" i="106"/>
  <c r="D6765" i="106" s="1"/>
  <c r="B6766" i="106"/>
  <c r="D6766" i="106"/>
  <c r="B6767" i="106"/>
  <c r="D6767" i="106" s="1"/>
  <c r="B6768" i="106"/>
  <c r="D6768" i="106" s="1"/>
  <c r="B6769" i="106"/>
  <c r="D6769" i="106" s="1"/>
  <c r="B6770" i="106"/>
  <c r="D6770" i="106" s="1"/>
  <c r="B6771" i="106"/>
  <c r="D6771" i="106" s="1"/>
  <c r="B6772" i="106"/>
  <c r="D6772" i="106" s="1"/>
  <c r="B6773" i="106"/>
  <c r="D6773" i="106" s="1"/>
  <c r="B6774" i="106"/>
  <c r="D6774" i="106"/>
  <c r="B6775" i="106"/>
  <c r="D6775" i="106" s="1"/>
  <c r="B6776" i="106"/>
  <c r="D6776" i="106" s="1"/>
  <c r="B6777" i="106"/>
  <c r="D6777" i="106" s="1"/>
  <c r="B6778" i="106"/>
  <c r="D6778" i="106" s="1"/>
  <c r="B6779" i="106"/>
  <c r="D6779" i="106" s="1"/>
  <c r="B6780" i="106"/>
  <c r="D6780" i="106" s="1"/>
  <c r="B6781" i="106"/>
  <c r="D6781" i="106" s="1"/>
  <c r="B6782" i="106"/>
  <c r="D6782" i="106"/>
  <c r="B6783" i="106"/>
  <c r="D6783" i="106" s="1"/>
  <c r="B6784" i="106"/>
  <c r="D6784" i="106" s="1"/>
  <c r="B6785" i="106"/>
  <c r="D6785" i="106" s="1"/>
  <c r="B6786" i="106"/>
  <c r="D6786" i="106" s="1"/>
  <c r="B6787" i="106"/>
  <c r="D6787" i="106" s="1"/>
  <c r="B6788" i="106"/>
  <c r="D6788" i="106" s="1"/>
  <c r="B6789" i="106"/>
  <c r="D6789" i="106" s="1"/>
  <c r="B6790" i="106"/>
  <c r="D6790" i="106"/>
  <c r="B6791" i="106"/>
  <c r="D6791" i="106" s="1"/>
  <c r="B6792" i="106"/>
  <c r="D6792" i="106" s="1"/>
  <c r="B6793" i="106"/>
  <c r="D6793" i="106" s="1"/>
  <c r="B6794" i="106"/>
  <c r="D6794" i="106" s="1"/>
  <c r="B6795" i="106"/>
  <c r="D6795" i="106"/>
  <c r="B6796" i="106"/>
  <c r="D6796" i="106" s="1"/>
  <c r="B6797" i="106"/>
  <c r="D6797" i="106"/>
  <c r="B6798" i="106"/>
  <c r="D6798" i="106" s="1"/>
  <c r="B6799" i="106"/>
  <c r="D6799" i="106"/>
  <c r="B6800" i="106"/>
  <c r="D6800" i="106" s="1"/>
  <c r="B6801" i="106"/>
  <c r="D6801" i="106"/>
  <c r="B6802" i="106"/>
  <c r="D6802" i="106" s="1"/>
  <c r="B6803" i="106"/>
  <c r="D6803" i="106"/>
  <c r="B6804" i="106"/>
  <c r="D6804" i="106" s="1"/>
  <c r="B6805" i="106"/>
  <c r="D6805" i="106"/>
  <c r="B6806" i="106"/>
  <c r="D6806" i="106" s="1"/>
  <c r="B6807" i="106"/>
  <c r="D6807" i="106"/>
  <c r="B6808" i="106"/>
  <c r="D6808" i="106" s="1"/>
  <c r="B6809" i="106"/>
  <c r="D6809" i="106"/>
  <c r="B6810" i="106"/>
  <c r="D6810" i="106" s="1"/>
  <c r="B6811" i="106"/>
  <c r="D6811" i="106"/>
  <c r="B6812" i="106"/>
  <c r="D6812" i="106" s="1"/>
  <c r="B6813" i="106"/>
  <c r="D6813" i="106"/>
  <c r="B6814" i="106"/>
  <c r="D6814" i="106" s="1"/>
  <c r="B6815" i="106"/>
  <c r="D6815" i="106"/>
  <c r="B6816" i="106"/>
  <c r="D6816" i="106" s="1"/>
  <c r="B6817" i="106"/>
  <c r="D6817" i="106"/>
  <c r="B6818" i="106"/>
  <c r="D6818" i="106" s="1"/>
  <c r="B6819" i="106"/>
  <c r="D6819" i="106"/>
  <c r="B6820" i="106"/>
  <c r="D6820" i="106" s="1"/>
  <c r="B6821" i="106"/>
  <c r="D6821" i="106"/>
  <c r="B6822" i="106"/>
  <c r="D6822" i="106" s="1"/>
  <c r="B6823" i="106"/>
  <c r="D6823" i="106"/>
  <c r="B6824" i="106"/>
  <c r="D6824" i="106" s="1"/>
  <c r="B6825" i="106"/>
  <c r="D6825" i="106"/>
  <c r="B6826" i="106"/>
  <c r="D6826" i="106" s="1"/>
  <c r="B6827" i="106"/>
  <c r="D6827" i="106"/>
  <c r="B6828" i="106"/>
  <c r="D6828" i="106" s="1"/>
  <c r="B6829" i="106"/>
  <c r="D6829" i="106"/>
  <c r="B6830" i="106"/>
  <c r="D6830" i="106" s="1"/>
  <c r="B6831" i="106"/>
  <c r="D6831" i="106"/>
  <c r="B6832" i="106"/>
  <c r="D6832" i="106" s="1"/>
  <c r="B6841" i="106"/>
  <c r="D6841" i="106"/>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58" i="127"/>
  <c r="B59" i="127"/>
  <c r="D26" i="108"/>
  <c r="E26" i="108"/>
  <c r="F26" i="108"/>
  <c r="G26" i="108"/>
  <c r="D27" i="108"/>
  <c r="E27" i="108"/>
  <c r="G27" i="108"/>
  <c r="E28" i="108"/>
  <c r="F28" i="108"/>
  <c r="F31" i="108"/>
  <c r="F37" i="108"/>
  <c r="G28" i="108"/>
  <c r="G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F106" i="34"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E4" i="4"/>
  <c r="B2630" i="106" s="1"/>
  <c r="D2630" i="106" s="1"/>
  <c r="D5" i="4"/>
  <c r="B3406" i="106" s="1"/>
  <c r="D3406" i="106" s="1"/>
  <c r="G5" i="4"/>
  <c r="B3409" i="106" s="1"/>
  <c r="D3409" i="106" s="1"/>
  <c r="G14" i="4"/>
  <c r="B2609" i="106" s="1"/>
  <c r="D2609"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F128" i="34"/>
  <c r="F111" i="34"/>
  <c r="B5847" i="106"/>
  <c r="D5847" i="106" s="1"/>
  <c r="B5752" i="106"/>
  <c r="D5752" i="106" s="1"/>
  <c r="B5599" i="106"/>
  <c r="D5599" i="106" s="1"/>
  <c r="G4" i="4"/>
  <c r="B2603" i="106" s="1"/>
  <c r="D2603" i="106" s="1"/>
  <c r="K274" i="5"/>
  <c r="H173" i="5"/>
  <c r="B5906" i="106" s="1"/>
  <c r="D5906" i="106" s="1"/>
  <c r="H109" i="5"/>
  <c r="B6025" i="106" s="1"/>
  <c r="D6025" i="106" s="1"/>
  <c r="D7" i="7"/>
  <c r="B1763" i="106" s="1"/>
  <c r="D1763" i="106" s="1"/>
  <c r="H4" i="4"/>
  <c r="B2655" i="106"/>
  <c r="D2655" i="106" s="1"/>
  <c r="D17" i="7"/>
  <c r="B4104" i="106" s="1"/>
  <c r="D4104" i="106" s="1"/>
  <c r="D12" i="7"/>
  <c r="B1769" i="106" s="1"/>
  <c r="D1769" i="106" s="1"/>
  <c r="D11" i="7"/>
  <c r="B1768" i="106" s="1"/>
  <c r="D1768" i="106" s="1"/>
  <c r="D15" i="7"/>
  <c r="B1772" i="106" s="1"/>
  <c r="D1772" i="106" s="1"/>
  <c r="G173" i="5" l="1"/>
  <c r="B5778" i="106" s="1"/>
  <c r="D5778" i="106" s="1"/>
  <c r="B5770" i="106"/>
  <c r="D5770" i="106" s="1"/>
  <c r="F131" i="34"/>
  <c r="B7041" i="106"/>
  <c r="D7041" i="106" s="1"/>
  <c r="B1746" i="106"/>
  <c r="D1746" i="106" s="1"/>
  <c r="F127" i="34"/>
  <c r="F136" i="34"/>
  <c r="B5161" i="106"/>
  <c r="D5161" i="106" s="1"/>
  <c r="L367" i="29"/>
  <c r="F46" i="34"/>
  <c r="B3621" i="106"/>
  <c r="D3621" i="106" s="1"/>
  <c r="C367" i="29"/>
  <c r="B3622" i="106" s="1"/>
  <c r="D3622" i="106" s="1"/>
  <c r="E15" i="145"/>
  <c r="G15" i="145" s="1"/>
  <c r="B1126" i="106"/>
  <c r="D1126" i="106" s="1"/>
  <c r="B3649" i="106"/>
  <c r="D3649" i="106" s="1"/>
  <c r="G367" i="29"/>
  <c r="B3650" i="106" s="1"/>
  <c r="D3650" i="106" s="1"/>
  <c r="B1364" i="106"/>
  <c r="D1364" i="106" s="1"/>
  <c r="G210" i="29"/>
  <c r="H6" i="4"/>
  <c r="B2656" i="106" s="1"/>
  <c r="D2656" i="106" s="1"/>
  <c r="F130" i="34"/>
  <c r="K28" i="118"/>
  <c r="O27" i="118" s="1"/>
  <c r="O29" i="118" s="1"/>
  <c r="K173" i="5"/>
  <c r="K6" i="4" s="1"/>
  <c r="B3570" i="106" s="1"/>
  <c r="D3570" i="106" s="1"/>
  <c r="F172" i="5"/>
  <c r="B5644" i="106" s="1"/>
  <c r="D5644" i="106" s="1"/>
  <c r="F50" i="34"/>
  <c r="F44" i="34"/>
  <c r="J41" i="3"/>
  <c r="D109" i="5"/>
  <c r="F42" i="34"/>
  <c r="B7235" i="106"/>
  <c r="D7235" i="106" s="1"/>
  <c r="C342" i="29"/>
  <c r="B7216" i="106" s="1"/>
  <c r="D7216" i="106" s="1"/>
  <c r="K285" i="29"/>
  <c r="B1410" i="106"/>
  <c r="D1410" i="106" s="1"/>
  <c r="B1329" i="106"/>
  <c r="D1329" i="106" s="1"/>
  <c r="F61" i="34"/>
  <c r="F21" i="8"/>
  <c r="K350" i="29"/>
  <c r="D54" i="36"/>
  <c r="L13" i="11"/>
  <c r="B2060" i="106" s="1"/>
  <c r="D2060" i="106" s="1"/>
  <c r="F36" i="108"/>
  <c r="G30" i="108"/>
  <c r="E30" i="108"/>
  <c r="E29" i="108"/>
  <c r="C172" i="5"/>
  <c r="C109" i="5"/>
  <c r="B5121" i="106" s="1"/>
  <c r="D5121"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F275" i="5" s="1"/>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J7" i="4"/>
  <c r="B2657" i="106"/>
  <c r="D2657" i="106" s="1"/>
  <c r="H8" i="4"/>
  <c r="D19" i="7"/>
  <c r="B1775" i="106" s="1"/>
  <c r="D1775" i="106" s="1"/>
  <c r="B7270" i="106"/>
  <c r="F73" i="34" l="1"/>
  <c r="G15" i="4"/>
  <c r="B6032" i="106" s="1"/>
  <c r="D6032" i="106" s="1"/>
  <c r="D7255" i="106"/>
  <c r="D7252" i="106"/>
  <c r="C114" i="29"/>
  <c r="B757" i="106" s="1"/>
  <c r="D757" i="106" s="1"/>
  <c r="H367" i="29"/>
  <c r="B3660" i="106" s="1"/>
  <c r="D3660" i="106" s="1"/>
  <c r="B5356" i="106"/>
  <c r="D5356" i="106" s="1"/>
  <c r="D4" i="4"/>
  <c r="B2564" i="106" s="1"/>
  <c r="D2564" i="106" s="1"/>
  <c r="D274" i="5"/>
  <c r="B3628" i="106"/>
  <c r="D3628" i="106" s="1"/>
  <c r="D7256" i="106"/>
  <c r="D7251" i="106"/>
  <c r="B3724" i="106"/>
  <c r="D3724" i="106" s="1"/>
  <c r="B3670" i="106"/>
  <c r="D3670" i="106" s="1"/>
  <c r="K352" i="29"/>
  <c r="K367" i="29" s="1"/>
  <c r="B1365" i="106"/>
  <c r="D1365" i="106" s="1"/>
  <c r="F65" i="34"/>
  <c r="B1879" i="106"/>
  <c r="D1879" i="106" s="1"/>
  <c r="H22" i="37"/>
  <c r="L16" i="11"/>
  <c r="B2061" i="106" s="1"/>
  <c r="D2061" i="106" s="1"/>
  <c r="L114" i="29"/>
  <c r="B5214" i="106"/>
  <c r="D5214" i="106" s="1"/>
  <c r="C173" i="5"/>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K13" i="4" l="1"/>
  <c r="B3572" i="106" s="1"/>
  <c r="D3572" i="106" s="1"/>
  <c r="B3672" i="106"/>
  <c r="D3672" i="106" s="1"/>
  <c r="F24" i="37"/>
  <c r="F8" i="4"/>
  <c r="F10" i="4" s="1"/>
  <c r="B4125" i="106" s="1"/>
  <c r="D4125" i="106" s="1"/>
  <c r="J17" i="4"/>
  <c r="E41" i="108"/>
  <c r="E44" i="108" s="1"/>
  <c r="E45" i="108" s="1"/>
  <c r="G41" i="108"/>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G44" i="108"/>
  <c r="G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595" i="106" l="1"/>
  <c r="D259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<sst xmlns="http://schemas.openxmlformats.org/spreadsheetml/2006/main" count="5131" uniqueCount="2138">
  <si>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</si>
  <si>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</si>
  <si>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</si>
  <si>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</si>
  <si>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</si>
  <si>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</si>
  <si>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</si>
  <si>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</si>
  <si>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</si>
  <si>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</si>
  <si>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</si>
  <si>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</si>
  <si>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</si>
  <si>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</si>
  <si>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</si>
  <si>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</si>
  <si>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</si>
  <si>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</si>
  <si>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</si>
  <si>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</si>
  <si>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</si>
  <si>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</si>
  <si>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</si>
  <si>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</si>
  <si>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</si>
  <si>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</si>
  <si>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</si>
  <si>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</si>
  <si>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</si>
  <si>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</si>
  <si>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</si>
  <si>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</si>
  <si>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</si>
  <si>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</si>
  <si>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</si>
  <si>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</si>
  <si>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</si>
  <si>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</si>
  <si>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</si>
  <si>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</si>
  <si>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</si>
  <si>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</si>
  <si>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</si>
  <si>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</si>
  <si>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</si>
  <si>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</si>
  <si>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</si>
  <si>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</si>
  <si>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</si>
  <si>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</si>
  <si>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</si>
  <si>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</si>
  <si>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</si>
  <si>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</si>
  <si>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</si>
  <si>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</si>
  <si>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</si>
  <si>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</si>
  <si>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</si>
  <si>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</si>
  <si>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</si>
  <si>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</si>
  <si>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</si>
  <si>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</si>
  <si>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</si>
  <si>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</si>
  <si>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</si>
  <si>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</si>
  <si>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</si>
  <si>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</si>
  <si>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</si>
  <si>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</si>
  <si>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</si>
  <si>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</si>
  <si>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</si>
  <si>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</si>
  <si>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</si>
  <si>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</si>
  <si>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</si>
  <si>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</si>
  <si>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</si>
  <si>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</si>
  <si>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</si>
  <si>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</si>
  <si>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</si>
  <si>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</si>
  <si>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</si>
  <si>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</si>
  <si>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</si>
  <si>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</si>
  <si>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</si>
  <si>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</si>
  <si>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</si>
  <si>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</si>
  <si>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</si>
  <si>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</si>
  <si>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</si>
  <si>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</si>
  <si>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</si>
  <si>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</si>
  <si>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</si>
  <si>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</si>
  <si>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</si>
  <si>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</si>
  <si>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</si>
  <si>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</si>
  <si>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</si>
  <si>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</si>
  <si>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</si>
  <si>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</si>
  <si>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</si>
  <si>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</si>
  <si>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</si>
  <si>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</si>
  <si>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</si>
  <si>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</si>
  <si>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</si>
  <si>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</si>
  <si>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</si>
  <si>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</si>
  <si>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</si>
  <si>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</si>
  <si>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</si>
  <si>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</si>
  <si>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</si>
  <si>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</si>
  <si>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</si>
  <si>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</si>
  <si>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</si>
  <si>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</si>
  <si>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</si>
  <si>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</si>
  <si>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</si>
  <si>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</si>
  <si>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</si>
  <si>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</si>
  <si>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</si>
  <si>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</si>
  <si>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</si>
  <si>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</si>
  <si>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</si>
  <si>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</si>
  <si>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</si>
  <si>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</si>
  <si>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</si>
  <si>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</si>
  <si>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</si>
  <si>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</si>
  <si>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</si>
  <si>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</si>
  <si>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</si>
  <si>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</si>
  <si>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</si>
  <si>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</si>
  <si>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</si>
  <si>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</si>
  <si>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</si>
  <si>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</si>
  <si>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</si>
  <si>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</si>
  <si>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</si>
  <si>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</si>
  <si>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</si>
  <si>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</si>
  <si>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</si>
  <si>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</si>
  <si>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</si>
  <si>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</si>
  <si>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</si>
  <si>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</si>
  <si>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</si>
  <si>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</si>
  <si>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</si>
  <si>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</si>
  <si>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</si>
  <si>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</si>
  <si>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</si>
  <si>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</si>
  <si>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</si>
  <si>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</si>
  <si>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</si>
  <si>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</si>
  <si>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</si>
  <si>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</si>
  <si>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</si>
  <si>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</si>
  <si>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</si>
  <si>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</si>
  <si>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</si>
  <si>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</si>
  <si>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</si>
  <si>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</si>
  <si>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</si>
  <si>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</si>
  <si>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</si>
  <si>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</si>
  <si>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</si>
  <si>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</si>
  <si>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</si>
  <si>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</si>
  <si>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</si>
  <si>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</si>
  <si>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</si>
  <si>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</si>
  <si>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</si>
  <si>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</si>
  <si>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</si>
  <si>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</si>
  <si>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</si>
  <si>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</si>
  <si>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</si>
  <si>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</si>
  <si>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</si>
  <si>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</si>
  <si>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</si>
  <si>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</si>
  <si>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</si>
  <si>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</si>
  <si>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</si>
  <si>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</si>
  <si>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</si>
  <si>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</si>
  <si>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</si>
  <si>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</si>
  <si>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</si>
  <si>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</si>
  <si>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</si>
  <si>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</si>
  <si>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</si>
  <si>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</si>
  <si>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</si>
  <si>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</si>
  <si>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</si>
  <si>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</si>
  <si>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</si>
  <si>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</si>
  <si>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</si>
  <si>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</si>
  <si>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</si>
  <si>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</si>
  <si>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</si>
  <si>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</si>
  <si>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</si>
  <si>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</si>
  <si>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</si>
  <si>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</si>
  <si>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</si>
  <si>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</si>
  <si>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</si>
  <si>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</si>
  <si>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</si>
  <si>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</si>
  <si>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</si>
  <si>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</si>
  <si>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</si>
  <si>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</si>
  <si>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</si>
  <si>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</si>
  <si>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</si>
  <si>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</si>
  <si>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</si>
  <si>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</si>
  <si>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</si>
  <si>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</si>
  <si>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</si>
  <si>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</si>
  <si>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</si>
  <si>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</si>
  <si>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</si>
  <si>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</si>
  <si>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</si>
  <si>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</si>
  <si>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</si>
  <si>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</si>
  <si>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</si>
  <si>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</si>
  <si>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</si>
  <si>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</si>
  <si>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</si>
  <si>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</si>
  <si>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</si>
  <si>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</si>
  <si>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</si>
  <si>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</si>
  <si>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</si>
  <si>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</si>
  <si>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</si>
  <si>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</si>
  <si>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</si>
  <si>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</si>
  <si>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</si>
  <si>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</si>
  <si>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</si>
  <si>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</si>
  <si>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</si>
  <si>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</si>
  <si>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</si>
  <si>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</si>
  <si>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</si>
  <si>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</si>
  <si>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</si>
  <si>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</si>
  <si>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</si>
  <si>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</si>
  <si>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</si>
  <si>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</si>
  <si>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</si>
  <si>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</si>
  <si>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</si>
  <si>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</si>
  <si>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</si>
  <si>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</si>
  <si>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</si>
  <si>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</si>
  <si>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</si>
  <si>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</si>
  <si>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</si>
  <si>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</si>
  <si>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</si>
  <si>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</si>
  <si>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</si>
  <si>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</si>
  <si>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</si>
  <si>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</si>
  <si>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</si>
  <si>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</si>
  <si>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</si>
  <si>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</si>
  <si>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</si>
  <si>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</si>
  <si>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</si>
  <si>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</si>
  <si>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</si>
  <si>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</si>
  <si>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</si>
  <si>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</si>
  <si>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</si>
  <si>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</si>
  <si>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</si>
  <si>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</si>
  <si>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</si>
  <si>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</si>
  <si>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</si>
  <si>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</si>
  <si>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</si>
  <si>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</si>
  <si>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</si>
  <si>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</si>
  <si>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</si>
  <si>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</si>
  <si>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</si>
  <si>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</si>
  <si>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</si>
  <si>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</si>
  <si>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</si>
  <si>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</si>
  <si>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</si>
  <si>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</si>
  <si>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</si>
  <si>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</si>
  <si>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</si>
  <si>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</si>
  <si>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</si>
  <si>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</si>
  <si>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</si>
  <si>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</si>
  <si>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</si>
  <si>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</si>
  <si>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</si>
  <si>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</si>
  <si>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</si>
  <si>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</si>
  <si>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</si>
  <si>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</si>
  <si>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</si>
  <si>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</si>
  <si>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</si>
  <si>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</si>
  <si>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</si>
  <si>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</si>
  <si>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</si>
  <si>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</si>
  <si>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</si>
  <si>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</si>
  <si>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</si>
  <si>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</si>
  <si>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</si>
  <si>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</si>
  <si>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</si>
  <si>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</si>
  <si>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</si>
  <si>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</si>
  <si>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</si>
  <si>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</si>
  <si>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</si>
  <si>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</si>
  <si>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</si>
  <si>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</si>
  <si>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</si>
  <si>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</si>
  <si>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</si>
  <si>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</si>
  <si>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</si>
  <si>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</si>
  <si>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</si>
  <si>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</si>
  <si>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</si>
  <si>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</si>
  <si>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</si>
  <si>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</si>
  <si>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</si>
  <si>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</si>
  <si>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</si>
  <si>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</si>
  <si>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</si>
  <si>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</si>
  <si>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</si>
  <si>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</si>
  <si>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</si>
  <si>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</si>
  <si>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</si>
  <si>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</si>
  <si>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</si>
  <si>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</si>
  <si>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</si>
  <si>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</si>
  <si>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</si>
  <si>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</si>
  <si>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</si>
  <si>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</si>
  <si>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</si>
  <si>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</si>
  <si>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</si>
  <si>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</si>
  <si>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</si>
  <si>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</si>
  <si>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</si>
  <si>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</si>
  <si>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</si>
  <si>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</si>
  <si>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</si>
  <si>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</si>
  <si>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</si>
  <si>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</si>
  <si>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</si>
  <si>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</si>
  <si>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</si>
  <si>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</si>
  <si>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</si>
  <si>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</si>
  <si>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</si>
  <si>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</si>
  <si>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</si>
  <si>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</si>
  <si>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</si>
  <si>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</si>
  <si>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</si>
  <si>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</si>
  <si>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</si>
  <si>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</si>
  <si>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</si>
  <si>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</si>
  <si>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</si>
  <si>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</si>
  <si>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</si>
  <si>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</si>
  <si>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</si>
  <si>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</si>
  <si>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</si>
  <si>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</si>
  <si>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</si>
  <si>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</si>
  <si>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</si>
  <si>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</si>
  <si>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</si>
  <si>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</si>
  <si>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</si>
  <si>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</si>
  <si>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</si>
  <si>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</si>
  <si>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</si>
  <si>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</si>
  <si>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</si>
  <si>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</si>
  <si>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</si>
  <si>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</si>
  <si>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</si>
  <si>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</si>
  <si>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</si>
  <si>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</si>
  <si>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</si>
  <si>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</si>
  <si>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</si>
  <si>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</si>
  <si>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</si>
  <si>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</si>
  <si>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</si>
  <si>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</si>
  <si>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</si>
  <si>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</si>
  <si>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</si>
  <si>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</si>
  <si>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</si>
  <si>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</si>
  <si>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</si>
  <si>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</si>
  <si>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</si>
  <si>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</si>
  <si>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</si>
  <si>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</si>
  <si>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</si>
  <si>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</si>
  <si>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</si>
  <si>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</si>
  <si>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</si>
  <si>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</si>
  <si>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</si>
  <si>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</si>
  <si>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</si>
  <si>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</si>
  <si>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</si>
  <si>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</si>
  <si>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</si>
  <si>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</si>
  <si>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</si>
  <si>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</si>
  <si>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</si>
  <si>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</si>
  <si>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</si>
  <si>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</si>
  <si>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</si>
  <si>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</si>
  <si>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</si>
  <si>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</si>
  <si>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</si>
  <si>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</si>
  <si>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</si>
  <si>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</si>
  <si>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</si>
  <si>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</si>
  <si>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</si>
  <si>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</si>
  <si>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</si>
  <si>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</si>
  <si>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</si>
  <si>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</si>
  <si>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</si>
  <si>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</si>
  <si>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</si>
  <si>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</si>
  <si>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</si>
  <si>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</si>
  <si>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</si>
  <si>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</si>
  <si>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</si>
  <si>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</si>
  <si>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</si>
  <si>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</si>
  <si>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</si>
  <si>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</si>
  <si>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</si>
  <si>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</si>
  <si>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</si>
  <si>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</si>
  <si>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</si>
  <si>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</si>
  <si>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</si>
  <si>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</si>
  <si>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</si>
  <si>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</si>
  <si>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</si>
  <si>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</si>
  <si>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</si>
  <si>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</si>
  <si>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</si>
  <si>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</si>
  <si>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</si>
  <si>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</si>
  <si>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</si>
  <si>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</si>
  <si>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</si>
  <si>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</si>
  <si>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</si>
  <si>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</si>
  <si>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</si>
  <si>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</si>
  <si>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</si>
  <si>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</si>
  <si>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</si>
  <si>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</si>
  <si>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</si>
  <si>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</si>
  <si>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</si>
  <si>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</si>
  <si>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</si>
  <si>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</si>
  <si>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</si>
  <si>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</si>
  <si>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</si>
  <si>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</si>
  <si>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</si>
  <si>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</si>
  <si>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</si>
  <si>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</si>
  <si>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</si>
  <si>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</si>
  <si>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</si>
  <si>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</si>
  <si>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</si>
  <si>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</si>
  <si>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</si>
  <si>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</si>
  <si>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</si>
  <si>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</si>
  <si>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</si>
  <si>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</si>
  <si>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</si>
  <si>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</si>
  <si>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</si>
  <si>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</si>
  <si>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</si>
  <si>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</si>
  <si>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</si>
  <si>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</si>
  <si>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</si>
  <si>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</si>
  <si>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</si>
  <si>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</si>
  <si>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</si>
  <si>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</si>
  <si>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</si>
  <si>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</si>
  <si>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</si>
  <si>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</si>
  <si>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</si>
  <si>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</si>
  <si>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</si>
  <si>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</si>
  <si>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</si>
  <si>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</si>
  <si>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</si>
  <si>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</si>
  <si>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</si>
  <si>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</si>
  <si>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</si>
  <si>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</si>
  <si>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</si>
  <si>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</si>
  <si>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</si>
  <si>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</si>
  <si>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</si>
  <si>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</si>
  <si>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</si>
  <si>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</si>
  <si>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</si>
  <si>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</si>
  <si>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</si>
  <si>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</si>
  <si>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</si>
  <si>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</si>
  <si>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</si>
  <si>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</si>
  <si>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</si>
  <si>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</si>
  <si>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</si>
  <si>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</si>
  <si>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</si>
  <si>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</si>
  <si>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</si>
  <si>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</si>
  <si>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</si>
  <si>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</si>
  <si>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</si>
  <si>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</si>
  <si>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</si>
  <si>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</si>
  <si>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</si>
  <si>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</si>
  <si>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</si>
  <si>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</si>
  <si>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</si>
  <si>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</si>
  <si>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</si>
  <si>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</si>
  <si>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</si>
  <si>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</si>
  <si>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</si>
  <si>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</si>
  <si>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</si>
  <si>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</si>
  <si>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</si>
  <si>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</si>
  <si>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</si>
  <si>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</si>
  <si>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</si>
  <si>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</si>
  <si>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</si>
  <si>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</si>
  <si>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</si>
  <si>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</si>
  <si>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</si>
  <si>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</si>
  <si>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</si>
  <si>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</si>
  <si>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</si>
  <si>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</si>
  <si>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</si>
  <si>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</si>
  <si>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</si>
  <si>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</si>
  <si>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</si>
  <si>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</si>
  <si>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</si>
  <si>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</si>
  <si>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</si>
  <si>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</si>
  <si>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</si>
  <si>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</si>
  <si>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</si>
  <si>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</si>
  <si>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</si>
  <si>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</si>
  <si>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</si>
  <si>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</si>
  <si>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</si>
  <si>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</si>
  <si>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</si>
  <si>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</si>
  <si>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</si>
  <si>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</si>
  <si>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</si>
  <si>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</si>
  <si>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</si>
  <si>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</si>
  <si>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</si>
  <si>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</si>
  <si>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</si>
  <si>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</si>
  <si>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</si>
  <si>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</si>
  <si>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</si>
  <si>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</si>
  <si>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</si>
  <si>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</si>
  <si>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</si>
  <si>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</si>
  <si>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</si>
  <si>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</si>
  <si>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</si>
  <si>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</si>
  <si>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</si>
  <si>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</si>
  <si>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</si>
  <si>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</si>
  <si>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</si>
  <si>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</si>
  <si>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</si>
  <si>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</si>
  <si>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</si>
  <si>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</si>
  <si>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</si>
  <si>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</si>
  <si>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</si>
  <si>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</si>
  <si>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</si>
  <si>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</si>
  <si>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</si>
  <si>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</si>
  <si>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</si>
  <si>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</si>
  <si>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</si>
  <si>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</si>
  <si>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</si>
  <si>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</si>
  <si>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</si>
  <si>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</si>
  <si>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</si>
  <si>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</si>
  <si>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</si>
  <si>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</si>
  <si>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</si>
  <si>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</si>
  <si>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</si>
  <si>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</si>
  <si>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</si>
  <si>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</si>
  <si>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</si>
  <si>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</si>
  <si>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</si>
  <si>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</si>
  <si>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</si>
  <si>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</si>
  <si>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</si>
  <si>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</si>
  <si>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</si>
  <si>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</si>
  <si>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</si>
  <si>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</si>
  <si>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</si>
  <si>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</si>
  <si>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</si>
  <si>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</si>
  <si>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</si>
  <si>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</si>
  <si>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</si>
  <si>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</si>
  <si>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</si>
  <si>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</si>
  <si>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</si>
  <si>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</si>
  <si>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</si>
  <si>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</si>
  <si>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</si>
  <si>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</si>
  <si>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</si>
  <si>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</si>
  <si>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</si>
  <si>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</si>
  <si>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</si>
  <si>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</si>
  <si>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</si>
  <si>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</si>
  <si>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</si>
  <si>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</si>
  <si>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</si>
  <si>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</si>
  <si>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</si>
  <si>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</si>
  <si>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</si>
  <si>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</si>
  <si>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</si>
  <si>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</si>
  <si>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</si>
  <si>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</si>
  <si>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</si>
  <si>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</si>
  <si>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</si>
  <si>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</si>
  <si>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</si>
  <si>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</si>
  <si>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</si>
  <si>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</si>
  <si>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</si>
  <si>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</si>
  <si>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</si>
  <si>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</si>
  <si>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</si>
  <si>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</si>
  <si>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</si>
  <si>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</si>
  <si>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</si>
  <si>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</si>
  <si>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</si>
  <si>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</si>
  <si>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</si>
  <si>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</si>
  <si>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</si>
  <si>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</si>
  <si>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</si>
  <si>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</si>
  <si>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</si>
  <si>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</si>
  <si>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</si>
  <si>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</si>
  <si>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</si>
  <si>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</si>
  <si>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</si>
  <si>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</si>
  <si>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</si>
  <si>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</si>
  <si>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</si>
  <si>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</si>
  <si>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</si>
  <si>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</si>
  <si>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</si>
  <si>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</si>
  <si>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</si>
  <si>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</si>
  <si>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</si>
  <si>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</si>
  <si>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</si>
  <si>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</si>
  <si>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</si>
  <si>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</si>
  <si>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</si>
  <si>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</si>
  <si>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</si>
  <si>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</si>
  <si>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</si>
  <si>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</si>
  <si>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</si>
  <si>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</si>
  <si>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</si>
  <si>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</si>
  <si>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</si>
  <si>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</si>
  <si>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</si>
  <si>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</si>
  <si>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</si>
  <si>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</si>
  <si>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</si>
  <si>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</si>
  <si>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</si>
  <si>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</si>
  <si>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</si>
  <si>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</si>
  <si>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</si>
  <si>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</si>
  <si>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</si>
  <si>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</si>
  <si>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</si>
  <si>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</si>
  <si>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</si>
  <si>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</si>
  <si>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</si>
  <si>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</si>
  <si>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</si>
  <si>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</si>
  <si>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</si>
  <si>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</si>
  <si>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</si>
  <si>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</si>
  <si>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</si>
  <si>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</si>
  <si>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</si>
  <si>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</si>
  <si>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</si>
  <si>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</si>
  <si>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</si>
  <si>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</si>
  <si>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</si>
  <si>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</si>
  <si>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</si>
  <si>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</si>
  <si>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</si>
  <si>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</si>
  <si>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</si>
  <si>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</si>
  <si>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</si>
  <si>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</si>
  <si>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</si>
  <si>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</si>
  <si>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</si>
  <si>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</si>
  <si>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</si>
  <si>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</si>
  <si>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</si>
  <si>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</si>
  <si>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</si>
  <si>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</si>
  <si>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</si>
  <si>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</si>
  <si>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</si>
  <si>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</si>
  <si>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</si>
  <si>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</si>
  <si>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</si>
  <si>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</si>
  <si>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</si>
  <si>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</si>
  <si>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</si>
  <si>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</si>
  <si>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</si>
  <si>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</si>
  <si>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</si>
  <si>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</si>
  <si>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</si>
  <si>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</si>
  <si>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</si>
  <si>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</si>
  <si>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</si>
  <si>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</si>
  <si>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</si>
  <si>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</si>
  <si>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</si>
  <si>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</si>
  <si>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</si>
  <si>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</si>
  <si>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</si>
  <si>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</si>
  <si>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</si>
  <si>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</si>
  <si>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</si>
  <si>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</si>
  <si>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</si>
  <si>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</si>
  <si>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</si>
  <si>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</si>
  <si>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</si>
  <si>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</si>
  <si>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</si>
  <si>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</si>
  <si>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</si>
  <si>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</si>
  <si>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</si>
  <si>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</si>
  <si>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</si>
  <si>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</si>
  <si>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</si>
  <si>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</si>
  <si>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</si>
  <si>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</si>
  <si>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</si>
  <si>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</si>
  <si>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</si>
  <si>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</si>
  <si>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</si>
  <si>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</si>
  <si>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</si>
  <si>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</si>
  <si>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</si>
  <si>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</si>
  <si>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</si>
  <si>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</si>
  <si>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</si>
  <si>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</si>
  <si>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</si>
  <si>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</si>
  <si>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</si>
  <si>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</si>
  <si>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</si>
  <si>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</si>
  <si>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</si>
  <si>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</si>
  <si>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</si>
  <si>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</si>
  <si>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</si>
  <si>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</si>
  <si>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</si>
  <si>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</si>
  <si>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</si>
  <si>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</si>
  <si>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</si>
  <si>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</si>
  <si>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</si>
  <si>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</si>
  <si>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</si>
  <si>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</si>
  <si>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</si>
  <si>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</si>
  <si>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</si>
  <si>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</si>
  <si>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</si>
  <si>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</si>
  <si>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</si>
  <si>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</si>
  <si>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</si>
  <si>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</si>
  <si>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</si>
  <si>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</si>
  <si>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</si>
  <si>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</si>
  <si>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</si>
  <si>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</si>
  <si>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</si>
  <si>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</si>
  <si>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</si>
  <si>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</si>
  <si>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</si>
  <si>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</si>
  <si>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</si>
  <si>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</si>
  <si>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</si>
  <si>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</si>
  <si>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</si>
  <si>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</si>
  <si>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</si>
  <si>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</si>
  <si>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</si>
  <si>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</si>
  <si>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</si>
  <si>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</si>
  <si>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</si>
  <si>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</si>
  <si>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</si>
  <si>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</si>
  <si>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</si>
  <si>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</si>
  <si>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</si>
  <si>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</si>
  <si>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</si>
  <si>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</si>
  <si>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</si>
  <si>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</si>
  <si>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</si>
  <si>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</si>
  <si>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</si>
  <si>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</si>
  <si>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</si>
  <si>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</si>
  <si>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</si>
  <si>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</si>
  <si>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</si>
  <si>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</si>
  <si>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</si>
  <si>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</si>
  <si>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</si>
  <si>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</si>
  <si>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</si>
  <si>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</si>
  <si>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</si>
  <si>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</si>
  <si>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</si>
  <si>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</si>
  <si>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</si>
  <si>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</si>
  <si>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</si>
  <si>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</si>
  <si>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</si>
  <si>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</si>
  <si>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</si>
  <si>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</si>
  <si>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</si>
  <si>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</si>
  <si>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</si>
  <si>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</si>
  <si>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</si>
  <si>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</si>
  <si>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</si>
  <si>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</si>
  <si>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</si>
  <si>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</si>
  <si>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</si>
  <si>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</si>
  <si>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</si>
  <si>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</si>
  <si>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</si>
  <si>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</si>
  <si>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</si>
  <si>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</si>
  <si>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</si>
  <si>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</si>
  <si>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</si>
  <si>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</si>
  <si>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</si>
  <si>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</si>
  <si>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</si>
  <si>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</si>
  <si>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</si>
  <si>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</si>
  <si>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</si>
  <si>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</si>
  <si>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</si>
  <si>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</si>
  <si>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</si>
  <si>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</si>
  <si>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</si>
  <si>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</si>
  <si>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</si>
  <si>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</si>
  <si>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</si>
  <si>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</si>
  <si>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</si>
  <si>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</si>
  <si>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</si>
  <si>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</si>
  <si>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</si>
  <si>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</si>
  <si>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</si>
  <si>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</si>
  <si>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</si>
  <si>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</si>
  <si>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</si>
  <si>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</si>
  <si>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</si>
  <si>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</si>
  <si>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</si>
  <si>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</si>
  <si>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</si>
  <si>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</si>
  <si>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</si>
  <si>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</si>
  <si>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</si>
  <si>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</si>
  <si>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</si>
  <si>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</si>
  <si>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</si>
  <si>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</si>
  <si>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</si>
  <si>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</si>
  <si>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</si>
  <si>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</si>
  <si>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</si>
  <si>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</si>
  <si>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</si>
  <si>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</si>
  <si>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</si>
  <si>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</si>
  <si>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</si>
  <si>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</si>
  <si>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</si>
  <si>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</si>
  <si>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</si>
  <si>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</si>
  <si>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</si>
  <si>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</si>
  <si>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</si>
  <si>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</si>
  <si>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</si>
  <si>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</si>
  <si>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</si>
  <si>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</si>
  <si>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</si>
  <si>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</si>
  <si>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</si>
  <si>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</si>
  <si>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</si>
  <si>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</si>
  <si>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</si>
  <si>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</si>
  <si>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</si>
  <si>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</si>
  <si>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</si>
  <si>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</si>
  <si>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</si>
  <si>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</si>
  <si>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</si>
  <si>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</si>
  <si>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</si>
  <si>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</si>
  <si>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</si>
  <si>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</si>
  <si>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</si>
  <si>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</si>
  <si>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</si>
  <si>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</si>
  <si>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</si>
  <si>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</si>
  <si>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</si>
  <si>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</si>
  <si>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</si>
  <si>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</si>
  <si>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</si>
  <si>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</si>
  <si>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</si>
  <si>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</si>
  <si>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</si>
  <si>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</si>
  <si>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</si>
  <si>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</si>
  <si>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</si>
  <si>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</si>
  <si>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</si>
  <si>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</si>
  <si>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</si>
  <si>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</si>
  <si>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</si>
  <si>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</si>
  <si>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</si>
  <si>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</si>
  <si>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</si>
  <si>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</si>
  <si>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</si>
  <si>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</si>
  <si>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</si>
  <si>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</si>
  <si>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</si>
  <si>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</si>
  <si>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</si>
  <si>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</si>
  <si>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</si>
  <si>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</si>
  <si>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</si>
  <si>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</si>
  <si>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</si>
  <si>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</si>
  <si>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</si>
  <si>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</si>
  <si>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</si>
  <si>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</si>
  <si>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</si>
  <si>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</si>
  <si>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</si>
  <si>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</si>
  <si>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</si>
  <si>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</si>
  <si>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</si>
  <si>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</si>
  <si>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</si>
  <si>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</si>
  <si>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</si>
  <si>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</si>
  <si>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</si>
  <si>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</si>
  <si>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</si>
  <si>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</si>
  <si>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</si>
  <si>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</si>
  <si>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</si>
  <si>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</si>
  <si>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</si>
  <si>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</si>
  <si>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</si>
  <si>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</si>
  <si>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</si>
  <si>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</si>
  <si>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</si>
  <si>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</si>
  <si>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</si>
  <si>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</si>
  <si>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</si>
  <si>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</si>
  <si>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</si>
  <si>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</si>
  <si>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</si>
  <si>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</si>
  <si>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</si>
  <si>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</si>
  <si>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</si>
  <si>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</si>
  <si>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</si>
  <si>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</si>
  <si>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</si>
  <si>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</si>
  <si>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</si>
  <si>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</si>
  <si>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</si>
  <si>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</si>
  <si>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</si>
  <si>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</si>
  <si>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</si>
  <si>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</si>
  <si>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</si>
  <si>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</si>
  <si>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</si>
  <si>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</si>
  <si>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</si>
  <si>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</si>
  <si>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</si>
  <si>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</si>
  <si>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</si>
  <si>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</si>
  <si>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</si>
  <si>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</si>
  <si>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</si>
  <si>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</si>
  <si>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</si>
  <si>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</si>
  <si>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</si>
  <si>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</si>
  <si>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</si>
  <si>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</si>
  <si>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</si>
  <si>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</si>
  <si>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</si>
  <si>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</si>
  <si>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</si>
  <si>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</si>
  <si>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</si>
  <si>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</si>
  <si>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</si>
  <si>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</si>
  <si>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</si>
  <si>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</si>
  <si>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</si>
  <si>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</si>
  <si>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</si>
  <si>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</si>
  <si>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</si>
  <si>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</si>
  <si>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</si>
  <si>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</si>
  <si>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</si>
  <si>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</si>
  <si>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</si>
  <si>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</si>
  <si>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</si>
  <si>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</si>
  <si>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</si>
  <si>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</si>
  <si>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</si>
  <si>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</si>
  <si>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</si>
  <si>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</si>
  <si>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</si>
  <si>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</si>
  <si>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</si>
  <si>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</si>
  <si>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</si>
  <si>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</si>
  <si>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</si>
  <si>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</si>
  <si>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</si>
  <si>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</si>
  <si>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</si>
  <si>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</si>
  <si>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</si>
  <si>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</si>
  <si>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</si>
  <si>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</si>
  <si>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</si>
  <si>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</si>
  <si>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</si>
  <si>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</si>
  <si>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</si>
  <si>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</si>
  <si>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</si>
  <si>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</si>
  <si>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</si>
  <si>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</si>
  <si>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</si>
  <si>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</si>
  <si>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</si>
  <si>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</si>
  <si>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</si>
  <si>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</si>
  <si>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</si>
  <si>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</si>
  <si>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</si>
  <si>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</si>
  <si>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</si>
  <si>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</si>
  <si>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</si>
  <si>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</si>
  <si>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</si>
  <si>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</si>
  <si>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</si>
  <si>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</si>
  <si>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</si>
  <si>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</si>
  <si>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</si>
  <si>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</si>
  <si>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</si>
  <si>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</si>
  <si>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</si>
  <si>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</si>
  <si>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</si>
  <si>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</si>
  <si>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</si>
  <si>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</si>
  <si>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</si>
  <si>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</si>
  <si>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</si>
  <si>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</si>
  <si>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</si>
  <si>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</si>
  <si>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</si>
  <si>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</si>
  <si>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</si>
  <si>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</si>
  <si>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</si>
  <si>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</si>
  <si>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</si>
  <si>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</si>
  <si>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</si>
  <si>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</si>
  <si>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</si>
  <si>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</si>
  <si>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</si>
  <si>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</si>
  <si>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</si>
  <si>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</si>
  <si>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</si>
  <si>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</si>
  <si>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</si>
  <si>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</si>
  <si>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</si>
  <si>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</si>
  <si>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</si>
  <si>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</si>
  <si>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</si>
  <si>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</si>
  <si>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</si>
  <si>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</si>
  <si>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</si>
  <si>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</si>
  <si>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</si>
  <si>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</si>
  <si>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</si>
  <si>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</si>
  <si>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</si>
  <si>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</si>
  <si>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</si>
  <si>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</si>
  <si>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</si>
  <si>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</si>
  <si>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</si>
  <si>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</si>
  <si>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</si>
  <si>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</si>
  <si>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</si>
  <si>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</si>
  <si>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</si>
  <si>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</si>
  <si>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</si>
  <si>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</si>
  <si>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</si>
  <si>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</si>
  <si>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</si>
  <si>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</si>
  <si>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</si>
  <si>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</si>
  <si>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</si>
  <si>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</si>
  <si>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</si>
  <si>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</si>
  <si>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</si>
  <si>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</si>
  <si>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</si>
  <si>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</si>
  <si>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</si>
  <si>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</si>
  <si>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</si>
  <si>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</si>
  <si>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</si>
  <si>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</si>
  <si>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</si>
  <si>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</si>
  <si>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</si>
  <si>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</si>
  <si>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</si>
  <si>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</si>
  <si>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</si>
  <si>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</si>
  <si>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</si>
  <si>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</si>
  <si>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</si>
  <si>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</si>
  <si>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</si>
  <si>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</si>
  <si>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</si>
  <si>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</si>
  <si>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</si>
  <si>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</si>
  <si>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</si>
  <si>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</si>
  <si>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</si>
  <si>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</si>
  <si>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</si>
  <si>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</si>
  <si>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</si>
  <si>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</si>
  <si>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</si>
  <si>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</si>
  <si>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</si>
  <si>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</si>
  <si>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</si>
  <si>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</si>
  <si>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</si>
  <si>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</si>
  <si>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</si>
  <si>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</si>
  <si>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</si>
  <si>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</si>
  <si>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</si>
  <si>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</si>
  <si>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</si>
  <si>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</si>
  <si>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</si>
  <si>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</si>
  <si>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</si>
  <si>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</si>
  <si>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</si>
  <si>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</si>
  <si>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</si>
  <si>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</si>
  <si>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</si>
  <si>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</si>
  <si>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</si>
  <si>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</si>
  <si>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</si>
  <si>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</si>
  <si>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</si>
  <si>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</si>
  <si>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</si>
  <si>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</si>
  <si>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</si>
  <si>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</si>
  <si>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</si>
  <si>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</si>
  <si>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</si>
  <si>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</si>
  <si>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</si>
  <si>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</si>
  <si>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</si>
  <si>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</si>
  <si>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</si>
  <si>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</si>
  <si>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</si>
  <si>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</si>
  <si>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</si>
  <si>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</si>
  <si>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</si>
  <si>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</si>
  <si>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</si>
  <si>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</si>
  <si>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</si>
  <si>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</si>
  <si>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</si>
  <si>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</si>
  <si>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</si>
  <si>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</si>
  <si>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</si>
  <si>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</si>
  <si>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</si>
  <si>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</si>
  <si>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</si>
  <si>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</si>
  <si>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</si>
  <si>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</si>
  <si>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</si>
  <si>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</si>
  <si>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</si>
  <si>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</si>
  <si>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</si>
  <si>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</si>
  <si>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</si>
  <si>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</si>
  <si>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</si>
  <si>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</si>
  <si>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</si>
  <si>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</si>
  <si>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</si>
  <si>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</si>
  <si>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</si>
  <si>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</si>
  <si>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</si>
  <si>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</si>
  <si>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</si>
  <si>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</si>
  <si>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</si>
  <si>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</si>
  <si>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</si>
  <si>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</si>
  <si>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</si>
  <si>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</si>
  <si>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</si>
  <si>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</si>
  <si>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</si>
  <si>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</si>
  <si>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</si>
  <si>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</si>
  <si>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</si>
  <si>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</si>
  <si>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</si>
  <si>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</si>
  <si>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</si>
  <si>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</si>
  <si>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</si>
  <si>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</si>
  <si>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</si>
  <si>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</si>
  <si>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</si>
  <si>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</si>
  <si>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</si>
  <si>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</si>
  <si>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</si>
  <si>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</si>
  <si>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</si>
  <si>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</si>
  <si>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</si>
  <si>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</si>
  <si>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</si>
  <si>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</si>
  <si>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</si>
  <si>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</si>
  <si>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</si>
  <si>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</si>
  <si>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</si>
  <si>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</si>
  <si>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</si>
  <si>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</si>
  <si>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</si>
  <si>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</si>
  <si>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</si>
  <si>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</si>
  <si>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</si>
  <si>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</si>
  <si>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</si>
  <si>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</si>
  <si>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</si>
  <si>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</si>
  <si>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</si>
  <si>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</si>
  <si>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</si>
  <si>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</si>
  <si>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</si>
  <si>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</si>
  <si>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</si>
  <si>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</si>
  <si>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</si>
  <si>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</si>
  <si>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</si>
  <si>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</si>
  <si>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</si>
  <si>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</si>
  <si>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</si>
  <si>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</si>
  <si>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</si>
  <si>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</si>
  <si>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</si>
  <si>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</si>
  <si>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</si>
  <si>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</si>
  <si>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</si>
  <si>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</si>
  <si>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</si>
  <si>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</si>
  <si>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</si>
  <si>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</si>
  <si>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</si>
  <si>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</si>
  <si>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</si>
  <si>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</si>
  <si>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</si>
  <si>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</si>
  <si>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</si>
  <si>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</si>
  <si>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</si>
  <si>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</si>
  <si>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</si>
  <si>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</si>
  <si>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</si>
  <si>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</si>
  <si>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</si>
  <si>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</si>
  <si>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</si>
  <si>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</si>
  <si>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</si>
  <si>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</si>
  <si>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</si>
  <si>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</si>
  <si>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</si>
  <si>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</si>
  <si>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</si>
  <si>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</si>
  <si>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</si>
  <si>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</si>
  <si>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</si>
  <si>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</si>
  <si>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</si>
  <si>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</si>
  <si>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</si>
  <si>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</si>
  <si>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</si>
  <si>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</si>
  <si>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</si>
  <si>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</si>
  <si>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</si>
  <si>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</si>
  <si>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</si>
  <si>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</si>
  <si>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</si>
  <si>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</si>
  <si>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</si>
  <si>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</si>
  <si>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</si>
  <si>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</si>
  <si>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</si>
  <si>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</si>
  <si>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</si>
  <si>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</si>
  <si>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</si>
  <si>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</si>
  <si>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</si>
  <si>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</si>
  <si>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</si>
  <si>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</si>
  <si>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</si>
  <si>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</si>
  <si>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</si>
  <si>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</si>
  <si>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</si>
  <si>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</si>
  <si>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</si>
  <si>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</si>
  <si>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</si>
  <si>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</si>
  <si>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</si>
  <si>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</si>
  <si>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</si>
  <si>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</si>
  <si>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</si>
  <si>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</si>
  <si>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</si>
  <si>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</si>
  <si>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</si>
  <si>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</si>
  <si>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</si>
  <si>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</si>
  <si>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</si>
  <si>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</si>
  <si>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</si>
  <si>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</si>
  <si>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</si>
  <si>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</si>
  <si>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</si>
  <si>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</si>
  <si>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</si>
  <si>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</si>
  <si>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</si>
  <si>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</si>
  <si>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</si>
  <si>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</si>
  <si>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</si>
  <si>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</si>
  <si>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</si>
  <si>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</si>
  <si>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</si>
  <si>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</si>
  <si>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</si>
  <si>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</si>
  <si>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</si>
  <si>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</si>
  <si>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</si>
  <si>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</si>
  <si>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</si>
  <si>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</si>
  <si>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</si>
  <si>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</si>
  <si>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</si>
  <si>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</si>
  <si>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</si>
  <si>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</si>
  <si>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</si>
  <si>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</si>
  <si>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</si>
  <si>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</si>
  <si>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</si>
  <si>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</si>
  <si>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</si>
  <si>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</si>
  <si>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</si>
  <si>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</si>
  <si>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</si>
  <si>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</si>
  <si>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</si>
  <si>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</si>
  <si>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</si>
  <si>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</si>
  <si>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</si>
  <si>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</si>
  <si>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</si>
  <si>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</si>
  <si>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</si>
  <si>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</si>
  <si>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</si>
  <si>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</si>
  <si>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</si>
  <si>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</si>
  <si>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</si>
  <si>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</si>
  <si>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</si>
  <si>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</si>
  <si>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</si>
  <si>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</si>
  <si>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</si>
  <si>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</si>
  <si>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</si>
  <si>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</si>
  <si>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</si>
  <si>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</si>
  <si>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</si>
  <si>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</si>
  <si>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</si>
  <si>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</si>
  <si>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</si>
  <si>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</si>
  <si>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</si>
  <si>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</si>
  <si>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</si>
  <si>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</si>
  <si>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</si>
  <si>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</si>
  <si>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</si>
  <si>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</si>
  <si>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</si>
  <si>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</si>
  <si>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</si>
  <si>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</si>
  <si>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</si>
  <si>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</si>
  <si>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</si>
  <si>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</si>
  <si>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</si>
  <si>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</si>
  <si>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</si>
  <si>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</si>
  <si>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</si>
  <si>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</si>
  <si>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</si>
  <si>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</si>
  <si>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</si>
  <si>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</si>
  <si>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</si>
  <si>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</si>
  <si>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</si>
  <si>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</si>
  <si>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</si>
  <si>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</si>
  <si>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</si>
  <si>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</si>
  <si>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</si>
  <si>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</si>
  <si>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</si>
  <si>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</si>
  <si>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</si>
  <si>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</si>
  <si>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</si>
  <si>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</si>
  <si>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</si>
  <si>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</si>
  <si>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</si>
  <si>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</si>
  <si>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</si>
  <si>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</si>
  <si>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</si>
  <si>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</si>
  <si>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</si>
  <si>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</si>
  <si>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</si>
  <si>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</si>
  <si>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</si>
  <si>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</si>
  <si>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</si>
  <si>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</si>
  <si>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</si>
  <si>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</si>
  <si>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</si>
  <si>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</si>
  <si>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</si>
  <si>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</si>
  <si>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</si>
  <si>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</si>
  <si>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</si>
  <si>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</si>
  <si>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</si>
  <si>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</si>
  <si>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</si>
  <si>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</si>
  <si>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</si>
  <si>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</si>
  <si>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</si>
  <si>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</si>
  <si>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</si>
  <si>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</si>
  <si>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</si>
  <si>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</si>
  <si>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</si>
  <si>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</si>
  <si>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</si>
  <si>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</si>
  <si>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</si>
  <si>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</si>
  <si>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</si>
  <si>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</si>
  <si>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</si>
  <si>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</si>
  <si>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</si>
  <si>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</si>
  <si>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</si>
  <si>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</si>
  <si>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</si>
  <si>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</si>
  <si>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</si>
  <si>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</si>
  <si>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</si>
  <si>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</si>
  <si>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</si>
  <si>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</si>
  <si>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</si>
  <si>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</si>
  <si>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</si>
  <si>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</si>
  <si>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</si>
  <si>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</si>
  <si>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</si>
  <si>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</si>
  <si>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</si>
  <si>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</si>
  <si>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</si>
  <si>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</si>
  <si>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</si>
  <si>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</si>
  <si>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</si>
  <si>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</si>
  <si>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</si>
  <si>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</si>
  <si>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</si>
  <si>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</si>
  <si>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</si>
  <si>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</si>
  <si>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</si>
  <si>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</si>
  <si>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</si>
  <si>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</si>
  <si>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</si>
  <si>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</si>
  <si>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</si>
  <si>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</si>
  <si>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</si>
  <si>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</si>
  <si>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</si>
  <si>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</si>
  <si>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</si>
  <si>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</si>
  <si>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</si>
  <si>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</si>
  <si>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</si>
  <si>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</si>
  <si>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</si>
  <si>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</si>
  <si>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</si>
  <si>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</si>
  <si>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</si>
  <si>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</si>
  <si>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</si>
  <si>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</si>
  <si>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</si>
  <si>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</si>
  <si>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</si>
  <si>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</si>
  <si>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</si>
  <si>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</si>
  <si>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</si>
  <si>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</si>
  <si>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</si>
  <si>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</si>
  <si>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</si>
  <si>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</si>
  <si>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</si>
  <si>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</si>
  <si>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</si>
  <si>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</si>
  <si>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</si>
  <si>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</si>
  <si>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</si>
  <si>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</si>
  <si>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</si>
  <si>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</si>
  <si>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</si>
  <si>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</si>
  <si>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</si>
  <si>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</si>
  <si>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</si>
  <si>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</si>
  <si>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</si>
  <si>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</si>
  <si>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</si>
  <si>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</si>
  <si>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</si>
  <si>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</si>
  <si>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</si>
  <si>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</si>
  <si>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</si>
  <si>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</si>
  <si>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</si>
  <si>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</si>
  <si>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</si>
  <si>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</si>
  <si>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</si>
  <si>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</si>
  <si>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</si>
  <si>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</si>
  <si>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</si>
  <si>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</si>
  <si>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</si>
  <si>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</si>
  <si>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</si>
  <si>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</si>
  <si>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</si>
  <si>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</si>
  <si>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</si>
  <si>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</si>
  <si>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</si>
  <si>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</si>
  <si>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</si>
  <si>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</si>
  <si>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</si>
  <si>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</si>
  <si>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</si>
  <si>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</si>
  <si>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</si>
  <si>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</si>
  <si>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</si>
  <si>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VERMILION</t>
  </si>
  <si>
    <t>15009 CATLIN-TILTON ROAD</t>
  </si>
  <si>
    <t>DANVILLE</t>
  </si>
  <si>
    <t>Kristin Dunker</t>
  </si>
  <si>
    <t>dunkerk@vase.k12.il.us</t>
  </si>
  <si>
    <t>217-443-8273</t>
  </si>
  <si>
    <t>217-443-0217</t>
  </si>
  <si>
    <t>RUSSELL LEIGH &amp; ASSOICATES</t>
  </si>
  <si>
    <t>RUSS LEIGH</t>
  </si>
  <si>
    <t>228 E MAIN ST</t>
  </si>
  <si>
    <t>HOOPESTON</t>
  </si>
  <si>
    <t>IL</t>
  </si>
  <si>
    <t>217-283-9336</t>
  </si>
  <si>
    <t>217-283-9736</t>
  </si>
  <si>
    <t>065.018319</t>
  </si>
  <si>
    <t>admin@russleigh.com</t>
  </si>
  <si>
    <t>Russell Leigh &amp; Associates</t>
  </si>
  <si>
    <t>No applicable contracts paid.</t>
  </si>
  <si>
    <t>x</t>
  </si>
  <si>
    <t>Page 11 - Acct 1999 - Other Local Revenue</t>
  </si>
  <si>
    <t>Col 10 - Educational</t>
  </si>
  <si>
    <t>Page 12 - Acct 3999 - Other Restricted Revenue from State Sources</t>
  </si>
  <si>
    <t>Page 14 - Acct 4999 - Other Restricted Revenue from Federal Sources</t>
  </si>
  <si>
    <t>Refunds &amp; Reimbursements - $45,177</t>
  </si>
  <si>
    <t>RSSP Career Ed Grant - $57,958</t>
  </si>
  <si>
    <t>Department of Human Services, Rehabilitation Services - $76,540</t>
  </si>
  <si>
    <t>Auditcheck Tab - #13 Contracts Paid Error</t>
  </si>
  <si>
    <t>No applicable contracts were paid during the year.</t>
  </si>
  <si>
    <t>The accompanying Schedule of Expenditures of Federal Awards includes the federal grant activity of Vermilion Association of Special Education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</si>
  <si>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Vermilion Association of Special Education provided federal awards to subrecipients as follows:</t>
  </si>
  <si>
    <t>none</t>
  </si>
  <si>
    <r>
      <t xml:space="preserve">The following amounts were expended in the form of non-cash assistance by Vermilion Association of Special Education and </t>
    </r>
    <r>
      <rPr>
        <b/>
        <sz val="9"/>
        <rFont val="Calibri"/>
        <family val="2"/>
        <scheme val="minor"/>
      </rPr>
      <t>should be</t>
    </r>
    <r>
      <rPr>
        <sz val="9"/>
        <rFont val="Calibri"/>
        <family val="2"/>
        <scheme val="minor"/>
      </rPr>
      <t xml:space="preserve"> included in the Schedule of Expenditures of Federal Awards:</t>
    </r>
  </si>
  <si>
    <t>no</t>
  </si>
  <si>
    <t>U.S. Department of agriculture</t>
  </si>
  <si>
    <t xml:space="preserve">     Passed Through the Illinois State Board of Education</t>
  </si>
  <si>
    <t xml:space="preserve">       School Lunch-Regular</t>
  </si>
  <si>
    <t>18-4210</t>
  </si>
  <si>
    <t xml:space="preserve">       School Breakfast</t>
  </si>
  <si>
    <t>18-4220</t>
  </si>
  <si>
    <t xml:space="preserve">          Total U.S. Department of Agriculture</t>
  </si>
  <si>
    <t>U.S. Department of Education</t>
  </si>
  <si>
    <t xml:space="preserve">       Preschool-Flow Thru</t>
  </si>
  <si>
    <t>84.173a</t>
  </si>
  <si>
    <t>17-4600</t>
  </si>
  <si>
    <t xml:space="preserve">        Preschool-Flow Thru</t>
  </si>
  <si>
    <t>18-4600</t>
  </si>
  <si>
    <t>17-4620</t>
  </si>
  <si>
    <t>(M) IDEA -Flow Thru</t>
  </si>
  <si>
    <t>18-4620</t>
  </si>
  <si>
    <t xml:space="preserve">          Total U.S. Department of Education</t>
  </si>
  <si>
    <t>U.S. Department of Health and Human Services</t>
  </si>
  <si>
    <t xml:space="preserve">     Passed through the Illinois Department of Healthcare and Family Services</t>
  </si>
  <si>
    <t xml:space="preserve">       Rehab Services</t>
  </si>
  <si>
    <t>18-4998</t>
  </si>
  <si>
    <t xml:space="preserve">       Medicaid-Admin Outreach</t>
  </si>
  <si>
    <t>18-4991</t>
  </si>
  <si>
    <t xml:space="preserve">          Total U.S. Department of Health and Human Services</t>
  </si>
  <si>
    <t xml:space="preserve">          Total Federal Financial Assistance</t>
  </si>
  <si>
    <t>Qualified-Regulatory/Adverse-GAAP</t>
  </si>
  <si>
    <t xml:space="preserve"> x</t>
  </si>
  <si>
    <t>Unmodified</t>
  </si>
  <si>
    <t>IDEA-Flow Thru</t>
  </si>
  <si>
    <t>Vermilion Assoc for SpEd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</si>
</sst>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1220932</xdr:colOff>
          <xdr:row>3</xdr:row>
          <xdr:rowOff>69274</xdr:rowOff>
        </xdr:from>
        <xdr:to>
          <xdr:col>1</xdr:col>
          <xdr:colOff>2135332</xdr:colOff>
          <xdr:row>7</xdr:row>
          <xdr:rowOff>107374</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c r="C5" s="26" t="s">
        <v>966</v>
      </c>
      <c r="D5" s="84"/>
      <c r="E5" s="84"/>
      <c r="H5" s="38"/>
      <c r="I5" s="2009" t="s">
        <v>701</v>
      </c>
      <c r="J5" s="2008"/>
      <c r="K5" s="2008"/>
      <c r="L5" s="2008"/>
      <c r="M5" s="2008"/>
      <c r="N5" s="2008"/>
      <c r="O5" s="2008"/>
      <c r="P5" s="2008"/>
      <c r="Q5" s="2008"/>
      <c r="R5" s="2008"/>
      <c r="S5" s="2008"/>
    </row>
    <row r="6" spans="1:28" ht="14.1" customHeight="1" x14ac:dyDescent="0.2">
      <c r="B6" s="104" t="s">
        <v>2074</v>
      </c>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2074</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54092801060</v>
      </c>
      <c r="B13" s="2035"/>
      <c r="C13" s="2035"/>
      <c r="D13" s="2035"/>
      <c r="E13" s="2035"/>
      <c r="F13" s="2035"/>
      <c r="G13" s="2035"/>
      <c r="H13" s="2036"/>
      <c r="I13" s="31"/>
      <c r="J13" s="30"/>
      <c r="K13" s="28"/>
      <c r="L13" s="30"/>
      <c r="M13" s="30"/>
      <c r="N13" s="30"/>
      <c r="O13" s="30"/>
      <c r="P13" s="30"/>
      <c r="Q13" s="30"/>
      <c r="R13" s="30"/>
      <c r="S13" s="30"/>
      <c r="T13" s="2039" t="s">
        <v>2082</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2075</v>
      </c>
      <c r="B15" s="2037"/>
      <c r="C15" s="2037"/>
      <c r="D15" s="2037"/>
      <c r="E15" s="2037"/>
      <c r="F15" s="2037"/>
      <c r="G15" s="2037"/>
      <c r="H15" s="2038"/>
      <c r="T15" s="2043" t="s">
        <v>2083</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2137</v>
      </c>
      <c r="B17" s="1994"/>
      <c r="C17" s="1994"/>
      <c r="D17" s="1994"/>
      <c r="E17" s="1994"/>
      <c r="F17" s="1994"/>
      <c r="G17" s="1994"/>
      <c r="H17" s="2019"/>
      <c r="T17" s="2050" t="s">
        <v>2084</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2076</v>
      </c>
      <c r="B19" s="1979"/>
      <c r="C19" s="1979"/>
      <c r="D19" s="1979"/>
      <c r="E19" s="1979"/>
      <c r="F19" s="1979"/>
      <c r="G19" s="1979"/>
      <c r="H19" s="1959"/>
      <c r="I19" s="30"/>
      <c r="J19" s="99"/>
      <c r="K19" s="40"/>
      <c r="L19" s="38"/>
      <c r="M19" s="112" t="s">
        <v>333</v>
      </c>
      <c r="P19" s="27"/>
      <c r="Q19" s="27"/>
      <c r="R19" s="27"/>
      <c r="S19" s="31"/>
      <c r="T19" s="2033" t="s">
        <v>2085</v>
      </c>
      <c r="U19" s="1958"/>
      <c r="V19" s="1958"/>
      <c r="W19" s="1959"/>
      <c r="X19" s="2048" t="s">
        <v>2086</v>
      </c>
      <c r="Y19" s="2049"/>
      <c r="Z19" s="2046">
        <v>60942</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2077</v>
      </c>
      <c r="B21" s="1958"/>
      <c r="C21" s="1958"/>
      <c r="D21" s="1958"/>
      <c r="E21" s="1958"/>
      <c r="F21" s="1958"/>
      <c r="G21" s="1958"/>
      <c r="H21" s="1959"/>
      <c r="I21" s="2013" t="s">
        <v>699</v>
      </c>
      <c r="J21" s="2008"/>
      <c r="K21" s="2008"/>
      <c r="L21" s="2008"/>
      <c r="M21" s="2008"/>
      <c r="N21" s="2008"/>
      <c r="O21" s="2008"/>
      <c r="P21" s="2008"/>
      <c r="Q21" s="2008"/>
      <c r="R21" s="2008"/>
      <c r="S21" s="2014"/>
      <c r="T21" s="2058" t="s">
        <v>2087</v>
      </c>
      <c r="U21" s="2059"/>
      <c r="V21" s="2059"/>
      <c r="W21" s="2059"/>
      <c r="X21" s="2064" t="s">
        <v>2088</v>
      </c>
      <c r="Y21" s="2065"/>
      <c r="Z21" s="2065"/>
      <c r="AA21" s="2066"/>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c r="B23" s="2011"/>
      <c r="C23" s="2011"/>
      <c r="D23" s="2011"/>
      <c r="E23" s="2011"/>
      <c r="F23" s="2011"/>
      <c r="G23" s="2011"/>
      <c r="H23" s="2012"/>
      <c r="T23" s="2056" t="s">
        <v>2089</v>
      </c>
      <c r="U23" s="2057"/>
      <c r="V23" s="2057"/>
      <c r="W23" s="2057"/>
      <c r="X23" s="2061">
        <v>44469</v>
      </c>
      <c r="Y23" s="2062"/>
      <c r="Z23" s="2062"/>
      <c r="AA23" s="2063"/>
    </row>
    <row r="24" spans="1:27" ht="14.1" customHeight="1" x14ac:dyDescent="0.2">
      <c r="A24" s="88" t="s">
        <v>698</v>
      </c>
      <c r="B24" s="49"/>
      <c r="C24" s="49"/>
      <c r="D24" s="49"/>
      <c r="E24" s="49"/>
      <c r="F24" s="49"/>
      <c r="G24" s="49"/>
      <c r="H24" s="61"/>
      <c r="J24" s="1980" t="str">
        <f>IF(B5="x",IF(AUDITCHECK!D29="AFR form Incomplete.","",IF(AUDITCHECK!D29="Deficit reduction plan is required.","School District must complete a deficit reduction plan in the 2018-2019 Budget",)),"")</f>
        <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61834</v>
      </c>
      <c r="B25" s="1958"/>
      <c r="C25" s="1958"/>
      <c r="D25" s="1958"/>
      <c r="E25" s="1958"/>
      <c r="F25" s="1958"/>
      <c r="G25" s="1958"/>
      <c r="H25" s="1959"/>
      <c r="I25" s="113"/>
      <c r="J25" s="1982"/>
      <c r="K25" s="1982"/>
      <c r="L25" s="1982"/>
      <c r="M25" s="1982"/>
      <c r="N25" s="1982"/>
      <c r="O25" s="1982"/>
      <c r="P25" s="1982"/>
      <c r="Q25" s="1982"/>
      <c r="R25" s="1982"/>
      <c r="S25" s="1983"/>
      <c r="T25" s="2053" t="s">
        <v>2090</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2078</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2079</v>
      </c>
      <c r="B40" s="1972"/>
      <c r="C40" s="1973"/>
      <c r="D40" s="1973"/>
      <c r="E40" s="1973"/>
      <c r="F40" s="1974"/>
      <c r="G40" s="1974"/>
      <c r="H40" s="1975"/>
      <c r="I40" s="1996"/>
      <c r="J40" s="1997"/>
      <c r="K40" s="1997"/>
      <c r="L40" s="1997"/>
      <c r="M40" s="1997"/>
      <c r="N40" s="1997"/>
      <c r="O40" s="1997"/>
      <c r="P40" s="1997"/>
      <c r="Q40" s="1997"/>
      <c r="R40" s="1997"/>
      <c r="S40" s="1998"/>
      <c r="T40" s="1996"/>
      <c r="U40" s="2060"/>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2080</v>
      </c>
      <c r="B42" s="1977"/>
      <c r="C42" s="1978"/>
      <c r="D42" s="1976" t="s">
        <v>2081</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9" t="s">
        <v>1709</v>
      </c>
    </row>
    <row r="23" spans="1:5" x14ac:dyDescent="0.2">
      <c r="A23" s="168"/>
      <c r="B23" s="162" t="s">
        <v>1965</v>
      </c>
      <c r="D23" s="167" t="s">
        <v>658</v>
      </c>
      <c r="E23" s="1859"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t="s">
        <v>2074</v>
      </c>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2091</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5682986</v>
      </c>
      <c r="E16" s="356"/>
      <c r="F16" s="1755">
        <f>SUM('Acct Summary 7-8'!C17,'Acct Summary 7-8'!D17,'Acct Summary 7-8'!F17)</f>
        <v>4834151</v>
      </c>
      <c r="G16" s="356"/>
      <c r="H16" s="1755">
        <f>SUM(D16-F16)</f>
        <v>848835</v>
      </c>
      <c r="I16" s="222"/>
      <c r="J16" s="1755">
        <f>SUM('Acct Summary 7-8'!C81,'Acct Summary 7-8'!D81,'Acct Summary 7-8'!F81,'Acct Summary 7-8'!I81)</f>
        <v>3542162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Vermilion Assoc for SpEd</v>
      </c>
      <c r="E7" s="391"/>
      <c r="G7" s="252"/>
      <c r="H7" s="387"/>
      <c r="I7" s="387"/>
      <c r="J7" s="387"/>
      <c r="K7" s="387"/>
      <c r="L7" s="329"/>
      <c r="M7" s="329"/>
      <c r="N7" s="329"/>
      <c r="O7" s="329"/>
      <c r="P7" s="329"/>
    </row>
    <row r="8" spans="1:18" ht="12.75" x14ac:dyDescent="0.2">
      <c r="A8" s="329"/>
      <c r="B8" s="329"/>
      <c r="C8" s="389" t="s">
        <v>1187</v>
      </c>
      <c r="D8" s="392">
        <f>COVER!A13</f>
        <v>54092801060</v>
      </c>
      <c r="E8" s="393"/>
      <c r="G8" s="329"/>
      <c r="H8" s="329"/>
      <c r="I8" s="329"/>
      <c r="J8" s="329"/>
      <c r="K8" s="329"/>
      <c r="L8" s="329"/>
      <c r="M8" s="329"/>
      <c r="N8" s="329"/>
      <c r="O8" s="329"/>
      <c r="P8" s="329"/>
    </row>
    <row r="9" spans="1:18" ht="12.75" x14ac:dyDescent="0.2">
      <c r="A9" s="329"/>
      <c r="B9" s="329"/>
      <c r="C9" s="389" t="s">
        <v>737</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3542162</v>
      </c>
      <c r="I12" s="404"/>
      <c r="J12" s="404"/>
      <c r="K12" s="405">
        <f>TRUNC((H12/H13*100000),5)/100000</f>
        <v>0.62329240289999999</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5682986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4834151</v>
      </c>
      <c r="I17" s="404"/>
      <c r="J17" s="416"/>
      <c r="K17" s="405">
        <f>TRUNC((H17/H18*100000),5)/100000</f>
        <v>0.85063573969999995</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5682986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3543012</v>
      </c>
      <c r="I24" s="422"/>
      <c r="J24" s="422"/>
      <c r="K24" s="423">
        <f>TRUNC(((H24/H25*100000)/100000),2)</f>
        <v>263.83999999999997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13428.19722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3543012</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3543012</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214123</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342822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556945</v>
      </c>
      <c r="N23" s="1710">
        <f>SUM(N21:N22)</f>
        <v>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850</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850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3542162</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556945</v>
      </c>
      <c r="N40" s="497"/>
    </row>
    <row r="41" spans="1:14" ht="13.5" customHeight="1" thickBot="1" x14ac:dyDescent="0.25">
      <c r="A41" s="1758" t="s">
        <v>676</v>
      </c>
      <c r="B41" s="1728"/>
      <c r="C41" s="1710">
        <f>(SUM(C34,C37,C38,C39))</f>
        <v>3543012</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556945</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7" activePane="bottomLeft" state="frozenSplit"/>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2576636</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584568</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2521782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5682986</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1483984</v>
      </c>
      <c r="D9" s="516"/>
      <c r="E9" s="481"/>
      <c r="F9" s="481"/>
      <c r="G9" s="517"/>
      <c r="H9" s="481"/>
      <c r="I9" s="509" t="s">
        <v>1231</v>
      </c>
      <c r="J9" s="478"/>
      <c r="K9" s="481"/>
      <c r="L9" s="347"/>
    </row>
    <row r="10" spans="1:13" s="519" customFormat="1" ht="13.5" thickBot="1" x14ac:dyDescent="0.25">
      <c r="A10" s="1758" t="s">
        <v>1235</v>
      </c>
      <c r="B10" s="1731"/>
      <c r="C10" s="1710">
        <f>SUM(C8:C9)</f>
        <v>7166970</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1496128</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3337930</v>
      </c>
      <c r="D13" s="1765">
        <f>'Expenditures 15-22'!K129</f>
        <v>0</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93</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4834151</v>
      </c>
      <c r="D17" s="1710">
        <f t="shared" si="2"/>
        <v>0</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1483984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6318135</v>
      </c>
      <c r="D19" s="1710">
        <f t="shared" si="4"/>
        <v>0</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3" t="s">
        <v>1754</v>
      </c>
      <c r="B20" s="2144"/>
      <c r="C20" s="1768">
        <f>C8-C17</f>
        <v>848835</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1894</v>
      </c>
      <c r="B30" s="527">
        <v>7160</v>
      </c>
      <c r="C30" s="477"/>
      <c r="D30" s="467"/>
      <c r="E30" s="477"/>
      <c r="F30" s="477"/>
      <c r="G30" s="477"/>
      <c r="H30" s="477"/>
      <c r="I30" s="477"/>
      <c r="J30" s="477"/>
      <c r="K30" s="477"/>
      <c r="L30" s="524"/>
    </row>
    <row r="31" spans="1:12" s="485" customFormat="1" ht="26.25" x14ac:dyDescent="0.2">
      <c r="A31" s="1511" t="s">
        <v>1898</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5">
        <f>D30</f>
        <v>0</v>
      </c>
      <c r="L52" s="524"/>
    </row>
    <row r="53" spans="1:12" s="485" customFormat="1" ht="26.25" x14ac:dyDescent="0.2">
      <c r="A53" s="1512" t="s">
        <v>1896</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9" t="s">
        <v>618</v>
      </c>
      <c r="B78" s="2140"/>
      <c r="C78" s="1724">
        <f t="shared" ref="C78:K78" si="9">C20+C77</f>
        <v>848835</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2068</v>
      </c>
      <c r="B79" s="534"/>
      <c r="C79" s="478">
        <v>2693327</v>
      </c>
      <c r="D79" s="535"/>
      <c r="E79" s="535"/>
      <c r="F79" s="535"/>
      <c r="G79" s="535"/>
      <c r="H79" s="535"/>
      <c r="I79" s="535"/>
      <c r="J79" s="535"/>
      <c r="K79" s="535"/>
      <c r="L79" s="347"/>
    </row>
    <row r="80" spans="1:12" x14ac:dyDescent="0.2">
      <c r="A80" s="2145" t="s">
        <v>1895</v>
      </c>
      <c r="B80" s="2146"/>
      <c r="C80" s="467"/>
      <c r="D80" s="467"/>
      <c r="E80" s="467"/>
      <c r="F80" s="467"/>
      <c r="G80" s="467"/>
      <c r="H80" s="467"/>
      <c r="I80" s="467"/>
      <c r="J80" s="467"/>
      <c r="K80" s="467"/>
      <c r="L80" s="347"/>
    </row>
    <row r="81" spans="1:12" ht="13.5" thickBot="1" x14ac:dyDescent="0.25">
      <c r="A81" s="2137" t="s">
        <v>2069</v>
      </c>
      <c r="B81" s="2138"/>
      <c r="C81" s="1710">
        <f>(SUM(C78:C80))</f>
        <v>3542162</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848835</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0.23963754339863619</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1902</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2030734</v>
      </c>
      <c r="D33" s="468"/>
      <c r="E33" s="468"/>
      <c r="F33" s="468"/>
      <c r="G33" s="468"/>
      <c r="H33" s="468"/>
      <c r="I33" s="468"/>
      <c r="J33" s="468"/>
      <c r="K33" s="468"/>
    </row>
    <row r="34" spans="1:11" ht="12.75" customHeight="1" x14ac:dyDescent="0.2">
      <c r="A34" s="463" t="s">
        <v>516</v>
      </c>
      <c r="B34" s="470">
        <v>1343</v>
      </c>
      <c r="C34" s="551">
        <v>171699</v>
      </c>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2202433</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30354</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30354</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339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339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3500</v>
      </c>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294833</v>
      </c>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45177</v>
      </c>
      <c r="D107" s="466"/>
      <c r="E107" s="466"/>
      <c r="F107" s="466"/>
      <c r="G107" s="466"/>
      <c r="H107" s="466"/>
      <c r="I107" s="466"/>
      <c r="J107" s="467"/>
      <c r="K107" s="466"/>
    </row>
    <row r="108" spans="1:12" ht="12.75" customHeight="1" thickBot="1" x14ac:dyDescent="0.25">
      <c r="A108" s="1730" t="s">
        <v>508</v>
      </c>
      <c r="B108" s="1734"/>
      <c r="C108" s="1729">
        <f>SUM(C95:C107)</f>
        <v>343510</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2576636</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350468</v>
      </c>
      <c r="D117" s="481"/>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8" t="s">
        <v>1901</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350468</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175774</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175774</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368</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57958</v>
      </c>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234100</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584568</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1903</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18590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5048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23638</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94675</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2072636</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2167311</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38451</v>
      </c>
      <c r="D270" s="576"/>
      <c r="E270" s="468"/>
      <c r="F270" s="576"/>
      <c r="G270" s="576"/>
      <c r="H270" s="468"/>
      <c r="I270" s="468"/>
      <c r="J270" s="468"/>
      <c r="K270" s="468"/>
    </row>
    <row r="271" spans="1:11" ht="12.75" customHeight="1" thickTop="1" thickBot="1" x14ac:dyDescent="0.25">
      <c r="A271" s="463" t="s">
        <v>395</v>
      </c>
      <c r="B271" s="470">
        <v>4992</v>
      </c>
      <c r="C271" s="575">
        <v>215842</v>
      </c>
      <c r="D271" s="576"/>
      <c r="E271" s="468"/>
      <c r="F271" s="576"/>
      <c r="G271" s="576"/>
      <c r="H271" s="468"/>
      <c r="I271" s="468"/>
      <c r="J271" s="468"/>
      <c r="K271" s="468"/>
    </row>
    <row r="272" spans="1:11" s="594" customFormat="1" ht="12.75" customHeight="1" thickTop="1" thickBot="1" x14ac:dyDescent="0.25">
      <c r="A272" s="563" t="s">
        <v>77</v>
      </c>
      <c r="B272" s="557">
        <v>4999</v>
      </c>
      <c r="C272" s="575">
        <v>76540</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2521782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2521782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5682986</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813206</v>
      </c>
      <c r="D8" s="466">
        <v>254233</v>
      </c>
      <c r="E8" s="466">
        <v>44448</v>
      </c>
      <c r="F8" s="466">
        <v>26577</v>
      </c>
      <c r="G8" s="466"/>
      <c r="H8" s="466"/>
      <c r="I8" s="467"/>
      <c r="J8" s="467"/>
      <c r="K8" s="1693">
        <f t="shared" si="0"/>
        <v>1138464</v>
      </c>
      <c r="L8" s="466">
        <v>1197229</v>
      </c>
    </row>
    <row r="9" spans="1:14" x14ac:dyDescent="0.2">
      <c r="A9" s="1526" t="s">
        <v>745</v>
      </c>
      <c r="B9" s="615" t="s">
        <v>1025</v>
      </c>
      <c r="C9" s="467"/>
      <c r="D9" s="467"/>
      <c r="E9" s="467">
        <v>199</v>
      </c>
      <c r="F9" s="467">
        <v>1005</v>
      </c>
      <c r="G9" s="467"/>
      <c r="H9" s="467"/>
      <c r="I9" s="467"/>
      <c r="J9" s="467"/>
      <c r="K9" s="1693">
        <f t="shared" si="0"/>
        <v>1204</v>
      </c>
      <c r="L9" s="466">
        <v>1505</v>
      </c>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83323</v>
      </c>
      <c r="D13" s="466">
        <v>18757</v>
      </c>
      <c r="E13" s="466">
        <v>7422</v>
      </c>
      <c r="F13" s="466">
        <v>8339</v>
      </c>
      <c r="G13" s="466"/>
      <c r="H13" s="466"/>
      <c r="I13" s="467"/>
      <c r="J13" s="467"/>
      <c r="K13" s="1693">
        <f t="shared" si="0"/>
        <v>117841</v>
      </c>
      <c r="L13" s="466">
        <v>123301</v>
      </c>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v>169364</v>
      </c>
      <c r="D19" s="466">
        <v>33493</v>
      </c>
      <c r="E19" s="466">
        <v>4513</v>
      </c>
      <c r="F19" s="466">
        <v>31249</v>
      </c>
      <c r="G19" s="466"/>
      <c r="H19" s="466"/>
      <c r="I19" s="467"/>
      <c r="J19" s="467"/>
      <c r="K19" s="1693">
        <f t="shared" si="0"/>
        <v>238619</v>
      </c>
      <c r="L19" s="466">
        <v>194414</v>
      </c>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1065893</v>
      </c>
      <c r="D33" s="1692">
        <f t="shared" ref="D33:L33" si="1">SUM(D5:D32)</f>
        <v>306483</v>
      </c>
      <c r="E33" s="1692">
        <f t="shared" si="1"/>
        <v>56582</v>
      </c>
      <c r="F33" s="1692">
        <f t="shared" si="1"/>
        <v>67170</v>
      </c>
      <c r="G33" s="1692">
        <f t="shared" si="1"/>
        <v>0</v>
      </c>
      <c r="H33" s="1692">
        <f t="shared" si="1"/>
        <v>0</v>
      </c>
      <c r="I33" s="1692">
        <f t="shared" si="1"/>
        <v>0</v>
      </c>
      <c r="J33" s="1692">
        <f t="shared" si="1"/>
        <v>0</v>
      </c>
      <c r="K33" s="1692">
        <f t="shared" si="1"/>
        <v>1496128</v>
      </c>
      <c r="L33" s="1692">
        <f t="shared" si="1"/>
        <v>1516449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495237</v>
      </c>
      <c r="D36" s="481">
        <v>120547</v>
      </c>
      <c r="E36" s="481">
        <v>18326</v>
      </c>
      <c r="F36" s="481">
        <v>4257</v>
      </c>
      <c r="G36" s="481"/>
      <c r="H36" s="481"/>
      <c r="I36" s="467">
        <v>1340</v>
      </c>
      <c r="J36" s="467"/>
      <c r="K36" s="1693">
        <f t="shared" ref="K36:K41" si="2">SUM(C36:J36)</f>
        <v>639707</v>
      </c>
      <c r="L36" s="466">
        <v>648707</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270575</v>
      </c>
      <c r="D38" s="466">
        <v>86501</v>
      </c>
      <c r="E38" s="466">
        <v>12009</v>
      </c>
      <c r="F38" s="466">
        <v>2872</v>
      </c>
      <c r="G38" s="466"/>
      <c r="H38" s="466"/>
      <c r="I38" s="467">
        <v>524</v>
      </c>
      <c r="J38" s="467"/>
      <c r="K38" s="1693">
        <f t="shared" si="2"/>
        <v>372481</v>
      </c>
      <c r="L38" s="466">
        <v>384806</v>
      </c>
    </row>
    <row r="39" spans="1:14" x14ac:dyDescent="0.2">
      <c r="A39" s="1526" t="s">
        <v>208</v>
      </c>
      <c r="B39" s="615">
        <v>2140</v>
      </c>
      <c r="C39" s="466">
        <v>301377</v>
      </c>
      <c r="D39" s="466">
        <v>62532</v>
      </c>
      <c r="E39" s="466">
        <v>103067</v>
      </c>
      <c r="F39" s="466">
        <v>4390</v>
      </c>
      <c r="G39" s="466"/>
      <c r="H39" s="466"/>
      <c r="I39" s="467">
        <v>1974</v>
      </c>
      <c r="J39" s="467"/>
      <c r="K39" s="1693">
        <f t="shared" si="2"/>
        <v>473340</v>
      </c>
      <c r="L39" s="466">
        <v>508064</v>
      </c>
    </row>
    <row r="40" spans="1:14" x14ac:dyDescent="0.2">
      <c r="A40" s="1526" t="s">
        <v>209</v>
      </c>
      <c r="B40" s="615">
        <v>2150</v>
      </c>
      <c r="C40" s="466">
        <v>284586</v>
      </c>
      <c r="D40" s="466">
        <v>72738</v>
      </c>
      <c r="E40" s="466">
        <v>240108</v>
      </c>
      <c r="F40" s="466">
        <v>4197</v>
      </c>
      <c r="G40" s="466"/>
      <c r="H40" s="466"/>
      <c r="I40" s="467">
        <v>3336</v>
      </c>
      <c r="J40" s="467"/>
      <c r="K40" s="1693">
        <f t="shared" si="2"/>
        <v>604965</v>
      </c>
      <c r="L40" s="466">
        <v>618411</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1351775</v>
      </c>
      <c r="D42" s="1692">
        <f t="shared" ref="D42:L42" si="3">SUM(D36:D41)</f>
        <v>342318</v>
      </c>
      <c r="E42" s="1692">
        <f t="shared" si="3"/>
        <v>373510</v>
      </c>
      <c r="F42" s="1692">
        <f t="shared" si="3"/>
        <v>15716</v>
      </c>
      <c r="G42" s="1692">
        <f t="shared" si="3"/>
        <v>0</v>
      </c>
      <c r="H42" s="1692">
        <f t="shared" si="3"/>
        <v>0</v>
      </c>
      <c r="I42" s="1692">
        <f t="shared" si="3"/>
        <v>7174</v>
      </c>
      <c r="J42" s="1692">
        <f t="shared" si="3"/>
        <v>0</v>
      </c>
      <c r="K42" s="1692">
        <f t="shared" si="3"/>
        <v>2090493</v>
      </c>
      <c r="L42" s="1692">
        <f t="shared" si="3"/>
        <v>2159988</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1270</v>
      </c>
      <c r="D44" s="481">
        <v>248</v>
      </c>
      <c r="E44" s="481">
        <v>94249</v>
      </c>
      <c r="F44" s="481">
        <v>20380</v>
      </c>
      <c r="G44" s="481"/>
      <c r="H44" s="481"/>
      <c r="I44" s="467">
        <v>2010</v>
      </c>
      <c r="J44" s="467"/>
      <c r="K44" s="1694">
        <f>SUM(C44:J44)</f>
        <v>118157</v>
      </c>
      <c r="L44" s="481">
        <v>130681</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1270</v>
      </c>
      <c r="D47" s="1692">
        <f t="shared" ref="D47:K47" si="4">SUM(D44:D46)</f>
        <v>248</v>
      </c>
      <c r="E47" s="1692">
        <f t="shared" si="4"/>
        <v>94249</v>
      </c>
      <c r="F47" s="1692">
        <f t="shared" si="4"/>
        <v>20380</v>
      </c>
      <c r="G47" s="1692">
        <f t="shared" si="4"/>
        <v>0</v>
      </c>
      <c r="H47" s="1692">
        <f t="shared" si="4"/>
        <v>0</v>
      </c>
      <c r="I47" s="1692">
        <f t="shared" si="4"/>
        <v>2010</v>
      </c>
      <c r="J47" s="1692">
        <f t="shared" si="4"/>
        <v>0</v>
      </c>
      <c r="K47" s="1692">
        <f t="shared" si="4"/>
        <v>118157</v>
      </c>
      <c r="L47" s="1692">
        <f>SUM(L44:L46)</f>
        <v>130681</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4">
        <f>SUM(C49:J49)</f>
        <v>0</v>
      </c>
      <c r="L49" s="481"/>
    </row>
    <row r="50" spans="1:14" x14ac:dyDescent="0.2">
      <c r="A50" s="1526" t="s">
        <v>872</v>
      </c>
      <c r="B50" s="615">
        <v>2320</v>
      </c>
      <c r="C50" s="466">
        <v>362854</v>
      </c>
      <c r="D50" s="466">
        <v>105668</v>
      </c>
      <c r="E50" s="466">
        <v>130290</v>
      </c>
      <c r="F50" s="466">
        <v>5304</v>
      </c>
      <c r="G50" s="466"/>
      <c r="H50" s="466">
        <v>18774</v>
      </c>
      <c r="I50" s="467"/>
      <c r="J50" s="467"/>
      <c r="K50" s="1694">
        <f>SUM(C50:J50)</f>
        <v>622890</v>
      </c>
      <c r="L50" s="466">
        <v>665252</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362854</v>
      </c>
      <c r="D53" s="1692">
        <f t="shared" ref="D53:L53" si="5">SUM(D49:D52)</f>
        <v>105668</v>
      </c>
      <c r="E53" s="1692">
        <f t="shared" si="5"/>
        <v>130290</v>
      </c>
      <c r="F53" s="1692">
        <f t="shared" si="5"/>
        <v>5304</v>
      </c>
      <c r="G53" s="1692">
        <f t="shared" si="5"/>
        <v>0</v>
      </c>
      <c r="H53" s="1692">
        <f t="shared" si="5"/>
        <v>18774</v>
      </c>
      <c r="I53" s="1692">
        <f t="shared" si="5"/>
        <v>0</v>
      </c>
      <c r="J53" s="1692">
        <f t="shared" si="5"/>
        <v>0</v>
      </c>
      <c r="K53" s="1692">
        <f t="shared" si="5"/>
        <v>622890</v>
      </c>
      <c r="L53" s="1692">
        <f t="shared" si="5"/>
        <v>665252</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4">
        <f>SUM(C55:J55)</f>
        <v>0</v>
      </c>
      <c r="L55" s="481"/>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0</v>
      </c>
      <c r="F57" s="1696">
        <f t="shared" si="6"/>
        <v>0</v>
      </c>
      <c r="G57" s="1696">
        <f t="shared" si="6"/>
        <v>0</v>
      </c>
      <c r="H57" s="1696">
        <f t="shared" si="6"/>
        <v>0</v>
      </c>
      <c r="I57" s="1696">
        <f t="shared" si="6"/>
        <v>0</v>
      </c>
      <c r="J57" s="1696">
        <f t="shared" si="6"/>
        <v>0</v>
      </c>
      <c r="K57" s="1696">
        <f t="shared" si="6"/>
        <v>0</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37913</v>
      </c>
      <c r="D60" s="466">
        <v>7809</v>
      </c>
      <c r="E60" s="466">
        <v>442</v>
      </c>
      <c r="F60" s="466">
        <v>533</v>
      </c>
      <c r="G60" s="466"/>
      <c r="H60" s="466"/>
      <c r="I60" s="467"/>
      <c r="J60" s="467"/>
      <c r="K60" s="1694">
        <f t="shared" si="7"/>
        <v>46697</v>
      </c>
      <c r="L60" s="466">
        <v>47757</v>
      </c>
      <c r="M60" s="610"/>
      <c r="N60" s="610"/>
    </row>
    <row r="61" spans="1:14" s="343" customFormat="1" x14ac:dyDescent="0.2">
      <c r="A61" s="1526" t="s">
        <v>206</v>
      </c>
      <c r="B61" s="615">
        <v>2540</v>
      </c>
      <c r="C61" s="466">
        <v>89293</v>
      </c>
      <c r="D61" s="466">
        <v>26423</v>
      </c>
      <c r="E61" s="466">
        <v>209570</v>
      </c>
      <c r="F61" s="466">
        <v>89276</v>
      </c>
      <c r="G61" s="466"/>
      <c r="H61" s="466"/>
      <c r="I61" s="467"/>
      <c r="J61" s="467"/>
      <c r="K61" s="1694">
        <f t="shared" si="7"/>
        <v>414562</v>
      </c>
      <c r="L61" s="466">
        <v>440605</v>
      </c>
      <c r="M61" s="610"/>
      <c r="N61" s="610"/>
    </row>
    <row r="62" spans="1:14" s="343" customFormat="1" x14ac:dyDescent="0.2">
      <c r="A62" s="1526" t="s">
        <v>1010</v>
      </c>
      <c r="B62" s="615">
        <v>2550</v>
      </c>
      <c r="C62" s="466"/>
      <c r="D62" s="466"/>
      <c r="E62" s="466">
        <v>10897</v>
      </c>
      <c r="F62" s="466"/>
      <c r="G62" s="466"/>
      <c r="H62" s="466"/>
      <c r="I62" s="467"/>
      <c r="J62" s="467"/>
      <c r="K62" s="1694">
        <f t="shared" si="7"/>
        <v>10897</v>
      </c>
      <c r="L62" s="466">
        <v>12000</v>
      </c>
      <c r="M62" s="610"/>
      <c r="N62" s="610"/>
    </row>
    <row r="63" spans="1:14" s="610" customFormat="1" x14ac:dyDescent="0.2">
      <c r="A63" s="1526" t="s">
        <v>102</v>
      </c>
      <c r="B63" s="615">
        <v>2560</v>
      </c>
      <c r="C63" s="466"/>
      <c r="D63" s="466"/>
      <c r="E63" s="466">
        <v>31851</v>
      </c>
      <c r="F63" s="466">
        <v>1235</v>
      </c>
      <c r="G63" s="466"/>
      <c r="H63" s="466"/>
      <c r="I63" s="467"/>
      <c r="J63" s="467"/>
      <c r="K63" s="1694">
        <f t="shared" si="7"/>
        <v>33086</v>
      </c>
      <c r="L63" s="466">
        <v>40565</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127206</v>
      </c>
      <c r="D65" s="1692">
        <f t="shared" ref="D65:L65" si="8">SUM(D59:D64)</f>
        <v>34232</v>
      </c>
      <c r="E65" s="1692">
        <f t="shared" si="8"/>
        <v>252760</v>
      </c>
      <c r="F65" s="1692">
        <f t="shared" si="8"/>
        <v>91044</v>
      </c>
      <c r="G65" s="1692">
        <f t="shared" si="8"/>
        <v>0</v>
      </c>
      <c r="H65" s="1692">
        <f t="shared" si="8"/>
        <v>0</v>
      </c>
      <c r="I65" s="1692">
        <f t="shared" si="8"/>
        <v>0</v>
      </c>
      <c r="J65" s="1692">
        <f t="shared" si="8"/>
        <v>0</v>
      </c>
      <c r="K65" s="1692">
        <f t="shared" si="8"/>
        <v>505242</v>
      </c>
      <c r="L65" s="1692">
        <f t="shared" si="8"/>
        <v>540927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v>878</v>
      </c>
      <c r="G69" s="466"/>
      <c r="H69" s="466"/>
      <c r="I69" s="467"/>
      <c r="J69" s="467"/>
      <c r="K69" s="1694">
        <f>SUM(C69:J69)</f>
        <v>878</v>
      </c>
      <c r="L69" s="466">
        <v>1000</v>
      </c>
      <c r="M69" s="610"/>
      <c r="N69" s="610"/>
    </row>
    <row r="70" spans="1:14" s="343" customFormat="1" x14ac:dyDescent="0.2">
      <c r="A70" s="1526" t="s">
        <v>423</v>
      </c>
      <c r="B70" s="615">
        <v>2640</v>
      </c>
      <c r="C70" s="466"/>
      <c r="D70" s="466"/>
      <c r="E70" s="466"/>
      <c r="F70" s="466">
        <v>270</v>
      </c>
      <c r="G70" s="466"/>
      <c r="H70" s="466"/>
      <c r="I70" s="467"/>
      <c r="J70" s="467"/>
      <c r="K70" s="1694">
        <f>SUM(C70:J70)</f>
        <v>270</v>
      </c>
      <c r="L70" s="466">
        <v>1000</v>
      </c>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1148</v>
      </c>
      <c r="G72" s="1692">
        <f t="shared" si="9"/>
        <v>0</v>
      </c>
      <c r="H72" s="1692">
        <f t="shared" si="9"/>
        <v>0</v>
      </c>
      <c r="I72" s="1692">
        <f t="shared" si="9"/>
        <v>0</v>
      </c>
      <c r="J72" s="1692">
        <f t="shared" si="9"/>
        <v>0</v>
      </c>
      <c r="K72" s="1692">
        <f t="shared" si="9"/>
        <v>1148</v>
      </c>
      <c r="L72" s="1692">
        <f>SUM(L67:L71)</f>
        <v>2000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1843105</v>
      </c>
      <c r="D74" s="1699">
        <f t="shared" ref="D74:K74" si="10">SUM(D42,D47,D53,D57,D65,D72,D73)</f>
        <v>482466</v>
      </c>
      <c r="E74" s="1699">
        <f t="shared" si="10"/>
        <v>850809</v>
      </c>
      <c r="F74" s="1699">
        <f t="shared" si="10"/>
        <v>133592</v>
      </c>
      <c r="G74" s="1699">
        <f t="shared" si="10"/>
        <v>0</v>
      </c>
      <c r="H74" s="1699">
        <f t="shared" si="10"/>
        <v>18774</v>
      </c>
      <c r="I74" s="1699">
        <f t="shared" si="10"/>
        <v>9184</v>
      </c>
      <c r="J74" s="1699">
        <f t="shared" si="10"/>
        <v>0</v>
      </c>
      <c r="K74" s="1699">
        <f t="shared" si="10"/>
        <v>3337930</v>
      </c>
      <c r="L74" s="1699">
        <f>SUM(L42,L47,L53,L57,L65,L72,L73)</f>
        <v>3498848</v>
      </c>
    </row>
    <row r="75" spans="1:14" s="259" customFormat="1" ht="15.75" customHeight="1" thickTop="1" thickBot="1" x14ac:dyDescent="0.25">
      <c r="A75" s="1632" t="s">
        <v>49</v>
      </c>
      <c r="B75" s="1633" t="s">
        <v>596</v>
      </c>
      <c r="C75" s="573">
        <v>82</v>
      </c>
      <c r="D75" s="573">
        <v>11</v>
      </c>
      <c r="E75" s="573"/>
      <c r="F75" s="573"/>
      <c r="G75" s="573"/>
      <c r="H75" s="573"/>
      <c r="I75" s="531"/>
      <c r="J75" s="531"/>
      <c r="K75" s="1692">
        <f>SUM(C75:J75)</f>
        <v>93</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v>43583</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43583</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0</v>
      </c>
      <c r="I102" s="477"/>
      <c r="J102" s="477"/>
      <c r="K102" s="1699">
        <f>SUM(K84,K92,K100,K101)</f>
        <v>0</v>
      </c>
      <c r="L102" s="1699">
        <f>SUM(L84,L92,L100,L101)</f>
        <v>43583</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2909080</v>
      </c>
      <c r="D114" s="1692">
        <f t="shared" ref="D114:K114" si="13">SUM(D33,D74,D75,D102,D112,D113)</f>
        <v>788960</v>
      </c>
      <c r="E114" s="1692">
        <f t="shared" si="13"/>
        <v>907391</v>
      </c>
      <c r="F114" s="1692">
        <f t="shared" si="13"/>
        <v>200762</v>
      </c>
      <c r="G114" s="1692">
        <f t="shared" si="13"/>
        <v>0</v>
      </c>
      <c r="H114" s="1692">
        <f>SUM(H33,H74,H75,H102,H112,H113)</f>
        <v>18774</v>
      </c>
      <c r="I114" s="1692">
        <f t="shared" si="13"/>
        <v>9184</v>
      </c>
      <c r="J114" s="1692">
        <f t="shared" si="13"/>
        <v>0</v>
      </c>
      <c r="K114" s="1692">
        <f t="shared" si="13"/>
        <v>4834151</v>
      </c>
      <c r="L114" s="1692">
        <f>SUM(L33,L74,L75,L102,L112,L113)</f>
        <v>5058880</v>
      </c>
    </row>
    <row r="115" spans="1:14" ht="13.5" thickTop="1" x14ac:dyDescent="0.2">
      <c r="A115" s="2173" t="s">
        <v>1053</v>
      </c>
      <c r="B115" s="2174"/>
      <c r="C115" s="619"/>
      <c r="D115" s="619"/>
      <c r="E115" s="619"/>
      <c r="F115" s="619"/>
      <c r="G115" s="619"/>
      <c r="H115" s="619"/>
      <c r="I115" s="619"/>
      <c r="J115" s="619"/>
      <c r="K115" s="1706">
        <f>'Revenues 9-14'!C275-'Expenditures 15-22'!K114</f>
        <v>848835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c r="F124" s="466"/>
      <c r="G124" s="466"/>
      <c r="H124" s="466"/>
      <c r="I124" s="467"/>
      <c r="J124" s="467"/>
      <c r="K124" s="1692">
        <f>SUM(C124:J124)</f>
        <v>0</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0</v>
      </c>
      <c r="F127" s="1692">
        <f t="shared" si="14"/>
        <v>0</v>
      </c>
      <c r="G127" s="1692">
        <f t="shared" si="14"/>
        <v>0</v>
      </c>
      <c r="H127" s="1692">
        <f t="shared" si="14"/>
        <v>0</v>
      </c>
      <c r="I127" s="1692">
        <f t="shared" si="14"/>
        <v>0</v>
      </c>
      <c r="J127" s="1692">
        <f t="shared" si="14"/>
        <v>0</v>
      </c>
      <c r="K127" s="1692">
        <f t="shared" si="14"/>
        <v>0</v>
      </c>
      <c r="L127" s="1692">
        <f t="shared" si="14"/>
        <v>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0</v>
      </c>
      <c r="F129" s="1699">
        <f t="shared" si="15"/>
        <v>0</v>
      </c>
      <c r="G129" s="1699">
        <f t="shared" si="15"/>
        <v>0</v>
      </c>
      <c r="H129" s="1699">
        <f t="shared" si="15"/>
        <v>0</v>
      </c>
      <c r="I129" s="1699">
        <f t="shared" si="15"/>
        <v>0</v>
      </c>
      <c r="J129" s="1699">
        <f t="shared" si="15"/>
        <v>0</v>
      </c>
      <c r="K129" s="1699">
        <f t="shared" si="15"/>
        <v>0</v>
      </c>
      <c r="L129" s="1699">
        <f t="shared" si="15"/>
        <v>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1953</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0"/>
      <c r="C151" s="1692">
        <f>SUM(C129,C130,C139,C149,C150)</f>
        <v>0</v>
      </c>
      <c r="D151" s="1692">
        <f t="shared" ref="D151:K151" si="16">SUM(D129,D130,D139,D149,D150)</f>
        <v>0</v>
      </c>
      <c r="E151" s="1692">
        <f t="shared" si="16"/>
        <v>0</v>
      </c>
      <c r="F151" s="1692">
        <f t="shared" si="16"/>
        <v>0</v>
      </c>
      <c r="G151" s="1692">
        <f t="shared" si="16"/>
        <v>0</v>
      </c>
      <c r="H151" s="1692">
        <f t="shared" si="16"/>
        <v>0</v>
      </c>
      <c r="I151" s="1692">
        <f t="shared" si="16"/>
        <v>0</v>
      </c>
      <c r="J151" s="1692">
        <f t="shared" si="16"/>
        <v>0</v>
      </c>
      <c r="K151" s="1692">
        <f t="shared" si="16"/>
        <v>0</v>
      </c>
      <c r="L151" s="1692">
        <f>SUM(L129,L130,L139,L149,L150)</f>
        <v>0</v>
      </c>
    </row>
    <row r="152" spans="1:14" ht="12.75" customHeight="1" thickTop="1" x14ac:dyDescent="0.2">
      <c r="A152" s="2193" t="s">
        <v>1240</v>
      </c>
      <c r="B152" s="2194"/>
      <c r="C152" s="619"/>
      <c r="D152" s="619"/>
      <c r="E152" s="619"/>
      <c r="F152" s="619"/>
      <c r="G152" s="619"/>
      <c r="H152" s="619"/>
      <c r="I152" s="619"/>
      <c r="J152" s="617"/>
      <c r="K152" s="170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1953</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1955</v>
      </c>
      <c r="C158" s="617"/>
      <c r="D158" s="617"/>
      <c r="E158" s="617"/>
      <c r="F158" s="617"/>
      <c r="G158" s="617"/>
      <c r="H158" s="467"/>
      <c r="I158" s="617"/>
      <c r="J158" s="617"/>
      <c r="K158" s="1693">
        <f>H158</f>
        <v>0</v>
      </c>
      <c r="L158" s="467"/>
      <c r="M158" s="620"/>
      <c r="N158" s="620"/>
    </row>
    <row r="159" spans="1:14" s="621" customFormat="1" ht="12" x14ac:dyDescent="0.2">
      <c r="A159" s="1849" t="s">
        <v>1956</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1957</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73" t="s">
        <v>1053</v>
      </c>
      <c r="B175" s="2174"/>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73" t="s">
        <v>1053</v>
      </c>
      <c r="B211" s="2174"/>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1905</v>
      </c>
      <c r="B249" s="684" t="s">
        <v>300</v>
      </c>
      <c r="C249" s="617"/>
      <c r="D249" s="474"/>
      <c r="E249" s="617"/>
      <c r="F249" s="617"/>
      <c r="G249" s="617"/>
      <c r="H249" s="617"/>
      <c r="I249" s="617"/>
      <c r="J249" s="617"/>
      <c r="K249" s="1694">
        <f t="shared" si="21"/>
        <v>0</v>
      </c>
      <c r="L249" s="466"/>
    </row>
    <row r="250" spans="1:12" x14ac:dyDescent="0.2">
      <c r="A250" s="1527" t="s">
        <v>1906</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1904</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1953</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73" t="s">
        <v>1053</v>
      </c>
      <c r="B296" s="2174"/>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1905</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1959</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1953</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1955</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1960</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6" t="s">
        <v>1053</v>
      </c>
      <c r="B343" s="2187"/>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c r="I354" s="702"/>
      <c r="J354" s="617"/>
      <c r="K354" s="1721">
        <f>H354</f>
        <v>0</v>
      </c>
      <c r="L354" s="471"/>
    </row>
    <row r="355" spans="1:14" ht="12.75" customHeight="1" x14ac:dyDescent="0.2">
      <c r="A355" s="1535" t="s">
        <v>1962</v>
      </c>
      <c r="B355" s="691" t="s">
        <v>1955</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3" t="s">
        <v>1053</v>
      </c>
      <c r="B368" s="2174"/>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1902</v>
      </c>
      <c r="B2" s="1550" t="s">
        <v>2032</v>
      </c>
      <c r="C2" s="715" t="s">
        <v>1907</v>
      </c>
      <c r="D2" s="715" t="s">
        <v>1908</v>
      </c>
      <c r="E2" s="715" t="s">
        <v>1909</v>
      </c>
      <c r="F2" s="715" t="s">
        <v>1910</v>
      </c>
    </row>
    <row r="3" spans="1:6" ht="12" customHeight="1" x14ac:dyDescent="0.2">
      <c r="A3" s="2201"/>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650</v>
      </c>
      <c r="B1" s="2220"/>
      <c r="C1" s="722"/>
    </row>
    <row r="2" spans="1:7" ht="33.75" x14ac:dyDescent="0.2">
      <c r="A2" s="2227" t="s">
        <v>1902</v>
      </c>
      <c r="B2" s="2228"/>
      <c r="C2" s="1909" t="s">
        <v>2033</v>
      </c>
      <c r="D2" s="724" t="s">
        <v>2040</v>
      </c>
      <c r="E2" s="724" t="s">
        <v>2041</v>
      </c>
      <c r="F2" s="1909" t="s">
        <v>2034</v>
      </c>
    </row>
    <row r="3" spans="1:7" ht="15.75" customHeight="1" x14ac:dyDescent="0.2">
      <c r="A3" s="2229" t="s">
        <v>1176</v>
      </c>
      <c r="B3" s="2230"/>
      <c r="C3" s="2223"/>
      <c r="D3" s="2224"/>
      <c r="E3" s="2224"/>
      <c r="F3" s="2225"/>
    </row>
    <row r="4" spans="1:7" ht="12.75" customHeight="1" thickBot="1" x14ac:dyDescent="0.25">
      <c r="A4" s="2217" t="s">
        <v>651</v>
      </c>
      <c r="B4" s="2218"/>
      <c r="C4" s="581"/>
      <c r="D4" s="581"/>
      <c r="E4" s="581"/>
      <c r="F4" s="1777">
        <f>SUM(C4+D4)-E4</f>
        <v>0</v>
      </c>
    </row>
    <row r="5" spans="1:7" ht="15.75" customHeight="1" thickTop="1" x14ac:dyDescent="0.2">
      <c r="A5" s="2221" t="s">
        <v>1172</v>
      </c>
      <c r="B5" s="2216"/>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3" t="s">
        <v>652</v>
      </c>
      <c r="B15" s="2214"/>
      <c r="C15" s="1777">
        <f>SUM(C6:C14)</f>
        <v>0</v>
      </c>
      <c r="D15" s="1777">
        <f>SUM(D6:D14)</f>
        <v>0</v>
      </c>
      <c r="E15" s="1777">
        <f>SUM(E6:E14)</f>
        <v>0</v>
      </c>
      <c r="F15" s="1777">
        <f>SUM(F6:F14)</f>
        <v>0</v>
      </c>
      <c r="G15" s="552"/>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7"/>
      <c r="D17" s="585"/>
      <c r="E17" s="727"/>
      <c r="F17" s="1777">
        <f>SUM(C17+D17)-E17</f>
        <v>0</v>
      </c>
    </row>
    <row r="18" spans="1:11" ht="12.75" customHeight="1" thickTop="1" thickBot="1" x14ac:dyDescent="0.25">
      <c r="A18" s="2208" t="s">
        <v>6</v>
      </c>
      <c r="B18" s="2209"/>
      <c r="C18" s="727"/>
      <c r="D18" s="585"/>
      <c r="E18" s="727"/>
      <c r="F18" s="1777">
        <f>SUM(C18+D18)-E18</f>
        <v>0</v>
      </c>
    </row>
    <row r="19" spans="1:11" ht="12.75" customHeight="1" thickTop="1" thickBot="1" x14ac:dyDescent="0.25">
      <c r="A19" s="2208" t="s">
        <v>406</v>
      </c>
      <c r="B19" s="2209"/>
      <c r="C19" s="727"/>
      <c r="D19" s="585"/>
      <c r="E19" s="727"/>
      <c r="F19" s="1777">
        <f>SUM(C19+D19)-E19</f>
        <v>0</v>
      </c>
    </row>
    <row r="20" spans="1:11" ht="12.75" customHeight="1" thickTop="1" thickBot="1" x14ac:dyDescent="0.25">
      <c r="A20" s="2208" t="s">
        <v>468</v>
      </c>
      <c r="B20" s="2209"/>
      <c r="C20" s="727"/>
      <c r="D20" s="585"/>
      <c r="E20" s="727"/>
      <c r="F20" s="1777">
        <f>SUM(C20+D20)-E20</f>
        <v>0</v>
      </c>
    </row>
    <row r="21" spans="1:11" ht="14.25" thickTop="1" thickBot="1" x14ac:dyDescent="0.25">
      <c r="A21" s="2213" t="s">
        <v>653</v>
      </c>
      <c r="B21" s="2214"/>
      <c r="C21" s="1777">
        <f>SUM(C17:C20)</f>
        <v>0</v>
      </c>
      <c r="D21" s="1777">
        <f>SUM(D17:D20)</f>
        <v>0</v>
      </c>
      <c r="E21" s="1777">
        <f>SUM(E17:E20)</f>
        <v>0</v>
      </c>
      <c r="F21" s="1777">
        <f>SUM(F17:F20)</f>
        <v>0</v>
      </c>
      <c r="G21" s="552"/>
    </row>
    <row r="22" spans="1:11" ht="15.75" customHeight="1" thickTop="1" x14ac:dyDescent="0.2">
      <c r="A22" s="2215" t="s">
        <v>1174</v>
      </c>
      <c r="B22" s="2216"/>
      <c r="C22" s="2210"/>
      <c r="D22" s="2211"/>
      <c r="E22" s="2211"/>
      <c r="F22" s="2212"/>
    </row>
    <row r="23" spans="1:11" ht="13.5" thickBot="1" x14ac:dyDescent="0.25">
      <c r="A23" s="2217" t="s">
        <v>654</v>
      </c>
      <c r="B23" s="2218"/>
      <c r="C23" s="581"/>
      <c r="D23" s="581"/>
      <c r="E23" s="581"/>
      <c r="F23" s="1777">
        <f>SUM(C23+D23)-E23</f>
        <v>0</v>
      </c>
      <c r="G23" s="552"/>
    </row>
    <row r="24" spans="1:11" ht="15.75" customHeight="1" thickTop="1" x14ac:dyDescent="0.2">
      <c r="A24" s="2215" t="s">
        <v>1175</v>
      </c>
      <c r="B24" s="2216"/>
      <c r="C24" s="2210"/>
      <c r="D24" s="2211"/>
      <c r="E24" s="2211"/>
      <c r="F24" s="2212"/>
    </row>
    <row r="25" spans="1:11" ht="13.5" thickBot="1" x14ac:dyDescent="0.25">
      <c r="A25" s="2217" t="s">
        <v>655</v>
      </c>
      <c r="B25" s="2218"/>
      <c r="C25" s="581"/>
      <c r="D25" s="581"/>
      <c r="E25" s="581"/>
      <c r="F25" s="1777">
        <f>SUM(C25+D25)-E25</f>
        <v>0</v>
      </c>
      <c r="G25" s="552"/>
    </row>
    <row r="26" spans="1:11" ht="15.75" customHeight="1" thickTop="1" x14ac:dyDescent="0.2">
      <c r="A26" s="2221" t="s">
        <v>678</v>
      </c>
      <c r="B26" s="2216"/>
      <c r="C26" s="728"/>
      <c r="D26" s="728"/>
      <c r="E26" s="728"/>
      <c r="F26" s="729"/>
    </row>
    <row r="27" spans="1:11" ht="13.5" thickBot="1" x14ac:dyDescent="0.25">
      <c r="A27" s="2213" t="s">
        <v>1130</v>
      </c>
      <c r="B27" s="2214"/>
      <c r="C27" s="585"/>
      <c r="D27" s="585"/>
      <c r="E27" s="585"/>
      <c r="F27" s="1777">
        <f>SUM(C27+D27)-E27</f>
        <v>0</v>
      </c>
      <c r="G27" s="552"/>
    </row>
    <row r="28" spans="1:11" ht="7.5" customHeight="1" thickTop="1" x14ac:dyDescent="0.2">
      <c r="A28" s="594"/>
    </row>
    <row r="29" spans="1:11" ht="23.25" customHeight="1" x14ac:dyDescent="0.2">
      <c r="A29" s="2219" t="s">
        <v>603</v>
      </c>
      <c r="B29" s="2220"/>
      <c r="C29" s="730"/>
      <c r="D29" s="730"/>
      <c r="E29" s="730"/>
      <c r="F29" s="730"/>
      <c r="G29" s="730"/>
      <c r="H29" s="730"/>
      <c r="I29" s="730"/>
      <c r="J29" s="730"/>
    </row>
    <row r="30" spans="1:11" ht="33.75" x14ac:dyDescent="0.2">
      <c r="A30" s="1551" t="s">
        <v>1131</v>
      </c>
      <c r="B30" s="731" t="s">
        <v>1186</v>
      </c>
      <c r="C30" s="1910" t="s">
        <v>604</v>
      </c>
      <c r="D30" s="1910" t="s">
        <v>1772</v>
      </c>
      <c r="E30" s="1910" t="s">
        <v>2035</v>
      </c>
      <c r="F30" s="1910" t="s">
        <v>2036</v>
      </c>
      <c r="G30" s="1910" t="s">
        <v>2039</v>
      </c>
      <c r="H30" s="1910" t="s">
        <v>2037</v>
      </c>
      <c r="I30" s="1910" t="s">
        <v>2038</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02" t="s">
        <v>605</v>
      </c>
      <c r="C52" s="2203"/>
      <c r="D52" s="2203"/>
      <c r="E52" s="750" t="s">
        <v>900</v>
      </c>
      <c r="F52" s="2204"/>
      <c r="G52" s="2205"/>
      <c r="H52" s="737"/>
      <c r="I52" s="737"/>
      <c r="J52" s="747"/>
    </row>
    <row r="53" spans="1:11" ht="11.25" customHeight="1" x14ac:dyDescent="0.2">
      <c r="A53" s="751" t="s">
        <v>969</v>
      </c>
      <c r="B53" s="752" t="s">
        <v>1008</v>
      </c>
      <c r="C53" s="747"/>
      <c r="D53" s="738"/>
      <c r="E53" s="750" t="s">
        <v>518</v>
      </c>
      <c r="F53" s="2206"/>
      <c r="G53" s="2207"/>
      <c r="H53" s="737"/>
      <c r="I53" s="737"/>
      <c r="J53" s="747"/>
    </row>
    <row r="54" spans="1:11" ht="11.25" customHeight="1" x14ac:dyDescent="0.2">
      <c r="A54" s="753" t="s">
        <v>970</v>
      </c>
      <c r="B54" s="748" t="s">
        <v>1009</v>
      </c>
      <c r="C54" s="747"/>
      <c r="D54" s="738"/>
      <c r="E54" s="750" t="s">
        <v>519</v>
      </c>
      <c r="F54" s="2206"/>
      <c r="G54" s="220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911</v>
      </c>
      <c r="B1" s="2232"/>
      <c r="C1" s="2232"/>
      <c r="D1" s="2232"/>
      <c r="E1" s="2232"/>
      <c r="F1" s="2232"/>
      <c r="G1" s="2233"/>
      <c r="H1" s="1552"/>
      <c r="I1" s="761"/>
      <c r="J1" s="433"/>
    </row>
    <row r="2" spans="1:11" ht="26.25" x14ac:dyDescent="0.2">
      <c r="A2" s="2250" t="s">
        <v>1776</v>
      </c>
      <c r="B2" s="2251"/>
      <c r="C2" s="2251"/>
      <c r="D2" s="2251"/>
      <c r="E2" s="2252"/>
      <c r="F2" s="762" t="s">
        <v>960</v>
      </c>
      <c r="G2" s="763" t="s">
        <v>1773</v>
      </c>
      <c r="H2" s="763" t="s">
        <v>430</v>
      </c>
      <c r="I2" s="763" t="s">
        <v>1220</v>
      </c>
      <c r="J2" s="763" t="s">
        <v>1916</v>
      </c>
      <c r="K2" s="763" t="s">
        <v>140</v>
      </c>
    </row>
    <row r="3" spans="1:11" x14ac:dyDescent="0.2">
      <c r="A3" s="2253" t="s">
        <v>1698</v>
      </c>
      <c r="B3" s="2254"/>
      <c r="C3" s="2254"/>
      <c r="D3" s="2254"/>
      <c r="E3" s="2255"/>
      <c r="F3" s="764"/>
      <c r="G3" s="765"/>
      <c r="H3" s="765"/>
      <c r="I3" s="765"/>
      <c r="J3" s="766"/>
      <c r="K3" s="766"/>
    </row>
    <row r="4" spans="1:11" x14ac:dyDescent="0.2">
      <c r="A4" s="2256" t="s">
        <v>387</v>
      </c>
      <c r="B4" s="2257"/>
      <c r="C4" s="2257"/>
      <c r="D4" s="2257"/>
      <c r="E4" s="2203"/>
      <c r="F4" s="767"/>
      <c r="G4" s="768"/>
      <c r="H4" s="769"/>
      <c r="I4" s="768"/>
      <c r="J4" s="770"/>
      <c r="K4" s="770"/>
    </row>
    <row r="5" spans="1:11" x14ac:dyDescent="0.2">
      <c r="A5" s="2234" t="s">
        <v>1129</v>
      </c>
      <c r="B5" s="2235"/>
      <c r="C5" s="2235"/>
      <c r="D5" s="2235"/>
      <c r="E5" s="2236"/>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4" t="s">
        <v>1917</v>
      </c>
      <c r="B10" s="2235"/>
      <c r="C10" s="2235"/>
      <c r="D10" s="2235"/>
      <c r="E10" s="2237"/>
      <c r="F10" s="784" t="s">
        <v>917</v>
      </c>
      <c r="G10" s="783"/>
      <c r="H10" s="785"/>
      <c r="I10" s="765"/>
      <c r="J10" s="766"/>
      <c r="K10" s="766"/>
    </row>
    <row r="11" spans="1:11" x14ac:dyDescent="0.2">
      <c r="A11" s="2234" t="s">
        <v>162</v>
      </c>
      <c r="B11" s="2235"/>
      <c r="C11" s="2235"/>
      <c r="D11" s="2235"/>
      <c r="E11" s="2236"/>
      <c r="F11" s="771" t="s">
        <v>907</v>
      </c>
      <c r="G11" s="772"/>
      <c r="H11" s="765"/>
      <c r="I11" s="765"/>
      <c r="J11" s="766"/>
      <c r="K11" s="774"/>
    </row>
    <row r="12" spans="1:11" ht="13.5" thickBot="1" x14ac:dyDescent="0.25">
      <c r="A12" s="2261" t="s">
        <v>961</v>
      </c>
      <c r="B12" s="2262"/>
      <c r="C12" s="2262"/>
      <c r="D12" s="2262"/>
      <c r="E12" s="2263"/>
      <c r="F12" s="1779"/>
      <c r="G12" s="1780">
        <f>SUM(G5:G11)</f>
        <v>0</v>
      </c>
      <c r="H12" s="1780">
        <f>SUM(H5:H11)</f>
        <v>0</v>
      </c>
      <c r="I12" s="1780">
        <f>SUM(I5:I11)</f>
        <v>0</v>
      </c>
      <c r="J12" s="1780">
        <f>SUM(J5:J11)</f>
        <v>0</v>
      </c>
      <c r="K12" s="1780">
        <f>SUM(K5:K11)</f>
        <v>0</v>
      </c>
    </row>
    <row r="13" spans="1:11" ht="13.5" thickTop="1" x14ac:dyDescent="0.2">
      <c r="A13" s="2258" t="s">
        <v>388</v>
      </c>
      <c r="B13" s="2259"/>
      <c r="C13" s="2259"/>
      <c r="D13" s="2259"/>
      <c r="E13" s="2260"/>
      <c r="F13" s="786"/>
      <c r="G13" s="787"/>
      <c r="H13" s="788"/>
      <c r="I13" s="789"/>
      <c r="J13" s="789"/>
      <c r="K13" s="789"/>
    </row>
    <row r="14" spans="1:11" x14ac:dyDescent="0.2">
      <c r="A14" s="2241" t="s">
        <v>476</v>
      </c>
      <c r="B14" s="2241"/>
      <c r="C14" s="2241"/>
      <c r="D14" s="2241"/>
      <c r="E14" s="2242"/>
      <c r="F14" s="790" t="s">
        <v>909</v>
      </c>
      <c r="G14" s="783"/>
      <c r="H14" s="765"/>
      <c r="I14" s="772"/>
      <c r="J14" s="774"/>
      <c r="K14" s="766"/>
    </row>
    <row r="15" spans="1:11" x14ac:dyDescent="0.2">
      <c r="A15" s="2235" t="s">
        <v>4</v>
      </c>
      <c r="B15" s="2235"/>
      <c r="C15" s="2235"/>
      <c r="D15" s="2235"/>
      <c r="E15" s="2236"/>
      <c r="F15" s="790" t="s">
        <v>910</v>
      </c>
      <c r="G15" s="772"/>
      <c r="H15" s="765"/>
      <c r="I15" s="765"/>
      <c r="J15" s="766"/>
      <c r="K15" s="766"/>
    </row>
    <row r="16" spans="1:11" x14ac:dyDescent="0.2">
      <c r="A16" s="2235" t="s">
        <v>316</v>
      </c>
      <c r="B16" s="2235"/>
      <c r="C16" s="2235"/>
      <c r="D16" s="2235"/>
      <c r="E16" s="2236"/>
      <c r="F16" s="790" t="s">
        <v>980</v>
      </c>
      <c r="G16" s="773"/>
      <c r="H16" s="768"/>
      <c r="I16" s="768"/>
      <c r="J16" s="770"/>
      <c r="K16" s="770"/>
    </row>
    <row r="17" spans="1:11" x14ac:dyDescent="0.2">
      <c r="A17" s="2266" t="s">
        <v>992</v>
      </c>
      <c r="B17" s="2266"/>
      <c r="C17" s="2266"/>
      <c r="D17" s="2266"/>
      <c r="E17" s="2267"/>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43" t="s">
        <v>1913</v>
      </c>
      <c r="B19" s="2243"/>
      <c r="C19" s="2243"/>
      <c r="D19" s="2243"/>
      <c r="E19" s="2244"/>
      <c r="F19" s="790" t="s">
        <v>990</v>
      </c>
      <c r="G19" s="783"/>
      <c r="H19" s="783"/>
      <c r="I19" s="783"/>
      <c r="J19" s="766"/>
      <c r="K19" s="796"/>
    </row>
    <row r="20" spans="1:11" x14ac:dyDescent="0.2">
      <c r="A20" s="2245" t="s">
        <v>1918</v>
      </c>
      <c r="B20" s="2246"/>
      <c r="C20" s="2246"/>
      <c r="D20" s="2246"/>
      <c r="E20" s="2247"/>
      <c r="F20" s="790" t="s">
        <v>991</v>
      </c>
      <c r="G20" s="783"/>
      <c r="H20" s="783"/>
      <c r="I20" s="783"/>
      <c r="J20" s="766"/>
      <c r="K20" s="796"/>
    </row>
    <row r="21" spans="1:11" ht="13.5" thickBot="1" x14ac:dyDescent="0.25">
      <c r="A21" s="2264" t="s">
        <v>659</v>
      </c>
      <c r="B21" s="2264"/>
      <c r="C21" s="2264"/>
      <c r="D21" s="2264"/>
      <c r="E21" s="2264"/>
      <c r="F21" s="1781"/>
      <c r="G21" s="793"/>
      <c r="H21" s="797"/>
      <c r="I21" s="797"/>
      <c r="J21" s="1782">
        <f>SUM(J18:J20)</f>
        <v>0</v>
      </c>
      <c r="K21" s="794"/>
    </row>
    <row r="22" spans="1:11" ht="13.5" thickTop="1" x14ac:dyDescent="0.2">
      <c r="A22" s="2235" t="s">
        <v>1919</v>
      </c>
      <c r="B22" s="2235"/>
      <c r="C22" s="2235"/>
      <c r="D22" s="2235"/>
      <c r="E22" s="2236"/>
      <c r="F22" s="790" t="s">
        <v>917</v>
      </c>
      <c r="G22" s="783"/>
      <c r="H22" s="765"/>
      <c r="I22" s="765"/>
      <c r="J22" s="798"/>
      <c r="K22" s="766"/>
    </row>
    <row r="23" spans="1:11" ht="13.5" thickBot="1" x14ac:dyDescent="0.25">
      <c r="A23" s="2265" t="s">
        <v>962</v>
      </c>
      <c r="B23" s="2264"/>
      <c r="C23" s="2264"/>
      <c r="D23" s="2264"/>
      <c r="E23" s="2264"/>
      <c r="F23" s="1783"/>
      <c r="G23" s="1780">
        <f>SUM(G14:G16,G21,G22)</f>
        <v>0</v>
      </c>
      <c r="H23" s="1780">
        <f>SUM(H14:H16,H21,H22)</f>
        <v>0</v>
      </c>
      <c r="I23" s="1780">
        <f>SUM(I14:I16,I21,I22)</f>
        <v>0</v>
      </c>
      <c r="J23" s="1780">
        <f>SUM(J14:J16,J21,J22)</f>
        <v>0</v>
      </c>
      <c r="K23" s="1780">
        <f>SUM(K14:K16,K21,K22)</f>
        <v>0</v>
      </c>
    </row>
    <row r="24" spans="1:11" ht="14.25" thickTop="1" thickBot="1" x14ac:dyDescent="0.25">
      <c r="A24" s="2265" t="s">
        <v>2021</v>
      </c>
      <c r="B24" s="2264"/>
      <c r="C24" s="2264"/>
      <c r="D24" s="2264"/>
      <c r="E24" s="2264"/>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2031</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8"/>
      <c r="I31" s="2239"/>
      <c r="J31" s="2239"/>
      <c r="K31" s="2239"/>
    </row>
    <row r="32" spans="1:11" x14ac:dyDescent="0.2">
      <c r="A32" s="810"/>
      <c r="B32" s="237"/>
      <c r="C32" s="237"/>
      <c r="D32" s="237"/>
      <c r="E32" s="806"/>
      <c r="F32" s="812" t="s">
        <v>561</v>
      </c>
      <c r="G32" s="765"/>
      <c r="H32" s="2240"/>
      <c r="I32" s="2239"/>
      <c r="J32" s="2239"/>
      <c r="K32" s="2239"/>
    </row>
    <row r="33" spans="1:11" ht="1.5" customHeight="1" x14ac:dyDescent="0.2">
      <c r="A33" s="813" t="s">
        <v>1231</v>
      </c>
      <c r="B33" s="364"/>
      <c r="C33" s="364"/>
      <c r="D33" s="364"/>
      <c r="E33" s="364"/>
      <c r="F33" s="364"/>
      <c r="G33" s="814"/>
      <c r="H33" s="2240"/>
      <c r="I33" s="2239"/>
      <c r="J33" s="2239"/>
      <c r="K33" s="2239"/>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48"/>
      <c r="C41" s="2248"/>
      <c r="D41" s="2248"/>
      <c r="E41" s="2248"/>
      <c r="F41" s="224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2030</v>
      </c>
      <c r="B1" s="2271"/>
      <c r="C1" s="2272"/>
      <c r="D1" s="827"/>
      <c r="E1" s="828"/>
      <c r="F1" s="828"/>
      <c r="G1" s="829"/>
      <c r="H1" s="830"/>
      <c r="I1" s="831"/>
      <c r="J1" s="2268"/>
      <c r="K1" s="2269"/>
      <c r="L1" s="2269"/>
    </row>
    <row r="2" spans="1:14" ht="69.75" customHeight="1" x14ac:dyDescent="0.2">
      <c r="A2" s="832" t="s">
        <v>1777</v>
      </c>
      <c r="B2" s="833" t="s">
        <v>396</v>
      </c>
      <c r="C2" s="834" t="s">
        <v>2025</v>
      </c>
      <c r="D2" s="834" t="s">
        <v>2022</v>
      </c>
      <c r="E2" s="834" t="s">
        <v>2023</v>
      </c>
      <c r="F2" s="834" t="s">
        <v>2024</v>
      </c>
      <c r="G2" s="834" t="s">
        <v>626</v>
      </c>
      <c r="H2" s="834" t="s">
        <v>2026</v>
      </c>
      <c r="I2" s="834" t="s">
        <v>2027</v>
      </c>
      <c r="J2" s="834" t="s">
        <v>2042</v>
      </c>
      <c r="K2" s="834" t="s">
        <v>2028</v>
      </c>
      <c r="L2" s="834" t="s">
        <v>2029</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214123</v>
      </c>
      <c r="D10" s="847"/>
      <c r="E10" s="847"/>
      <c r="F10" s="1786">
        <f>(C10+D10)-E10</f>
        <v>214123</v>
      </c>
      <c r="G10" s="844">
        <v>20</v>
      </c>
      <c r="H10" s="848">
        <v>106534</v>
      </c>
      <c r="I10" s="848">
        <v>10706</v>
      </c>
      <c r="J10" s="848"/>
      <c r="K10" s="1791">
        <f>(H10+I10)-J10</f>
        <v>117240</v>
      </c>
      <c r="L10" s="1791">
        <f>F10-K10</f>
        <v>96883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113609</v>
      </c>
      <c r="D12" s="845"/>
      <c r="E12" s="845"/>
      <c r="F12" s="1782">
        <f>(C12+D12)-E12</f>
        <v>113609</v>
      </c>
      <c r="G12" s="844">
        <v>10</v>
      </c>
      <c r="H12" s="766">
        <v>78049</v>
      </c>
      <c r="I12" s="766">
        <v>8056</v>
      </c>
      <c r="J12" s="766"/>
      <c r="K12" s="1791">
        <f>(H12+I12)-J12</f>
        <v>86105</v>
      </c>
      <c r="L12" s="1791">
        <f>F12-K12</f>
        <v>27504</v>
      </c>
    </row>
    <row r="13" spans="1:14" ht="14.25" thickTop="1" thickBot="1" x14ac:dyDescent="0.25">
      <c r="A13" s="849" t="s">
        <v>1184</v>
      </c>
      <c r="B13" s="841">
        <v>252</v>
      </c>
      <c r="C13" s="845">
        <v>229213</v>
      </c>
      <c r="D13" s="845"/>
      <c r="E13" s="845"/>
      <c r="F13" s="1782">
        <f>(C13+D13)-E13</f>
        <v>229213</v>
      </c>
      <c r="G13" s="844">
        <v>5</v>
      </c>
      <c r="H13" s="766">
        <v>229213</v>
      </c>
      <c r="I13" s="766"/>
      <c r="J13" s="766"/>
      <c r="K13" s="1791">
        <f>(H13+I13)-J13</f>
        <v>229213</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556945</v>
      </c>
      <c r="D16" s="1782">
        <f>SUM(D3,D5:D6,D8:D10,D12:D15)</f>
        <v>0</v>
      </c>
      <c r="E16" s="1782">
        <f>SUM(E3,E5:E6,E8:E10,E12:E15)</f>
        <v>0</v>
      </c>
      <c r="F16" s="1782">
        <f>SUM(F3,F5:F6,F8:F10,F12:F15)</f>
        <v>556945</v>
      </c>
      <c r="G16" s="844"/>
      <c r="H16" s="1782">
        <f>SUM(H3,H6,H8:H10,H12:H14,)</f>
        <v>413796</v>
      </c>
      <c r="I16" s="1782">
        <f>SUM(I3,I6,I8:I10,I12:I14,)</f>
        <v>18762</v>
      </c>
      <c r="J16" s="1782">
        <f>SUM(J3,J6,J8:J10,J12:J14,)</f>
        <v>0</v>
      </c>
      <c r="K16" s="1782">
        <f>(H16+I16)-J16</f>
        <v>432558</v>
      </c>
      <c r="L16" s="1782">
        <f>F16-K16</f>
        <v>124387</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9184</v>
      </c>
      <c r="G17" s="838">
        <v>10</v>
      </c>
      <c r="H17" s="770"/>
      <c r="I17" s="1791">
        <f>F17/G17</f>
        <v>918.4</v>
      </c>
      <c r="J17" s="770"/>
      <c r="K17" s="796"/>
      <c r="L17" s="796"/>
    </row>
    <row r="18" spans="1:12" ht="14.25" thickTop="1" thickBot="1" x14ac:dyDescent="0.25">
      <c r="A18" s="1789" t="s">
        <v>706</v>
      </c>
      <c r="B18" s="1790"/>
      <c r="C18" s="772"/>
      <c r="D18" s="772"/>
      <c r="E18" s="772"/>
      <c r="F18" s="851"/>
      <c r="G18" s="852"/>
      <c r="H18" s="774"/>
      <c r="I18" s="1782">
        <f>SUM(I16,I17)</f>
        <v>19680.400000000001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pane="bottomLeft"/>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4834151</v>
      </c>
      <c r="G8" s="866"/>
    </row>
    <row r="9" spans="1:7" x14ac:dyDescent="0.2">
      <c r="A9" s="870" t="s">
        <v>480</v>
      </c>
      <c r="B9" s="871" t="s">
        <v>1985</v>
      </c>
      <c r="C9" s="872"/>
      <c r="D9" s="870" t="s">
        <v>522</v>
      </c>
      <c r="E9" s="869"/>
      <c r="F9" s="1935">
        <f>'Expenditures 15-22'!K151</f>
        <v>0</v>
      </c>
      <c r="G9" s="873"/>
    </row>
    <row r="10" spans="1:7" x14ac:dyDescent="0.2">
      <c r="A10" s="870" t="s">
        <v>520</v>
      </c>
      <c r="B10" s="871" t="s">
        <v>1986</v>
      </c>
      <c r="C10" s="872"/>
      <c r="D10" s="870" t="s">
        <v>522</v>
      </c>
      <c r="E10" s="869"/>
      <c r="F10" s="1935">
        <f>'Expenditures 15-22'!K174</f>
        <v>0</v>
      </c>
      <c r="G10" s="873"/>
    </row>
    <row r="11" spans="1:7" x14ac:dyDescent="0.2">
      <c r="A11" s="870" t="s">
        <v>481</v>
      </c>
      <c r="B11" s="871" t="s">
        <v>1987</v>
      </c>
      <c r="C11" s="872"/>
      <c r="D11" s="870" t="s">
        <v>522</v>
      </c>
      <c r="E11" s="869"/>
      <c r="F11" s="1935">
        <f>'Expenditures 15-22'!K210</f>
        <v>0</v>
      </c>
      <c r="G11" s="873"/>
    </row>
    <row r="12" spans="1:7" x14ac:dyDescent="0.2">
      <c r="A12" s="870" t="s">
        <v>482</v>
      </c>
      <c r="B12" s="871" t="s">
        <v>1988</v>
      </c>
      <c r="C12" s="872"/>
      <c r="D12" s="870" t="s">
        <v>522</v>
      </c>
      <c r="E12" s="869"/>
      <c r="F12" s="1935">
        <f>'Expenditures 15-22'!K295</f>
        <v>0</v>
      </c>
      <c r="G12" s="873"/>
    </row>
    <row r="13" spans="1:7" x14ac:dyDescent="0.2">
      <c r="A13" s="870" t="s">
        <v>108</v>
      </c>
      <c r="B13" s="871" t="s">
        <v>1989</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4834151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1204</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93</v>
      </c>
      <c r="G52" s="866"/>
    </row>
    <row r="53" spans="1:7" x14ac:dyDescent="0.2">
      <c r="A53" s="870" t="s">
        <v>479</v>
      </c>
      <c r="B53" s="870" t="s">
        <v>1551</v>
      </c>
      <c r="C53" s="890">
        <f>'Expenditures 15-22'!B102</f>
        <v>4000</v>
      </c>
      <c r="D53" s="889" t="str">
        <f>'Expenditures 15-22'!A102</f>
        <v>Total Payments to Other Govt Units</v>
      </c>
      <c r="E53" s="869"/>
      <c r="F53" s="1939">
        <f>'Expenditures 15-22'!K102</f>
        <v>0</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9184</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1990</v>
      </c>
      <c r="C57" s="890">
        <f>'Expenditures 15-22'!B139</f>
        <v>4000</v>
      </c>
      <c r="D57" s="888" t="str">
        <f>'Expenditures 15-22'!A139</f>
        <v>Total Payments to Other Govt Units</v>
      </c>
      <c r="E57" s="869"/>
      <c r="F57" s="1939">
        <f>'Expenditures 15-22'!K139</f>
        <v>0</v>
      </c>
      <c r="G57" s="866"/>
    </row>
    <row r="58" spans="1:7" x14ac:dyDescent="0.2">
      <c r="A58" s="870" t="s">
        <v>480</v>
      </c>
      <c r="B58" s="870" t="s">
        <v>1991</v>
      </c>
      <c r="C58" s="887" t="s">
        <v>1039</v>
      </c>
      <c r="D58" s="886" t="s">
        <v>1157</v>
      </c>
      <c r="E58" s="869"/>
      <c r="F58" s="1941">
        <f>'Expenditures 15-22'!G151</f>
        <v>0</v>
      </c>
      <c r="G58" s="866"/>
    </row>
    <row r="59" spans="1:7" x14ac:dyDescent="0.2">
      <c r="A59" s="894" t="s">
        <v>480</v>
      </c>
      <c r="B59" s="857" t="s">
        <v>1992</v>
      </c>
      <c r="C59" s="895" t="s">
        <v>1039</v>
      </c>
      <c r="D59" s="857" t="s">
        <v>309</v>
      </c>
      <c r="F59" s="1942">
        <f>'Expenditures 15-22'!I151</f>
        <v>0</v>
      </c>
      <c r="G59" s="866"/>
    </row>
    <row r="60" spans="1:7" x14ac:dyDescent="0.2">
      <c r="A60" s="894" t="s">
        <v>520</v>
      </c>
      <c r="B60" s="857" t="s">
        <v>1993</v>
      </c>
      <c r="C60" s="895">
        <v>4000</v>
      </c>
      <c r="D60" s="857" t="s">
        <v>330</v>
      </c>
      <c r="F60" s="1940">
        <f>'Expenditures 15-22'!K160</f>
        <v>0</v>
      </c>
      <c r="G60" s="866"/>
    </row>
    <row r="61" spans="1:7" x14ac:dyDescent="0.2">
      <c r="A61" s="896" t="s">
        <v>520</v>
      </c>
      <c r="B61" s="896" t="s">
        <v>1994</v>
      </c>
      <c r="C61" s="897" t="str">
        <f>'Expenditures 15-22'!B170</f>
        <v>5300</v>
      </c>
      <c r="D61" s="898" t="s">
        <v>329</v>
      </c>
      <c r="E61" s="880"/>
      <c r="F61" s="1939">
        <f>'Expenditures 15-22'!K170</f>
        <v>0</v>
      </c>
      <c r="G61" s="866"/>
    </row>
    <row r="62" spans="1:7" x14ac:dyDescent="0.2">
      <c r="A62" s="870" t="s">
        <v>481</v>
      </c>
      <c r="B62" s="870" t="s">
        <v>1995</v>
      </c>
      <c r="C62" s="887">
        <f>'Expenditures 15-22'!B185</f>
        <v>3000</v>
      </c>
      <c r="D62" s="877" t="s">
        <v>469</v>
      </c>
      <c r="E62" s="869"/>
      <c r="F62" s="1939">
        <f>'Expenditures 15-22'!K185-SUM('Expenditures 15-22'!G185,'Expenditures 15-22'!I185)</f>
        <v>0</v>
      </c>
      <c r="G62" s="866"/>
    </row>
    <row r="63" spans="1:7" x14ac:dyDescent="0.2">
      <c r="A63" s="870" t="s">
        <v>481</v>
      </c>
      <c r="B63" s="870" t="s">
        <v>1996</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1997</v>
      </c>
      <c r="C64" s="897" t="str">
        <f>'Expenditures 15-22'!B206</f>
        <v>5300</v>
      </c>
      <c r="D64" s="893" t="s">
        <v>329</v>
      </c>
      <c r="E64" s="869"/>
      <c r="F64" s="1939">
        <f>'Expenditures 15-22'!K206</f>
        <v>0</v>
      </c>
      <c r="G64" s="866"/>
    </row>
    <row r="65" spans="1:8" x14ac:dyDescent="0.2">
      <c r="A65" s="870" t="s">
        <v>481</v>
      </c>
      <c r="B65" s="870" t="s">
        <v>1998</v>
      </c>
      <c r="C65" s="887" t="s">
        <v>1039</v>
      </c>
      <c r="D65" s="886" t="s">
        <v>1157</v>
      </c>
      <c r="E65" s="869"/>
      <c r="F65" s="1939">
        <f>'Expenditures 15-22'!G210</f>
        <v>0</v>
      </c>
      <c r="G65" s="866"/>
    </row>
    <row r="66" spans="1:8" x14ac:dyDescent="0.2">
      <c r="A66" s="870" t="s">
        <v>481</v>
      </c>
      <c r="B66" s="870" t="s">
        <v>1999</v>
      </c>
      <c r="C66" s="887" t="s">
        <v>1039</v>
      </c>
      <c r="D66" s="886" t="s">
        <v>309</v>
      </c>
      <c r="E66" s="869"/>
      <c r="F66" s="1939">
        <f>'Expenditures 15-22'!I210</f>
        <v>0</v>
      </c>
      <c r="G66" s="866"/>
    </row>
    <row r="67" spans="1:8" x14ac:dyDescent="0.2">
      <c r="A67" s="870" t="s">
        <v>482</v>
      </c>
      <c r="B67" s="870" t="s">
        <v>2000</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2001</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2002</v>
      </c>
      <c r="C70" s="887">
        <f>'Expenditures 15-22'!B221</f>
        <v>1300</v>
      </c>
      <c r="D70" s="888" t="str">
        <f>'Expenditures 15-22'!A221</f>
        <v>Adult/Continuing Education Programs</v>
      </c>
      <c r="E70" s="869"/>
      <c r="F70" s="1939">
        <f>'Expenditures 15-22'!K221</f>
        <v>0</v>
      </c>
      <c r="G70" s="866"/>
    </row>
    <row r="71" spans="1:8" x14ac:dyDescent="0.2">
      <c r="A71" s="870" t="s">
        <v>482</v>
      </c>
      <c r="B71" s="870" t="s">
        <v>2003</v>
      </c>
      <c r="C71" s="887">
        <f>'Expenditures 15-22'!B224</f>
        <v>1600</v>
      </c>
      <c r="D71" s="888" t="str">
        <f>'Expenditures 15-22'!A224</f>
        <v>Summer School Programs</v>
      </c>
      <c r="E71" s="869"/>
      <c r="F71" s="1939">
        <f>'Expenditures 15-22'!K224</f>
        <v>0</v>
      </c>
      <c r="G71" s="866"/>
    </row>
    <row r="72" spans="1:8" x14ac:dyDescent="0.2">
      <c r="A72" s="870" t="s">
        <v>482</v>
      </c>
      <c r="B72" s="870" t="s">
        <v>2004</v>
      </c>
      <c r="C72" s="887">
        <f>'Expenditures 15-22'!B280</f>
        <v>3000</v>
      </c>
      <c r="D72" s="877" t="s">
        <v>469</v>
      </c>
      <c r="E72" s="869"/>
      <c r="F72" s="1939">
        <f>'Expenditures 15-22'!K280</f>
        <v>0</v>
      </c>
      <c r="G72" s="866"/>
    </row>
    <row r="73" spans="1:8" x14ac:dyDescent="0.2">
      <c r="A73" s="870" t="s">
        <v>482</v>
      </c>
      <c r="B73" s="870" t="s">
        <v>2005</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2006</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1015</v>
      </c>
      <c r="F76" s="1800">
        <f>SUM(F18:F74)</f>
        <v>10481</v>
      </c>
      <c r="G76" s="866"/>
    </row>
    <row r="77" spans="1:8" s="894" customFormat="1" ht="12" customHeight="1" thickTop="1" thickBot="1" x14ac:dyDescent="0.25">
      <c r="A77" s="1801"/>
      <c r="B77" s="1798"/>
      <c r="C77" s="1794"/>
      <c r="D77" s="1799" t="s">
        <v>2008</v>
      </c>
      <c r="E77" s="1796"/>
      <c r="F77" s="1802">
        <f>(F14-F76)</f>
        <v>4823670</v>
      </c>
      <c r="G77" s="870"/>
    </row>
    <row r="78" spans="1:8" s="894" customFormat="1" ht="12" customHeight="1" thickTop="1" x14ac:dyDescent="0.2">
      <c r="A78" s="1803"/>
      <c r="B78" s="1798"/>
      <c r="C78" s="1794"/>
      <c r="D78" s="1799" t="s">
        <v>2054</v>
      </c>
      <c r="E78" s="1796"/>
      <c r="F78" s="899">
        <v>0</v>
      </c>
      <c r="G78" s="900"/>
      <c r="H78" s="870"/>
    </row>
    <row r="79" spans="1:8" s="894" customFormat="1" ht="12" customHeight="1" thickBot="1" x14ac:dyDescent="0.25">
      <c r="A79" s="1804"/>
      <c r="B79" s="1798"/>
      <c r="C79" s="1794"/>
      <c r="D79" s="1799" t="s">
        <v>2009</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339</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3500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294833</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175774</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368</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57958</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23638</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2072636</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38451</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215842</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76540</v>
      </c>
      <c r="G174" s="928"/>
    </row>
    <row r="175" spans="1:7" x14ac:dyDescent="0.2">
      <c r="A175" s="1944" t="s">
        <v>5</v>
      </c>
      <c r="B175" s="1945" t="s">
        <v>2053</v>
      </c>
      <c r="C175" s="1946">
        <v>3100</v>
      </c>
      <c r="D175" s="1947" t="s">
        <v>2056</v>
      </c>
      <c r="E175" s="907"/>
      <c r="F175" s="1931"/>
      <c r="G175" s="928"/>
    </row>
    <row r="176" spans="1:7" x14ac:dyDescent="0.2">
      <c r="A176" s="1944" t="s">
        <v>685</v>
      </c>
      <c r="B176" s="1945" t="s">
        <v>2053</v>
      </c>
      <c r="C176" s="1946">
        <v>3300</v>
      </c>
      <c r="D176" s="1947" t="s">
        <v>2057</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1015</v>
      </c>
      <c r="F178" s="1810">
        <f>SUM(F84:F136,F161:F176)</f>
        <v>2959879</v>
      </c>
    </row>
    <row r="179" spans="1:7" ht="12" customHeight="1" x14ac:dyDescent="0.2">
      <c r="A179" s="1792"/>
      <c r="B179" s="1806"/>
      <c r="C179" s="1807"/>
      <c r="D179" s="1808" t="s">
        <v>2011</v>
      </c>
      <c r="E179" s="1809"/>
      <c r="F179" s="1811">
        <f>'PCTC-OEPP 27-28'!F77-F178</f>
        <v>1863791</v>
      </c>
    </row>
    <row r="180" spans="1:7" ht="12" customHeight="1" x14ac:dyDescent="0.2">
      <c r="A180" s="1792"/>
      <c r="B180" s="1806"/>
      <c r="C180" s="1807"/>
      <c r="D180" s="1808" t="s">
        <v>1921</v>
      </c>
      <c r="E180" s="1809"/>
      <c r="F180" s="1811">
        <f>'Cap Outlay Deprec 26'!I18</f>
        <v>19680.400000000001</v>
      </c>
    </row>
    <row r="181" spans="1:7" ht="12" customHeight="1" x14ac:dyDescent="0.2">
      <c r="A181" s="1792"/>
      <c r="B181" s="1806"/>
      <c r="C181" s="1807"/>
      <c r="D181" s="1808" t="s">
        <v>2012</v>
      </c>
      <c r="E181" s="1809"/>
      <c r="F181" s="1811">
        <f>F179+F180</f>
        <v>1883471.4</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2013</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48" customFormat="1" ht="12.2" customHeight="1" x14ac:dyDescent="0.2">
      <c r="A186" s="1948" t="s">
        <v>2060</v>
      </c>
      <c r="B186" s="1949"/>
      <c r="C186" s="1950"/>
      <c r="D186" s="1949"/>
      <c r="E186" s="1950"/>
      <c r="F186" s="1949"/>
      <c r="G186" s="1949"/>
    </row>
    <row r="187" spans="1:7" s="1948" customFormat="1" ht="12.2" customHeight="1" x14ac:dyDescent="0.2">
      <c r="A187" s="1951" t="s">
        <v>2061</v>
      </c>
      <c r="C187" s="1950"/>
      <c r="D187" s="1949"/>
      <c r="E187" s="1950"/>
      <c r="F187" s="1949"/>
      <c r="G187" s="1949"/>
    </row>
    <row r="188" spans="1:7" ht="12" customHeight="1" x14ac:dyDescent="0.2">
      <c r="C188" s="950"/>
      <c r="D188" s="931"/>
      <c r="E188" s="950"/>
      <c r="F188" s="931"/>
      <c r="G188" s="931"/>
    </row>
    <row r="189" spans="1:7" x14ac:dyDescent="0.2">
      <c r="A189" s="1952" t="s">
        <v>2059</v>
      </c>
      <c r="B189" s="1953"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1937</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1922</v>
      </c>
      <c r="B4" s="2288"/>
      <c r="C4" s="2288"/>
      <c r="D4" s="2288"/>
      <c r="E4" s="2288"/>
      <c r="F4" s="2288"/>
      <c r="G4" s="2289"/>
    </row>
    <row r="5" spans="1:7" x14ac:dyDescent="0.25">
      <c r="A5" s="2290"/>
      <c r="B5" s="2291"/>
      <c r="C5" s="2291"/>
      <c r="D5" s="2291"/>
      <c r="E5" s="2291"/>
      <c r="F5" s="2291"/>
      <c r="G5" s="2292"/>
    </row>
    <row r="6" spans="1:7" ht="18.75" x14ac:dyDescent="0.25">
      <c r="A6" s="1556" t="s">
        <v>1923</v>
      </c>
      <c r="B6" s="1557"/>
      <c r="C6" s="1557"/>
      <c r="D6" s="1557"/>
      <c r="E6" s="1557"/>
      <c r="F6" s="1557"/>
      <c r="G6" s="1558"/>
    </row>
    <row r="7" spans="1:7" ht="30.75" customHeight="1" x14ac:dyDescent="0.25">
      <c r="A7" s="2293" t="s">
        <v>2070</v>
      </c>
      <c r="B7" s="2294"/>
      <c r="C7" s="2294"/>
      <c r="D7" s="2294"/>
      <c r="E7" s="2294"/>
      <c r="F7" s="2294"/>
      <c r="G7" s="2295"/>
    </row>
    <row r="8" spans="1:7" ht="15.75" customHeight="1" x14ac:dyDescent="0.25">
      <c r="A8" s="2296" t="s">
        <v>2019</v>
      </c>
      <c r="B8" s="2297"/>
      <c r="C8" s="2297"/>
      <c r="D8" s="2297"/>
      <c r="E8" s="2297"/>
      <c r="F8" s="2297"/>
      <c r="G8" s="2298"/>
    </row>
    <row r="9" spans="1:7" ht="35.25" customHeight="1" x14ac:dyDescent="0.25">
      <c r="A9" s="2293" t="s">
        <v>2073</v>
      </c>
      <c r="B9" s="2294"/>
      <c r="C9" s="2294"/>
      <c r="D9" s="2294"/>
      <c r="E9" s="2294"/>
      <c r="F9" s="2294"/>
      <c r="G9" s="2295"/>
    </row>
    <row r="10" spans="1:7" ht="15" customHeight="1" x14ac:dyDescent="0.25">
      <c r="A10" s="1559" t="s">
        <v>1924</v>
      </c>
      <c r="B10" s="1560"/>
      <c r="C10" s="1560"/>
      <c r="D10" s="1560"/>
      <c r="E10" s="1560"/>
      <c r="F10" s="1560"/>
      <c r="G10" s="1561"/>
    </row>
    <row r="11" spans="1:7" ht="17.25" customHeight="1" x14ac:dyDescent="0.25">
      <c r="A11" s="2293" t="s">
        <v>2072</v>
      </c>
      <c r="B11" s="2294"/>
      <c r="C11" s="2294"/>
      <c r="D11" s="2294"/>
      <c r="E11" s="2294"/>
      <c r="F11" s="2294"/>
      <c r="G11" s="2295"/>
    </row>
    <row r="12" spans="1:7" ht="15" customHeight="1" x14ac:dyDescent="0.25">
      <c r="A12" s="1559" t="s">
        <v>1929</v>
      </c>
      <c r="B12" s="1560"/>
      <c r="C12" s="1560"/>
      <c r="D12" s="1560"/>
      <c r="E12" s="1560"/>
      <c r="F12" s="1560"/>
      <c r="G12" s="1561"/>
    </row>
    <row r="13" spans="1:7" ht="32.25" customHeight="1" x14ac:dyDescent="0.25">
      <c r="A13" s="2284" t="s">
        <v>1930</v>
      </c>
      <c r="B13" s="2285"/>
      <c r="C13" s="2285"/>
      <c r="D13" s="2285"/>
      <c r="E13" s="2285"/>
      <c r="F13" s="2285"/>
      <c r="G13" s="2286"/>
    </row>
    <row r="14" spans="1:7" x14ac:dyDescent="0.25">
      <c r="A14" s="1683" t="s">
        <v>1938</v>
      </c>
      <c r="B14" s="1684"/>
      <c r="C14" s="1684"/>
      <c r="D14" s="1684"/>
      <c r="E14" s="1684"/>
      <c r="F14" s="1684"/>
      <c r="G14" s="1685"/>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1939</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2092</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v>33086</v>
      </c>
      <c r="F10" s="975"/>
      <c r="G10" s="976"/>
      <c r="H10" s="162"/>
      <c r="I10" s="162"/>
    </row>
    <row r="11" spans="1:9" s="669" customFormat="1" ht="22.5" customHeight="1" x14ac:dyDescent="0.2">
      <c r="A11" s="2304" t="s">
        <v>1941</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1496128</v>
      </c>
      <c r="F19" s="1822"/>
      <c r="G19" s="1824">
        <f>'Expenditures 15-22'!K33-SUM('Expenditures 15-22'!G33,'Expenditures 15-22'!I33)+'Expenditures 15-22'!D229</f>
        <v>1496128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2083319</v>
      </c>
      <c r="F21" s="1825"/>
      <c r="G21" s="1828">
        <f>'Expenditures 15-22'!K42-SUM('Expenditures 15-22'!G42,'Expenditures 15-22'!I42)+'Expenditures 15-22'!K120-SUM('Expenditures 15-22'!G120,'Expenditures 15-22'!I120)+'Expenditures 15-22'!K180-SUM('Expenditures 15-22'!G180,'Expenditures 15-22'!I180)+'Expenditures 15-22'!D238</f>
        <v>2083319</v>
      </c>
      <c r="H21" s="988"/>
      <c r="I21" s="162"/>
    </row>
    <row r="22" spans="1:9" s="669" customFormat="1" ht="12" customHeight="1" x14ac:dyDescent="0.2">
      <c r="A22" s="995" t="s">
        <v>585</v>
      </c>
      <c r="B22" s="996"/>
      <c r="C22" s="994">
        <v>2200</v>
      </c>
      <c r="D22" s="1825"/>
      <c r="E22" s="1827">
        <f>'Expenditures 15-22'!K47-SUM('Expenditures 15-22'!G47,'Expenditures 15-22'!I47)+'Expenditures 15-22'!D243</f>
        <v>116147</v>
      </c>
      <c r="F22" s="1825"/>
      <c r="G22" s="1828">
        <f>'Expenditures 15-22'!K47-SUM('Expenditures 15-22'!G47,'Expenditures 15-22'!I47)+'Expenditures 15-22'!D243</f>
        <v>116147</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622890</v>
      </c>
      <c r="F23" s="1825"/>
      <c r="G23" s="1827">
        <f>'Expenditures 15-22'!K53-SUM('Expenditures 15-22'!G53,'Expenditures 15-22'!I53)+'Expenditures 15-22'!D257+'Expenditures 15-22'!K330-SUM('Expenditures 15-22'!G330,'Expenditures 15-22'!I330)</f>
        <v>622890</v>
      </c>
      <c r="H23" s="988"/>
      <c r="I23" s="162"/>
    </row>
    <row r="24" spans="1:9" s="669" customFormat="1" ht="12" customHeight="1" x14ac:dyDescent="0.2">
      <c r="A24" s="995" t="s">
        <v>587</v>
      </c>
      <c r="B24" s="996"/>
      <c r="C24" s="994">
        <v>2400</v>
      </c>
      <c r="D24" s="1825"/>
      <c r="E24" s="1827">
        <f>'Expenditures 15-22'!K57-SUM('Expenditures 15-22'!G57,'Expenditures 15-22'!I57)+'Expenditures 15-22'!D261</f>
        <v>0</v>
      </c>
      <c r="F24" s="1825"/>
      <c r="G24" s="1828">
        <f>'Expenditures 15-22'!K57-SUM('Expenditures 15-22'!G57,'Expenditures 15-22'!I57)+'Expenditures 15-22'!D261</f>
        <v>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46697</v>
      </c>
      <c r="E27" s="1827">
        <f>E8</f>
        <v>0</v>
      </c>
      <c r="F27" s="1827">
        <f>'Expenditures 15-22'!K60-SUM('Expenditures 15-22'!G60,'Expenditures 15-22'!I60)+'Expenditures 15-22'!D264-E8</f>
        <v>46697</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414562</v>
      </c>
      <c r="F28" s="1829">
        <f>'Expenditures 15-22'!K61-SUM('Expenditures 15-22'!G61,'Expenditures 15-22'!I61)+'Expenditures 15-22'!K124-SUM('Expenditures 15-22'!G124,'Expenditures 15-22'!I124)+'Expenditures 15-22'!D266-E9</f>
        <v>414562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10897</v>
      </c>
      <c r="F29" s="1825"/>
      <c r="G29" s="1828">
        <f>'Expenditures 15-22'!K62-SUM('Expenditures 15-22'!G62,'Expenditures 15-22'!I62)+'Expenditures 15-22'!K125-SUM('Expenditures 15-22'!G125,'Expenditures 15-22'!I125)+'Expenditures 15-22'!K182-SUM('Expenditures 15-22'!G182,'Expenditures 15-22'!I182)+'Expenditures 15-22'!D267</f>
        <v>10897</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878</v>
      </c>
      <c r="F35" s="1825"/>
      <c r="G35" s="1827">
        <f>'Expenditures 15-22'!K69-SUM('Expenditures 15-22'!G69,'Expenditures 15-22'!I69)+'Expenditures 15-22'!D274</f>
        <v>878</v>
      </c>
    </row>
    <row r="36" spans="1:7" ht="12" customHeight="1" x14ac:dyDescent="0.2">
      <c r="A36" s="995" t="s">
        <v>423</v>
      </c>
      <c r="B36" s="998"/>
      <c r="C36" s="994">
        <v>2640</v>
      </c>
      <c r="D36" s="1827">
        <f>'Expenditures 15-22'!K70-SUM('Expenditures 15-22'!G70,'Expenditures 15-22'!I70)+'Expenditures 15-22'!D275-E13</f>
        <v>270</v>
      </c>
      <c r="E36" s="1827">
        <f>E13</f>
        <v>0</v>
      </c>
      <c r="F36" s="1827">
        <f>'Expenditures 15-22'!K70-SUM('Expenditures 15-22'!G70,'Expenditures 15-22'!I70)+'Expenditures 15-22'!D275-E13</f>
        <v>270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93</v>
      </c>
      <c r="F39" s="1825"/>
      <c r="G39" s="1827">
        <f>'Expenditures 15-22'!K75-SUM('Expenditures 15-22'!G75,'Expenditures 15-22'!I75)+'Expenditures 15-22'!K130-SUM('Expenditures 15-22'!G130,'Expenditures 15-22'!I130)+'Expenditures 15-22'!K185-SUM('Expenditures 15-22'!G185,'Expenditures 15-22'!I185)+'Expenditures 15-22'!D280</f>
        <v>93</v>
      </c>
    </row>
    <row r="40" spans="1:7" ht="12" customHeight="1" x14ac:dyDescent="0.2">
      <c r="A40" s="991" t="s">
        <v>1927</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46967</v>
      </c>
      <c r="E41" s="1829">
        <f>SUM(E19:E40)</f>
        <v>4744914</v>
      </c>
      <c r="F41" s="1829">
        <f>SUM(F19:F39)</f>
        <v>461529</v>
      </c>
      <c r="G41" s="1829">
        <f>SUM(G19:G40)</f>
        <v>4330352</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46967</v>
      </c>
      <c r="F43" s="1830" t="s">
        <v>495</v>
      </c>
      <c r="G43" s="1831">
        <f>F41</f>
        <v>461529</v>
      </c>
    </row>
    <row r="44" spans="1:7" ht="12" customHeight="1" x14ac:dyDescent="0.2">
      <c r="A44" s="988"/>
      <c r="B44" s="162"/>
      <c r="C44" s="1002"/>
      <c r="D44" s="1830" t="s">
        <v>494</v>
      </c>
      <c r="E44" s="1831">
        <f>E41</f>
        <v>4744914</v>
      </c>
      <c r="F44" s="1830" t="s">
        <v>494</v>
      </c>
      <c r="G44" s="1831">
        <f>G41</f>
        <v>4330352</v>
      </c>
    </row>
    <row r="45" spans="1:7" ht="12" customHeight="1" x14ac:dyDescent="0.2">
      <c r="A45" s="988"/>
      <c r="B45" s="162"/>
      <c r="C45" s="162"/>
      <c r="D45" s="1832" t="s">
        <v>1063</v>
      </c>
      <c r="E45" s="1833">
        <f>(E43/E44)</f>
        <v>9.8983880424387046E-3</v>
      </c>
      <c r="F45" s="1832" t="s">
        <v>1063</v>
      </c>
      <c r="G45" s="1833">
        <f>(G43/G44)</f>
        <v>0.10658001936101269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1" t="s">
        <v>1446</v>
      </c>
      <c r="B1" s="2321"/>
      <c r="C1" s="2321"/>
      <c r="D1" s="2321"/>
      <c r="E1" s="2321"/>
      <c r="F1" s="2321"/>
    </row>
    <row r="2" spans="1:10" x14ac:dyDescent="0.2">
      <c r="A2" s="1912" t="s">
        <v>2043</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2" t="s">
        <v>1627</v>
      </c>
      <c r="B5" s="2323"/>
      <c r="C5" s="2324"/>
      <c r="D5" s="2324"/>
      <c r="E5" s="2324"/>
      <c r="F5" s="2324"/>
    </row>
    <row r="6" spans="1:10" ht="12" customHeight="1" x14ac:dyDescent="0.25">
      <c r="A6" s="1875"/>
      <c r="B6" s="1876"/>
      <c r="C6" s="2325" t="str">
        <f>COVER!A17</f>
        <v>Vermilion Assoc for SpEd</v>
      </c>
      <c r="D6" s="2325"/>
      <c r="E6" s="2325"/>
      <c r="F6" s="1877"/>
    </row>
    <row r="7" spans="1:10" ht="11.25" customHeight="1" thickBot="1" x14ac:dyDescent="0.3">
      <c r="A7" s="1875"/>
      <c r="B7" s="1876"/>
      <c r="C7" s="2326">
        <f>COVER!A13</f>
        <v>54092801060</v>
      </c>
      <c r="D7" s="2326"/>
      <c r="E7" s="2326"/>
      <c r="F7" s="1877"/>
    </row>
    <row r="8" spans="1:10" ht="25.5" customHeight="1" thickBot="1" x14ac:dyDescent="0.25">
      <c r="A8" s="1918" t="s">
        <v>2020</v>
      </c>
      <c r="B8" s="1878" t="s">
        <v>2093</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8"/>
      <c r="B39" s="1898"/>
      <c r="C39" s="1898"/>
      <c r="D39" s="1898"/>
      <c r="E39" s="1898"/>
      <c r="F39" s="1898"/>
    </row>
    <row r="40" spans="1:11" s="1895" customFormat="1" ht="12" customHeight="1" x14ac:dyDescent="0.25">
      <c r="A40" s="1899" t="s">
        <v>1458</v>
      </c>
      <c r="B40" s="1900"/>
      <c r="C40" s="2316"/>
      <c r="D40" s="2316"/>
      <c r="E40" s="2316"/>
      <c r="F40" s="2317"/>
      <c r="H40" s="1904"/>
      <c r="I40" s="1904"/>
      <c r="J40" s="1904"/>
      <c r="K40" s="1904"/>
    </row>
    <row r="41" spans="1:11" s="1895" customFormat="1" ht="12" customHeight="1" x14ac:dyDescent="0.25">
      <c r="A41" s="2318"/>
      <c r="B41" s="2319"/>
      <c r="C41" s="2319"/>
      <c r="D41" s="2319"/>
      <c r="E41" s="2319"/>
      <c r="F41" s="2320"/>
      <c r="H41" s="1904"/>
      <c r="I41" s="1904"/>
      <c r="J41" s="1904"/>
      <c r="K41" s="1904"/>
    </row>
    <row r="42" spans="1:11" s="1895" customFormat="1" ht="12" customHeight="1" x14ac:dyDescent="0.25">
      <c r="A42" s="2318"/>
      <c r="B42" s="2319"/>
      <c r="C42" s="2319"/>
      <c r="D42" s="2319"/>
      <c r="E42" s="2319"/>
      <c r="F42" s="2320"/>
      <c r="H42" s="1904"/>
      <c r="I42" s="1904"/>
      <c r="J42" s="1904"/>
      <c r="K42" s="1904"/>
    </row>
    <row r="43" spans="1:11" s="1895" customFormat="1" ht="15" x14ac:dyDescent="0.25">
      <c r="A43" s="2307"/>
      <c r="B43" s="2308"/>
      <c r="C43" s="2308"/>
      <c r="D43" s="2308"/>
      <c r="E43" s="2308"/>
      <c r="F43" s="2309"/>
      <c r="H43" s="1904"/>
      <c r="I43" s="1904"/>
      <c r="J43" s="1904"/>
      <c r="K43" s="1904"/>
    </row>
    <row r="44" spans="1:11" s="1895" customFormat="1" ht="12" hidden="1" customHeight="1" x14ac:dyDescent="0.25">
      <c r="A44" s="2307"/>
      <c r="B44" s="2308"/>
      <c r="C44" s="2308"/>
      <c r="D44" s="2308"/>
      <c r="E44" s="2308"/>
      <c r="F44" s="230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Vermilion Assoc for SpEd</v>
      </c>
      <c r="J6" s="2335"/>
      <c r="Q6" s="1686"/>
    </row>
    <row r="7" spans="1:17" x14ac:dyDescent="0.2">
      <c r="A7" s="2336" t="s">
        <v>924</v>
      </c>
      <c r="B7" s="2337"/>
      <c r="C7" s="2337"/>
      <c r="D7" s="2337"/>
      <c r="E7" s="2338"/>
      <c r="F7" s="1018"/>
      <c r="G7" s="1010"/>
      <c r="H7" s="1017" t="s">
        <v>390</v>
      </c>
      <c r="I7" s="2339">
        <f>COVER!A13</f>
        <v>54092801060</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622890</v>
      </c>
      <c r="F12" s="1040"/>
      <c r="G12" s="1834">
        <f t="shared" ref="G12:G18" si="0">SUM(E12:F12)</f>
        <v>622890</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622890</v>
      </c>
      <c r="F19" s="1836">
        <f t="shared" si="2"/>
        <v>0</v>
      </c>
      <c r="G19" s="1836">
        <f t="shared" si="2"/>
        <v>622890</v>
      </c>
      <c r="H19" s="1836">
        <f t="shared" si="2"/>
        <v>0</v>
      </c>
      <c r="I19" s="1836">
        <f t="shared" si="2"/>
        <v>0</v>
      </c>
      <c r="J19" s="1836">
        <f t="shared" si="2"/>
        <v>0</v>
      </c>
    </row>
    <row r="20" spans="1:10" ht="13.5" thickTop="1" x14ac:dyDescent="0.2">
      <c r="A20" s="1036">
        <v>9</v>
      </c>
      <c r="B20" s="2346" t="s">
        <v>1703</v>
      </c>
      <c r="C20" s="2346"/>
      <c r="D20" s="2347"/>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1940</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59"/>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2094</v>
      </c>
    </row>
    <row r="6" spans="1:2" x14ac:dyDescent="0.2">
      <c r="A6" s="1069"/>
      <c r="B6" s="329" t="s">
        <v>2095</v>
      </c>
    </row>
    <row r="7" spans="1:2" x14ac:dyDescent="0.2">
      <c r="A7" s="1069"/>
      <c r="B7" s="329" t="s">
        <v>2098</v>
      </c>
    </row>
    <row r="8" spans="1:2" x14ac:dyDescent="0.2">
      <c r="A8" s="1069"/>
    </row>
    <row r="9" spans="1:2" x14ac:dyDescent="0.2">
      <c r="A9" s="1069">
        <v>2</v>
      </c>
      <c r="B9" s="329" t="s">
        <v>2096</v>
      </c>
    </row>
    <row r="10" spans="1:2" x14ac:dyDescent="0.2">
      <c r="A10" s="1069"/>
      <c r="B10" s="329" t="s">
        <v>2095</v>
      </c>
    </row>
    <row r="11" spans="1:2" x14ac:dyDescent="0.2">
      <c r="A11" s="1069"/>
      <c r="B11" s="329" t="s">
        <v>2099</v>
      </c>
    </row>
    <row r="12" spans="1:2" x14ac:dyDescent="0.2">
      <c r="A12" s="1069"/>
    </row>
    <row r="13" spans="1:2" x14ac:dyDescent="0.2">
      <c r="A13" s="1069">
        <v>3</v>
      </c>
      <c r="B13" s="329" t="s">
        <v>2097</v>
      </c>
    </row>
    <row r="14" spans="1:2" x14ac:dyDescent="0.2">
      <c r="A14" s="1069"/>
      <c r="B14" s="329" t="s">
        <v>2095</v>
      </c>
    </row>
    <row r="15" spans="1:2" x14ac:dyDescent="0.2">
      <c r="A15" s="1069"/>
      <c r="B15" s="329" t="s">
        <v>2100</v>
      </c>
    </row>
    <row r="16" spans="1:2" x14ac:dyDescent="0.2">
      <c r="A16" s="1069"/>
    </row>
    <row r="17" spans="1:2" x14ac:dyDescent="0.2">
      <c r="A17" s="1069">
        <v>4</v>
      </c>
      <c r="B17" s="329" t="s">
        <v>2101</v>
      </c>
    </row>
    <row r="18" spans="1:2" x14ac:dyDescent="0.2">
      <c r="A18" s="1070"/>
      <c r="B18" s="329" t="s">
        <v>2102</v>
      </c>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c r="B58" s="258" t="str">
        <f>COVER!A17</f>
        <v>Vermilion Assoc for SpEd</v>
      </c>
    </row>
    <row r="59" spans="1:2" x14ac:dyDescent="0.2">
      <c r="B59" s="1071">
        <f>COVER!A13</f>
        <v>54092801060</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1219200</xdr:colOff>
                <xdr:row>3</xdr:row>
                <xdr:rowOff>66675</xdr:rowOff>
              </from>
              <to>
                <xdr:col>1</xdr:col>
                <xdr:colOff>2133600</xdr:colOff>
                <xdr:row>7</xdr:row>
                <xdr:rowOff>104775</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2051</v>
      </c>
      <c r="B4" s="2374"/>
      <c r="C4" s="2374"/>
      <c r="D4" s="2374"/>
      <c r="E4" s="2374"/>
      <c r="F4" s="2375"/>
      <c r="G4" s="1075"/>
      <c r="H4" s="1075"/>
    </row>
    <row r="5" spans="1:8" ht="14.25" customHeight="1" x14ac:dyDescent="0.2">
      <c r="A5" s="2376" t="s">
        <v>2052</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5682986</v>
      </c>
      <c r="C8" s="1838">
        <f>'Acct Summary 7-8'!D8</f>
        <v>0</v>
      </c>
      <c r="D8" s="1838">
        <f>'Acct Summary 7-8'!F8</f>
        <v>0</v>
      </c>
      <c r="E8" s="1838">
        <f>'Acct Summary 7-8'!I8</f>
        <v>0</v>
      </c>
      <c r="F8" s="1838">
        <f>SUM(B8:E8)</f>
        <v>5682986</v>
      </c>
    </row>
    <row r="9" spans="1:8" s="1080" customFormat="1" ht="14.25" customHeight="1" thickBot="1" x14ac:dyDescent="0.25">
      <c r="A9" s="1079" t="s">
        <v>1436</v>
      </c>
      <c r="B9" s="1839">
        <f>'Acct Summary 7-8'!C17</f>
        <v>4834151</v>
      </c>
      <c r="C9" s="1839">
        <f>'Acct Summary 7-8'!D17</f>
        <v>0</v>
      </c>
      <c r="D9" s="1839">
        <f>'Acct Summary 7-8'!F17</f>
        <v>0</v>
      </c>
      <c r="E9" s="1838"/>
      <c r="F9" s="1838">
        <f>SUM(B9:E9)</f>
        <v>4834151</v>
      </c>
    </row>
    <row r="10" spans="1:8" s="1080" customFormat="1" ht="14.25" thickTop="1" thickBot="1" x14ac:dyDescent="0.25">
      <c r="A10" s="1081" t="s">
        <v>1437</v>
      </c>
      <c r="B10" s="1840">
        <f>(B8-B9)</f>
        <v>848835</v>
      </c>
      <c r="C10" s="1840">
        <f>(C8-C9)</f>
        <v>0</v>
      </c>
      <c r="D10" s="1840">
        <f>(D8-D9)</f>
        <v>0</v>
      </c>
      <c r="E10" s="1839">
        <f>(E8-E9)</f>
        <v>0</v>
      </c>
      <c r="F10" s="1841">
        <f>SUM(F8-F9)</f>
        <v>848835</v>
      </c>
    </row>
    <row r="11" spans="1:8" s="1080" customFormat="1" ht="14.25" thickTop="1" thickBot="1" x14ac:dyDescent="0.25">
      <c r="A11" s="1082" t="s">
        <v>1785</v>
      </c>
      <c r="B11" s="1842">
        <f>'Acct Summary 7-8'!C81</f>
        <v>3542162</v>
      </c>
      <c r="C11" s="1842">
        <f>'Acct Summary 7-8'!D81</f>
        <v>0</v>
      </c>
      <c r="D11" s="1842">
        <f>'Acct Summary 7-8'!F81</f>
        <v>0</v>
      </c>
      <c r="E11" s="1842">
        <f>'Acct Summary 7-8'!I81</f>
        <v>0</v>
      </c>
      <c r="F11" s="1843">
        <f>SUM(B11:E11)</f>
        <v>3542162</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1079</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2049</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2050</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54092801060</v>
      </c>
    </row>
    <row r="3" spans="1:2" x14ac:dyDescent="0.2">
      <c r="A3" t="s">
        <v>1013</v>
      </c>
      <c r="B3" s="138" t="str">
        <f>COVER!A15</f>
        <v>VERMILION</v>
      </c>
    </row>
    <row r="4" spans="1:2" x14ac:dyDescent="0.2">
      <c r="A4" t="s">
        <v>1064</v>
      </c>
      <c r="B4" s="138" t="str">
        <f>COVER!A17</f>
        <v>Vermilion Assoc for SpEd</v>
      </c>
    </row>
    <row r="5" spans="1:2" x14ac:dyDescent="0.2">
      <c r="A5" t="s">
        <v>728</v>
      </c>
      <c r="B5" s="138" t="str">
        <f>COVER!A38</f>
        <v>Kristin Dunker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ASSOICATES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Yes</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3543012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850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850</v>
      </c>
      <c r="C91" s="2" t="s">
        <v>594</v>
      </c>
      <c r="D91" s="2" t="str">
        <f t="shared" si="0"/>
        <v>Error?</v>
      </c>
    </row>
    <row r="92" spans="1:4" x14ac:dyDescent="0.2">
      <c r="A92" s="5">
        <v>31</v>
      </c>
      <c r="B92" s="138">
        <f>'Assets-Liab 5-6'!C39</f>
        <v>3542162</v>
      </c>
      <c r="D92" s="2" t="str">
        <f t="shared" si="0"/>
        <v>Error?</v>
      </c>
    </row>
    <row r="93" spans="1:4" x14ac:dyDescent="0.2">
      <c r="A93" s="5">
        <v>32</v>
      </c>
      <c r="B93" s="138">
        <f>'Assets-Liab 5-6'!C41</f>
        <v>3543012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214123</v>
      </c>
      <c r="D274" s="2" t="str">
        <f t="shared" si="3"/>
        <v>Error?</v>
      </c>
    </row>
    <row r="275" spans="1:4" x14ac:dyDescent="0.2">
      <c r="A275" s="5">
        <v>214</v>
      </c>
      <c r="B275" s="138">
        <f>'Assets-Liab 5-6'!M18</f>
        <v>0</v>
      </c>
      <c r="D275" s="2" t="str">
        <f t="shared" si="3"/>
        <v>Error?</v>
      </c>
    </row>
    <row r="276" spans="1:4" x14ac:dyDescent="0.2">
      <c r="A276" s="5">
        <v>215</v>
      </c>
      <c r="B276" s="138">
        <f>'Assets-Liab 5-6'!M19</f>
        <v>342822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556945</v>
      </c>
      <c r="C279" s="2" t="s">
        <v>594</v>
      </c>
      <c r="D279" s="2" t="str">
        <f t="shared" si="3"/>
        <v>Error?</v>
      </c>
    </row>
    <row r="280" spans="1:4" x14ac:dyDescent="0.2">
      <c r="A280" s="5">
        <v>219</v>
      </c>
      <c r="B280" s="138">
        <f>'Assets-Liab 5-6'!M40</f>
        <v>556945</v>
      </c>
      <c r="D280" s="2" t="str">
        <f t="shared" si="3"/>
        <v>Error?</v>
      </c>
    </row>
    <row r="281" spans="1:4" x14ac:dyDescent="0.2">
      <c r="A281" s="5">
        <v>220</v>
      </c>
      <c r="B281" s="138">
        <f>'Assets-Liab 5-6'!M41</f>
        <v>556945</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83323</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1065893</v>
      </c>
      <c r="C720" s="2" t="s">
        <v>594</v>
      </c>
      <c r="D720" s="2" t="str">
        <f t="shared" si="10"/>
        <v>Error?</v>
      </c>
    </row>
    <row r="721" spans="1:4" x14ac:dyDescent="0.2">
      <c r="A721" s="5">
        <v>660</v>
      </c>
      <c r="B721" s="138">
        <f>'Expenditures 15-22'!C36</f>
        <v>495237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270575</v>
      </c>
      <c r="D723" s="2" t="str">
        <f t="shared" si="10"/>
        <v>Error?</v>
      </c>
    </row>
    <row r="724" spans="1:4" x14ac:dyDescent="0.2">
      <c r="A724" s="5">
        <v>663</v>
      </c>
      <c r="B724" s="138">
        <f>'Expenditures 15-22'!C39</f>
        <v>301377</v>
      </c>
      <c r="D724" s="2" t="str">
        <f t="shared" si="10"/>
        <v>Error?</v>
      </c>
    </row>
    <row r="725" spans="1:4" x14ac:dyDescent="0.2">
      <c r="A725" s="5">
        <v>664</v>
      </c>
      <c r="B725" s="138">
        <f>'Expenditures 15-22'!C40</f>
        <v>284586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1351775</v>
      </c>
      <c r="C727" s="2" t="s">
        <v>594</v>
      </c>
      <c r="D727" s="2" t="str">
        <f t="shared" si="10"/>
        <v>Error?</v>
      </c>
    </row>
    <row r="728" spans="1:4" x14ac:dyDescent="0.2">
      <c r="A728" s="5">
        <v>667</v>
      </c>
      <c r="B728" s="138">
        <f>'Expenditures 15-22'!C44</f>
        <v>1270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1270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362854</v>
      </c>
      <c r="D733" s="2" t="str">
        <f t="shared" si="10"/>
        <v>Error?</v>
      </c>
    </row>
    <row r="734" spans="1:4" x14ac:dyDescent="0.2">
      <c r="A734" s="5">
        <v>673</v>
      </c>
      <c r="B734" s="138">
        <f>'Expenditures 15-22'!C53</f>
        <v>362854</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37913</v>
      </c>
      <c r="D739" s="2" t="str">
        <f t="shared" si="10"/>
        <v>Error?</v>
      </c>
    </row>
    <row r="740" spans="1:4" x14ac:dyDescent="0.2">
      <c r="A740" s="5">
        <v>679</v>
      </c>
      <c r="B740" s="138">
        <f>'Expenditures 15-22'!C61</f>
        <v>89293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127206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1843105</v>
      </c>
      <c r="C755" s="2" t="s">
        <v>594</v>
      </c>
      <c r="D755" s="2" t="str">
        <f t="shared" si="10"/>
        <v>Error?</v>
      </c>
    </row>
    <row r="756" spans="1:4" x14ac:dyDescent="0.2">
      <c r="A756" s="5">
        <v>695</v>
      </c>
      <c r="B756" s="138">
        <f>'Expenditures 15-22'!C75</f>
        <v>82</v>
      </c>
      <c r="D756" s="2" t="str">
        <f t="shared" si="10"/>
        <v>Error?</v>
      </c>
    </row>
    <row r="757" spans="1:4" x14ac:dyDescent="0.2">
      <c r="A757" s="5">
        <v>696</v>
      </c>
      <c r="B757" s="138">
        <f>'Expenditures 15-22'!C114</f>
        <v>2909080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18757</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306483</v>
      </c>
      <c r="C778" s="2" t="s">
        <v>594</v>
      </c>
      <c r="D778" s="2" t="str">
        <f t="shared" si="11"/>
        <v>Error?</v>
      </c>
    </row>
    <row r="779" spans="1:4" x14ac:dyDescent="0.2">
      <c r="A779" s="5">
        <v>718</v>
      </c>
      <c r="B779" s="138">
        <f>'Expenditures 15-22'!D36</f>
        <v>120547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86501</v>
      </c>
      <c r="D781" s="2" t="str">
        <f t="shared" si="11"/>
        <v>Error?</v>
      </c>
    </row>
    <row r="782" spans="1:4" x14ac:dyDescent="0.2">
      <c r="A782" s="5">
        <v>721</v>
      </c>
      <c r="B782" s="138">
        <f>'Expenditures 15-22'!D39</f>
        <v>62532</v>
      </c>
      <c r="D782" s="2" t="str">
        <f t="shared" si="11"/>
        <v>Error?</v>
      </c>
    </row>
    <row r="783" spans="1:4" x14ac:dyDescent="0.2">
      <c r="A783" s="5">
        <v>722</v>
      </c>
      <c r="B783" s="138">
        <f>'Expenditures 15-22'!D40</f>
        <v>72738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342318</v>
      </c>
      <c r="C785" s="2" t="s">
        <v>594</v>
      </c>
      <c r="D785" s="2" t="str">
        <f t="shared" si="11"/>
        <v>Error?</v>
      </c>
    </row>
    <row r="786" spans="1:4" x14ac:dyDescent="0.2">
      <c r="A786" s="5">
        <v>725</v>
      </c>
      <c r="B786" s="138">
        <f>'Expenditures 15-22'!D44</f>
        <v>248</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248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105668</v>
      </c>
      <c r="D791" s="2" t="str">
        <f t="shared" si="11"/>
        <v>Error?</v>
      </c>
    </row>
    <row r="792" spans="1:4" x14ac:dyDescent="0.2">
      <c r="A792" s="5">
        <v>731</v>
      </c>
      <c r="B792" s="138">
        <f>'Expenditures 15-22'!D53</f>
        <v>105668</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7809</v>
      </c>
      <c r="D797" s="2" t="str">
        <f t="shared" si="11"/>
        <v>Error?</v>
      </c>
    </row>
    <row r="798" spans="1:4" x14ac:dyDescent="0.2">
      <c r="A798" s="5">
        <v>737</v>
      </c>
      <c r="B798" s="138">
        <f>'Expenditures 15-22'!D61</f>
        <v>26423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34232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482466</v>
      </c>
      <c r="C813" s="2" t="s">
        <v>594</v>
      </c>
      <c r="D813" s="2" t="str">
        <f t="shared" si="11"/>
        <v>Error?</v>
      </c>
    </row>
    <row r="814" spans="1:4" x14ac:dyDescent="0.2">
      <c r="A814" s="5">
        <v>753</v>
      </c>
      <c r="B814" s="138">
        <f>'Expenditures 15-22'!D75</f>
        <v>11</v>
      </c>
      <c r="D814" s="2" t="str">
        <f t="shared" si="11"/>
        <v>Error?</v>
      </c>
    </row>
    <row r="815" spans="1:4" x14ac:dyDescent="0.2">
      <c r="A815" s="5">
        <v>754</v>
      </c>
      <c r="B815" s="138">
        <f>'Expenditures 15-22'!D114</f>
        <v>788960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7422</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56582</v>
      </c>
      <c r="C836" s="2" t="s">
        <v>594</v>
      </c>
      <c r="D836" s="2" t="str">
        <f t="shared" si="12"/>
        <v>Error?</v>
      </c>
    </row>
    <row r="837" spans="1:4" x14ac:dyDescent="0.2">
      <c r="A837" s="5">
        <v>776</v>
      </c>
      <c r="B837" s="138">
        <f>'Expenditures 15-22'!E36</f>
        <v>18326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12009</v>
      </c>
      <c r="D839" s="2" t="str">
        <f t="shared" si="12"/>
        <v>Error?</v>
      </c>
    </row>
    <row r="840" spans="1:4" x14ac:dyDescent="0.2">
      <c r="A840" s="5">
        <v>779</v>
      </c>
      <c r="B840" s="138">
        <f>'Expenditures 15-22'!E39</f>
        <v>103067</v>
      </c>
      <c r="D840" s="2" t="str">
        <f t="shared" si="12"/>
        <v>Error?</v>
      </c>
    </row>
    <row r="841" spans="1:4" x14ac:dyDescent="0.2">
      <c r="A841" s="5">
        <v>780</v>
      </c>
      <c r="B841" s="138">
        <f>'Expenditures 15-22'!E40</f>
        <v>240108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373510</v>
      </c>
      <c r="C843" s="2" t="s">
        <v>594</v>
      </c>
      <c r="D843" s="2" t="str">
        <f t="shared" si="12"/>
        <v>Error?</v>
      </c>
    </row>
    <row r="844" spans="1:4" x14ac:dyDescent="0.2">
      <c r="A844" s="5">
        <v>783</v>
      </c>
      <c r="B844" s="138">
        <f>'Expenditures 15-22'!E44</f>
        <v>94249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94249</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130290</v>
      </c>
      <c r="D849" s="2" t="str">
        <f t="shared" si="12"/>
        <v>Error?</v>
      </c>
    </row>
    <row r="850" spans="1:4" x14ac:dyDescent="0.2">
      <c r="A850" s="5">
        <v>789</v>
      </c>
      <c r="B850" s="138">
        <f>'Expenditures 15-22'!E53</f>
        <v>130290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442</v>
      </c>
      <c r="D855" s="2" t="str">
        <f t="shared" si="12"/>
        <v>Error?</v>
      </c>
    </row>
    <row r="856" spans="1:4" x14ac:dyDescent="0.2">
      <c r="A856" s="5">
        <v>795</v>
      </c>
      <c r="B856" s="138">
        <f>'Expenditures 15-22'!E61</f>
        <v>209570</v>
      </c>
      <c r="D856" s="2" t="str">
        <f t="shared" si="12"/>
        <v>Error?</v>
      </c>
    </row>
    <row r="857" spans="1:4" x14ac:dyDescent="0.2">
      <c r="A857" s="5">
        <v>796</v>
      </c>
      <c r="B857" s="138">
        <f>'Expenditures 15-22'!E62</f>
        <v>10897</v>
      </c>
      <c r="D857" s="2" t="str">
        <f t="shared" si="12"/>
        <v>Error?</v>
      </c>
    </row>
    <row r="858" spans="1:4" x14ac:dyDescent="0.2">
      <c r="A858" s="5">
        <v>797</v>
      </c>
      <c r="B858" s="138">
        <f>'Expenditures 15-22'!E63</f>
        <v>31851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252760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850809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907391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8339</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67170</v>
      </c>
      <c r="C894" s="2" t="s">
        <v>594</v>
      </c>
      <c r="D894" s="2" t="str">
        <f t="shared" si="12"/>
        <v>Error?</v>
      </c>
    </row>
    <row r="895" spans="1:4" x14ac:dyDescent="0.2">
      <c r="A895" s="5">
        <v>834</v>
      </c>
      <c r="B895" s="138">
        <f>'Expenditures 15-22'!F36</f>
        <v>4257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2872</v>
      </c>
      <c r="D897" s="2" t="str">
        <f t="shared" si="13"/>
        <v>Error?</v>
      </c>
    </row>
    <row r="898" spans="1:4" x14ac:dyDescent="0.2">
      <c r="A898" s="5">
        <v>837</v>
      </c>
      <c r="B898" s="138">
        <f>'Expenditures 15-22'!F39</f>
        <v>4390</v>
      </c>
      <c r="D898" s="2" t="str">
        <f t="shared" si="13"/>
        <v>Error?</v>
      </c>
    </row>
    <row r="899" spans="1:4" x14ac:dyDescent="0.2">
      <c r="A899" s="5">
        <v>838</v>
      </c>
      <c r="B899" s="138">
        <f>'Expenditures 15-22'!F40</f>
        <v>4197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15716</v>
      </c>
      <c r="C901" s="2" t="s">
        <v>594</v>
      </c>
      <c r="D901" s="2" t="str">
        <f t="shared" si="13"/>
        <v>Error?</v>
      </c>
    </row>
    <row r="902" spans="1:4" x14ac:dyDescent="0.2">
      <c r="A902" s="5">
        <v>841</v>
      </c>
      <c r="B902" s="138">
        <f>'Expenditures 15-22'!F44</f>
        <v>20380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20380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5304</v>
      </c>
      <c r="D907" s="2" t="str">
        <f t="shared" si="13"/>
        <v>Error?</v>
      </c>
    </row>
    <row r="908" spans="1:4" x14ac:dyDescent="0.2">
      <c r="A908" s="5">
        <v>847</v>
      </c>
      <c r="B908" s="138">
        <f>'Expenditures 15-22'!F53</f>
        <v>5304</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533</v>
      </c>
      <c r="D913" s="2" t="str">
        <f t="shared" si="13"/>
        <v>Error?</v>
      </c>
    </row>
    <row r="914" spans="1:4" x14ac:dyDescent="0.2">
      <c r="A914" s="5">
        <v>853</v>
      </c>
      <c r="B914" s="138">
        <f>'Expenditures 15-22'!F61</f>
        <v>89276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1235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91044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878</v>
      </c>
      <c r="D922" s="2" t="str">
        <f t="shared" si="13"/>
        <v>Error?</v>
      </c>
    </row>
    <row r="923" spans="1:4" x14ac:dyDescent="0.2">
      <c r="A923" s="5">
        <v>862</v>
      </c>
      <c r="B923" s="138">
        <f>'Expenditures 15-22'!F70</f>
        <v>270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1148</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133592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200762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18774</v>
      </c>
      <c r="D1023" s="2" t="str">
        <f t="shared" ref="D1023:D1086" si="15">IF(ISBLANK(B1023),"OK",IF(A1023-B1023=0,"OK","Error?"))</f>
        <v>Error?</v>
      </c>
    </row>
    <row r="1024" spans="1:4" x14ac:dyDescent="0.2">
      <c r="A1024" s="5">
        <v>963</v>
      </c>
      <c r="B1024" s="138">
        <f>'Expenditures 15-22'!H53</f>
        <v>18774</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18774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18774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117841</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1496128</v>
      </c>
      <c r="C1108" s="2" t="s">
        <v>594</v>
      </c>
      <c r="D1108" s="2" t="str">
        <f t="shared" si="16"/>
        <v>Error?</v>
      </c>
    </row>
    <row r="1109" spans="1:4" x14ac:dyDescent="0.2">
      <c r="A1109" s="5">
        <v>1048</v>
      </c>
      <c r="B1109" s="138">
        <f>'Expenditures 15-22'!K36</f>
        <v>639707</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372481</v>
      </c>
      <c r="C1111" s="2" t="s">
        <v>594</v>
      </c>
      <c r="D1111" s="2" t="str">
        <f t="shared" si="16"/>
        <v>Error?</v>
      </c>
    </row>
    <row r="1112" spans="1:4" x14ac:dyDescent="0.2">
      <c r="A1112" s="5">
        <v>1051</v>
      </c>
      <c r="B1112" s="138">
        <f>'Expenditures 15-22'!K39</f>
        <v>473340</v>
      </c>
      <c r="C1112" s="2" t="s">
        <v>594</v>
      </c>
      <c r="D1112" s="2" t="str">
        <f t="shared" si="16"/>
        <v>Error?</v>
      </c>
    </row>
    <row r="1113" spans="1:4" x14ac:dyDescent="0.2">
      <c r="A1113" s="5">
        <v>1052</v>
      </c>
      <c r="B1113" s="138">
        <f>'Expenditures 15-22'!K40</f>
        <v>604965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2090493</v>
      </c>
      <c r="C1115" s="2" t="s">
        <v>594</v>
      </c>
      <c r="D1115" s="2" t="str">
        <f t="shared" si="16"/>
        <v>Error?</v>
      </c>
    </row>
    <row r="1116" spans="1:4" x14ac:dyDescent="0.2">
      <c r="A1116" s="5">
        <v>1055</v>
      </c>
      <c r="B1116" s="138">
        <f>'Expenditures 15-22'!K44</f>
        <v>118157</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118157</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622890</v>
      </c>
      <c r="C1121" s="2" t="s">
        <v>594</v>
      </c>
      <c r="D1121" s="2" t="str">
        <f t="shared" si="16"/>
        <v>Error?</v>
      </c>
    </row>
    <row r="1122" spans="1:4" x14ac:dyDescent="0.2">
      <c r="A1122" s="5">
        <v>1061</v>
      </c>
      <c r="B1122" s="138">
        <f>'Expenditures 15-22'!K53</f>
        <v>622890</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46697</v>
      </c>
      <c r="C1127" s="2" t="s">
        <v>594</v>
      </c>
      <c r="D1127" s="2" t="str">
        <f t="shared" si="16"/>
        <v>Error?</v>
      </c>
    </row>
    <row r="1128" spans="1:4" x14ac:dyDescent="0.2">
      <c r="A1128" s="5">
        <v>1067</v>
      </c>
      <c r="B1128" s="138">
        <f>'Expenditures 15-22'!K61</f>
        <v>414562</v>
      </c>
      <c r="C1128" s="2" t="s">
        <v>594</v>
      </c>
      <c r="D1128" s="2" t="str">
        <f t="shared" si="16"/>
        <v>Error?</v>
      </c>
    </row>
    <row r="1129" spans="1:4" x14ac:dyDescent="0.2">
      <c r="A1129" s="5">
        <v>1068</v>
      </c>
      <c r="B1129" s="138">
        <f>'Expenditures 15-22'!K62</f>
        <v>10897</v>
      </c>
      <c r="C1129" s="2" t="s">
        <v>594</v>
      </c>
      <c r="D1129" s="2" t="str">
        <f t="shared" si="16"/>
        <v>Error?</v>
      </c>
    </row>
    <row r="1130" spans="1:4" x14ac:dyDescent="0.2">
      <c r="A1130" s="5">
        <v>1069</v>
      </c>
      <c r="B1130" s="138">
        <f>'Expenditures 15-22'!K63</f>
        <v>33086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505242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878</v>
      </c>
      <c r="C1136" s="2" t="s">
        <v>594</v>
      </c>
      <c r="D1136" s="2" t="str">
        <f t="shared" si="16"/>
        <v>Error?</v>
      </c>
    </row>
    <row r="1137" spans="1:4" x14ac:dyDescent="0.2">
      <c r="A1137" s="5">
        <v>1076</v>
      </c>
      <c r="B1137" s="138">
        <f>'Expenditures 15-22'!K70</f>
        <v>270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1148</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3337930</v>
      </c>
      <c r="C1143" s="2" t="s">
        <v>594</v>
      </c>
      <c r="D1143" s="2" t="str">
        <f t="shared" si="16"/>
        <v>Error?</v>
      </c>
    </row>
    <row r="1144" spans="1:4" x14ac:dyDescent="0.2">
      <c r="A1144" s="5">
        <v>1083</v>
      </c>
      <c r="B1144" s="138">
        <f>'Expenditures 15-22'!K75</f>
        <v>93</v>
      </c>
      <c r="C1144" s="2" t="s">
        <v>594</v>
      </c>
      <c r="D1144" s="2" t="str">
        <f t="shared" si="16"/>
        <v>Error?</v>
      </c>
    </row>
    <row r="1145" spans="1:4" x14ac:dyDescent="0.2">
      <c r="A1145" s="5">
        <v>1084</v>
      </c>
      <c r="B1145" s="138">
        <f>'Expenditures 15-22'!K102</f>
        <v>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4834151</v>
      </c>
      <c r="C1152" s="2" t="s">
        <v>594</v>
      </c>
      <c r="D1152" s="2" t="str">
        <f t="shared" si="17"/>
        <v>Error?</v>
      </c>
    </row>
    <row r="1153" spans="1:4" x14ac:dyDescent="0.2">
      <c r="A1153" s="5">
        <v>1092</v>
      </c>
      <c r="B1153" s="138">
        <f>'Expenditures 15-22'!K115</f>
        <v>848835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2693327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3542162</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214123</v>
      </c>
      <c r="D2010" s="2" t="str">
        <f t="shared" si="30"/>
        <v>Error?</v>
      </c>
    </row>
    <row r="2011" spans="1:4" x14ac:dyDescent="0.2">
      <c r="A2011" s="5">
        <v>1950</v>
      </c>
      <c r="B2011" s="138">
        <f>'Cap Outlay Deprec 26'!C12</f>
        <v>113609</v>
      </c>
      <c r="D2011" s="2" t="str">
        <f t="shared" si="30"/>
        <v>Error?</v>
      </c>
    </row>
    <row r="2012" spans="1:4" x14ac:dyDescent="0.2">
      <c r="A2012" s="5">
        <v>1951</v>
      </c>
      <c r="B2012" s="138">
        <f>'Cap Outlay Deprec 26'!C13</f>
        <v>229213</v>
      </c>
      <c r="D2012" s="2" t="str">
        <f t="shared" si="30"/>
        <v>Error?</v>
      </c>
    </row>
    <row r="2013" spans="1:4" x14ac:dyDescent="0.2">
      <c r="A2013" s="5">
        <v>1952</v>
      </c>
      <c r="B2013" s="138">
        <f>'Cap Outlay Deprec 26'!C16</f>
        <v>556945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214123</v>
      </c>
      <c r="C2028" s="2" t="s">
        <v>594</v>
      </c>
      <c r="D2028" s="2" t="str">
        <f t="shared" si="30"/>
        <v>Error?</v>
      </c>
    </row>
    <row r="2029" spans="1:4" x14ac:dyDescent="0.2">
      <c r="A2029" s="5">
        <v>1968</v>
      </c>
      <c r="B2029" s="138">
        <f>'Cap Outlay Deprec 26'!F12</f>
        <v>113609</v>
      </c>
      <c r="C2029" s="2" t="s">
        <v>594</v>
      </c>
      <c r="D2029" s="2" t="str">
        <f t="shared" si="30"/>
        <v>Error?</v>
      </c>
    </row>
    <row r="2030" spans="1:4" x14ac:dyDescent="0.2">
      <c r="A2030" s="5">
        <v>1969</v>
      </c>
      <c r="B2030" s="138">
        <f>'Cap Outlay Deprec 26'!F13</f>
        <v>229213</v>
      </c>
      <c r="C2030" s="2" t="s">
        <v>594</v>
      </c>
      <c r="D2030" s="2" t="str">
        <f t="shared" si="30"/>
        <v>Error?</v>
      </c>
    </row>
    <row r="2031" spans="1:4" x14ac:dyDescent="0.2">
      <c r="A2031" s="5">
        <v>1970</v>
      </c>
      <c r="B2031" s="138">
        <f>'Cap Outlay Deprec 26'!F16</f>
        <v>556945</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106534</v>
      </c>
      <c r="D2034" s="2" t="str">
        <f t="shared" si="30"/>
        <v>Error?</v>
      </c>
    </row>
    <row r="2035" spans="1:4" x14ac:dyDescent="0.2">
      <c r="A2035" s="5">
        <v>1974</v>
      </c>
      <c r="B2035" s="138">
        <f>'Cap Outlay Deprec 26'!H12</f>
        <v>78049</v>
      </c>
      <c r="D2035" s="2" t="str">
        <f t="shared" si="30"/>
        <v>Error?</v>
      </c>
    </row>
    <row r="2036" spans="1:4" x14ac:dyDescent="0.2">
      <c r="A2036" s="5">
        <v>1975</v>
      </c>
      <c r="B2036" s="138">
        <f>'Cap Outlay Deprec 26'!H13</f>
        <v>229213</v>
      </c>
      <c r="D2036" s="2" t="str">
        <f t="shared" si="30"/>
        <v>Error?</v>
      </c>
    </row>
    <row r="2037" spans="1:4" x14ac:dyDescent="0.2">
      <c r="A2037" s="5">
        <v>1976</v>
      </c>
      <c r="B2037" s="138">
        <f>'Cap Outlay Deprec 26'!H16</f>
        <v>413796</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10706</v>
      </c>
      <c r="D2040" s="2" t="str">
        <f t="shared" si="30"/>
        <v>Error?</v>
      </c>
    </row>
    <row r="2041" spans="1:4" x14ac:dyDescent="0.2">
      <c r="A2041" s="5">
        <v>1980</v>
      </c>
      <c r="B2041" s="138">
        <f>'Cap Outlay Deprec 26'!I12</f>
        <v>8056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18762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117240</v>
      </c>
      <c r="C2052" s="2" t="s">
        <v>594</v>
      </c>
      <c r="D2052" s="2" t="str">
        <f t="shared" si="31"/>
        <v>Error?</v>
      </c>
    </row>
    <row r="2053" spans="1:4" x14ac:dyDescent="0.2">
      <c r="A2053" s="5">
        <v>1992</v>
      </c>
      <c r="B2053" s="138">
        <f>'Cap Outlay Deprec 26'!K12</f>
        <v>86105</v>
      </c>
      <c r="C2053" s="2" t="s">
        <v>594</v>
      </c>
      <c r="D2053" s="2" t="str">
        <f t="shared" si="31"/>
        <v>Error?</v>
      </c>
    </row>
    <row r="2054" spans="1:4" x14ac:dyDescent="0.2">
      <c r="A2054" s="5">
        <v>1993</v>
      </c>
      <c r="B2054" s="138">
        <f>'Cap Outlay Deprec 26'!K13</f>
        <v>229213</v>
      </c>
      <c r="C2054" s="2" t="s">
        <v>594</v>
      </c>
      <c r="D2054" s="2" t="str">
        <f t="shared" si="31"/>
        <v>Error?</v>
      </c>
    </row>
    <row r="2055" spans="1:4" x14ac:dyDescent="0.2">
      <c r="A2055" s="5">
        <v>1994</v>
      </c>
      <c r="B2055" s="138">
        <f>'Cap Outlay Deprec 26'!K16</f>
        <v>432558</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96883</v>
      </c>
      <c r="C2058" s="2" t="s">
        <v>594</v>
      </c>
      <c r="D2058" s="2" t="str">
        <f t="shared" si="31"/>
        <v>Error?</v>
      </c>
    </row>
    <row r="2059" spans="1:4" x14ac:dyDescent="0.2">
      <c r="A2059" s="5">
        <v>1998</v>
      </c>
      <c r="B2059" s="138">
        <f>'Cap Outlay Deprec 26'!L12</f>
        <v>27504</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124387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2576636</v>
      </c>
      <c r="C2551" s="2" t="s">
        <v>594</v>
      </c>
      <c r="D2551" s="2" t="str">
        <f t="shared" si="38"/>
        <v>Error?</v>
      </c>
    </row>
    <row r="2552" spans="1:4" x14ac:dyDescent="0.2">
      <c r="A2552" s="10">
        <v>2491</v>
      </c>
      <c r="D2552" s="2" t="str">
        <f t="shared" si="38"/>
        <v>OK</v>
      </c>
    </row>
    <row r="2553" spans="1:4" x14ac:dyDescent="0.2">
      <c r="A2553" s="5">
        <v>2492</v>
      </c>
      <c r="B2553" s="138">
        <f>'Acct Summary 7-8'!C6</f>
        <v>584568</v>
      </c>
      <c r="C2553" s="2" t="s">
        <v>594</v>
      </c>
      <c r="D2553" s="2" t="str">
        <f t="shared" si="38"/>
        <v>Error?</v>
      </c>
    </row>
    <row r="2554" spans="1:4" x14ac:dyDescent="0.2">
      <c r="A2554" s="5">
        <v>2493</v>
      </c>
      <c r="B2554" s="138">
        <f>'Acct Summary 7-8'!C7</f>
        <v>2521782</v>
      </c>
      <c r="C2554" s="2" t="s">
        <v>594</v>
      </c>
      <c r="D2554" s="2" t="str">
        <f t="shared" si="38"/>
        <v>Error?</v>
      </c>
    </row>
    <row r="2555" spans="1:4" x14ac:dyDescent="0.2">
      <c r="A2555" s="5">
        <v>2494</v>
      </c>
      <c r="B2555" s="138">
        <f>'Acct Summary 7-8'!C8</f>
        <v>5682986</v>
      </c>
      <c r="C2555" s="2" t="s">
        <v>594</v>
      </c>
      <c r="D2555" s="2" t="str">
        <f t="shared" si="38"/>
        <v>Error?</v>
      </c>
    </row>
    <row r="2556" spans="1:4" x14ac:dyDescent="0.2">
      <c r="A2556" s="5">
        <v>2495</v>
      </c>
      <c r="B2556" s="138">
        <f>'Acct Summary 7-8'!C12</f>
        <v>1496128</v>
      </c>
      <c r="C2556" s="2" t="s">
        <v>594</v>
      </c>
      <c r="D2556" s="2" t="str">
        <f t="shared" si="38"/>
        <v>Error?</v>
      </c>
    </row>
    <row r="2557" spans="1:4" x14ac:dyDescent="0.2">
      <c r="A2557" s="5">
        <v>2496</v>
      </c>
      <c r="B2557" s="138">
        <f>'Acct Summary 7-8'!C13</f>
        <v>3337930</v>
      </c>
      <c r="C2557" s="2" t="s">
        <v>594</v>
      </c>
      <c r="D2557" s="2" t="str">
        <f t="shared" si="38"/>
        <v>Error?</v>
      </c>
    </row>
    <row r="2558" spans="1:4" x14ac:dyDescent="0.2">
      <c r="A2558" s="5">
        <v>2497</v>
      </c>
      <c r="B2558" s="138">
        <f>'Acct Summary 7-8'!C14</f>
        <v>93</v>
      </c>
      <c r="C2558" s="2" t="s">
        <v>594</v>
      </c>
      <c r="D2558" s="2" t="str">
        <f t="shared" si="38"/>
        <v>Error?</v>
      </c>
    </row>
    <row r="2559" spans="1:4" x14ac:dyDescent="0.2">
      <c r="A2559" s="5">
        <v>2498</v>
      </c>
      <c r="B2559" s="138">
        <f>'Acct Summary 7-8'!C15</f>
        <v>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4834151</v>
      </c>
      <c r="C2561" s="2" t="s">
        <v>594</v>
      </c>
      <c r="D2561" s="2" t="str">
        <f t="shared" si="39"/>
        <v>Error?</v>
      </c>
    </row>
    <row r="2562" spans="1:4" x14ac:dyDescent="0.2">
      <c r="A2562" s="5">
        <v>2501</v>
      </c>
      <c r="B2562" s="138">
        <f>'Acct Summary 7-8'!C20</f>
        <v>848835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848835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813206</v>
      </c>
      <c r="D3366" s="2" t="str">
        <f t="shared" si="51"/>
        <v>Error?</v>
      </c>
    </row>
    <row r="3367" spans="1:4" x14ac:dyDescent="0.2">
      <c r="A3367" s="5">
        <v>3306</v>
      </c>
      <c r="B3367" s="138">
        <f>'Expenditures 15-22'!C19</f>
        <v>169364</v>
      </c>
      <c r="D3367" s="2" t="str">
        <f t="shared" si="51"/>
        <v>Error?</v>
      </c>
    </row>
    <row r="3368" spans="1:4" x14ac:dyDescent="0.2">
      <c r="A3368" s="5">
        <v>3307</v>
      </c>
      <c r="B3368" s="138">
        <f>'Expenditures 15-22'!D8</f>
        <v>254233</v>
      </c>
      <c r="D3368" s="2" t="str">
        <f t="shared" si="51"/>
        <v>Error?</v>
      </c>
    </row>
    <row r="3369" spans="1:4" x14ac:dyDescent="0.2">
      <c r="A3369" s="5">
        <v>3308</v>
      </c>
      <c r="B3369" s="138">
        <f>'Expenditures 15-22'!D19</f>
        <v>33493</v>
      </c>
      <c r="D3369" s="2" t="str">
        <f t="shared" si="51"/>
        <v>Error?</v>
      </c>
    </row>
    <row r="3370" spans="1:4" x14ac:dyDescent="0.2">
      <c r="A3370" s="5">
        <v>3309</v>
      </c>
      <c r="B3370" s="138">
        <f>'Expenditures 15-22'!E8</f>
        <v>44448</v>
      </c>
      <c r="D3370" s="2" t="str">
        <f t="shared" si="51"/>
        <v>Error?</v>
      </c>
    </row>
    <row r="3371" spans="1:4" x14ac:dyDescent="0.2">
      <c r="A3371" s="5">
        <v>3310</v>
      </c>
      <c r="B3371" s="138">
        <f>'Expenditures 15-22'!E19</f>
        <v>4513</v>
      </c>
      <c r="D3371" s="2" t="str">
        <f t="shared" si="51"/>
        <v>Error?</v>
      </c>
    </row>
    <row r="3372" spans="1:4" x14ac:dyDescent="0.2">
      <c r="A3372" s="5">
        <v>3311</v>
      </c>
      <c r="B3372" s="138">
        <f>'Expenditures 15-22'!F8</f>
        <v>26577</v>
      </c>
      <c r="D3372" s="2" t="str">
        <f t="shared" si="51"/>
        <v>Error?</v>
      </c>
    </row>
    <row r="3373" spans="1:4" x14ac:dyDescent="0.2">
      <c r="A3373" s="5">
        <v>3312</v>
      </c>
      <c r="B3373" s="138">
        <f>'Expenditures 15-22'!F19</f>
        <v>31249</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1138464</v>
      </c>
      <c r="C3380" s="2" t="s">
        <v>594</v>
      </c>
      <c r="D3380" s="2" t="str">
        <f t="shared" si="51"/>
        <v>Error?</v>
      </c>
    </row>
    <row r="3381" spans="1:4" x14ac:dyDescent="0.2">
      <c r="A3381" s="5">
        <v>3320</v>
      </c>
      <c r="B3381" s="138">
        <f>'Expenditures 15-22'!K19</f>
        <v>238619</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3543012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33086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1483984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7166970</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1483984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6318135</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3542162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38451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215842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57958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76540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2030734</v>
      </c>
      <c r="D5082" s="2" t="str">
        <f t="shared" si="78"/>
        <v>Error?</v>
      </c>
    </row>
    <row r="5083" spans="1:4" x14ac:dyDescent="0.2">
      <c r="A5083" s="5">
        <v>5022</v>
      </c>
      <c r="B5083" s="138">
        <f>'Revenues 9-14'!C34</f>
        <v>171699</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2202433</v>
      </c>
      <c r="C5087" s="2" t="s">
        <v>594</v>
      </c>
      <c r="D5087" s="2" t="str">
        <f t="shared" si="78"/>
        <v>Error?</v>
      </c>
    </row>
    <row r="5088" spans="1:4" x14ac:dyDescent="0.2">
      <c r="A5088" s="5">
        <v>5027</v>
      </c>
      <c r="B5088" s="138">
        <f>'Revenues 9-14'!C65</f>
        <v>30354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30354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339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339</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3500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294833</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45177</v>
      </c>
      <c r="D5119" s="2" t="str">
        <f t="shared" ref="D5119:D5182" si="79">IF(ISBLANK(B5119),"OK",IF(A5119-B5119=0,"OK","Error?"))</f>
        <v>Error?</v>
      </c>
    </row>
    <row r="5120" spans="1:4" x14ac:dyDescent="0.2">
      <c r="A5120" s="5">
        <v>5059</v>
      </c>
      <c r="B5120" s="138">
        <f>'Revenues 9-14'!C108</f>
        <v>343510</v>
      </c>
      <c r="C5120" s="2" t="s">
        <v>594</v>
      </c>
      <c r="D5120" s="2" t="str">
        <f t="shared" si="79"/>
        <v>Error?</v>
      </c>
    </row>
    <row r="5121" spans="1:4" x14ac:dyDescent="0.2">
      <c r="A5121" s="5">
        <v>5060</v>
      </c>
      <c r="B5121" s="138">
        <f>'Revenues 9-14'!C109</f>
        <v>2576636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350468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350468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175774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175774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368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234100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584568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18590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5048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23638</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94675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2072636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2167311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2521782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2521782</v>
      </c>
      <c r="C5326" s="2" t="s">
        <v>594</v>
      </c>
      <c r="D5326" s="2" t="str">
        <f t="shared" si="82"/>
        <v>Error?</v>
      </c>
    </row>
    <row r="5327" spans="1:4" x14ac:dyDescent="0.2">
      <c r="A5327" s="5">
        <v>5266</v>
      </c>
      <c r="B5327" s="138">
        <f>'Revenues 9-14'!C275</f>
        <v>5682986</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848835</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0.23963754339863619</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1204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1340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524</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1974</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3336</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7174</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2010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2010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9184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9184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199</v>
      </c>
      <c r="D7253" s="2" t="str">
        <f t="shared" si="112"/>
        <v>Error?</v>
      </c>
    </row>
    <row r="7254" spans="1:4" x14ac:dyDescent="0.2">
      <c r="A7254">
        <f t="shared" si="113"/>
        <v>7193</v>
      </c>
      <c r="B7254" s="138">
        <f>'Expenditures 15-22'!F9</f>
        <v>1005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9184</v>
      </c>
      <c r="D7624" s="2" t="str">
        <f t="shared" si="124"/>
        <v>Error?</v>
      </c>
      <c r="E7624" s="2" t="s">
        <v>19</v>
      </c>
    </row>
    <row r="7625" spans="1:5" x14ac:dyDescent="0.2">
      <c r="A7625">
        <f t="shared" si="123"/>
        <v>7564</v>
      </c>
      <c r="B7625" s="138">
        <f>'Cap Outlay Deprec 26'!I17</f>
        <v>918.4</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19680.400000000001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0</v>
      </c>
      <c r="D7797" s="2" t="str">
        <f t="shared" si="127"/>
        <v>Error?</v>
      </c>
      <c r="E7797" s="4" t="s">
        <v>2016</v>
      </c>
    </row>
    <row r="7798" spans="1:5" x14ac:dyDescent="0.2">
      <c r="A7798">
        <v>7737</v>
      </c>
      <c r="B7798" s="138">
        <f>'Contracts Paid in CY 29'!F141</f>
        <v>0</v>
      </c>
      <c r="D7798" s="2" t="str">
        <f t="shared" si="127"/>
        <v>Error?</v>
      </c>
      <c r="E7798" s="4" t="s">
        <v>2016</v>
      </c>
    </row>
    <row r="7799" spans="1:5" x14ac:dyDescent="0.2">
      <c r="A7799">
        <v>7738</v>
      </c>
      <c r="B7799" s="138">
        <f>'Contracts Paid in CY 29'!G141</f>
        <v>0</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1799</v>
      </c>
      <c r="B4" s="2438"/>
      <c r="C4" s="2438"/>
      <c r="D4" s="2438"/>
      <c r="E4" s="2438"/>
      <c r="F4" s="2438"/>
      <c r="G4" s="2438"/>
      <c r="H4" s="2438"/>
      <c r="I4" s="2438"/>
      <c r="J4" s="2438"/>
      <c r="K4" s="2438"/>
      <c r="L4" s="243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1" t="str">
        <f>COVER!A17</f>
        <v>Vermilion Assoc for SpEd</v>
      </c>
      <c r="B7" s="2402"/>
      <c r="C7" s="2402"/>
      <c r="D7" s="2439"/>
      <c r="E7" s="2440">
        <f>COVER!A13</f>
        <v>54092801060</v>
      </c>
      <c r="F7" s="2441"/>
      <c r="G7" s="2408" t="str">
        <f>COVER!T23</f>
        <v>065.018319</v>
      </c>
      <c r="H7" s="2409"/>
      <c r="I7" s="2409"/>
      <c r="J7" s="2409"/>
      <c r="K7" s="2409"/>
      <c r="L7" s="241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1"/>
      <c r="B9" s="2412"/>
      <c r="C9" s="2412"/>
      <c r="D9" s="2412"/>
      <c r="E9" s="2412"/>
      <c r="F9" s="2413"/>
      <c r="G9" s="2414" t="str">
        <f>COVER!T13</f>
        <v>RUSSELL LEIGH &amp; ASSOICATES</v>
      </c>
      <c r="H9" s="2415"/>
      <c r="I9" s="2415"/>
      <c r="J9" s="2415"/>
      <c r="K9" s="2415"/>
      <c r="L9" s="2416"/>
    </row>
    <row r="10" spans="1:29" ht="13.5" customHeight="1" x14ac:dyDescent="0.2">
      <c r="A10" s="2398" t="str">
        <f>COVER!A38</f>
        <v>Kristin Dunker</v>
      </c>
      <c r="B10" s="2399"/>
      <c r="C10" s="2399"/>
      <c r="D10" s="2399"/>
      <c r="E10" s="2399"/>
      <c r="F10" s="2400"/>
      <c r="G10" s="2414" t="str">
        <f>COVER!T17</f>
        <v>228 E MAIN ST</v>
      </c>
      <c r="H10" s="2427"/>
      <c r="I10" s="2427"/>
      <c r="J10" s="2427"/>
      <c r="K10" s="2427"/>
      <c r="L10" s="2428"/>
    </row>
    <row r="11" spans="1:29" ht="13.5" customHeight="1" x14ac:dyDescent="0.2">
      <c r="A11" s="1185" t="s">
        <v>1599</v>
      </c>
      <c r="B11" s="1186"/>
      <c r="C11" s="1187"/>
      <c r="D11" s="1192"/>
      <c r="E11" s="1187"/>
      <c r="F11" s="1191"/>
      <c r="G11" s="2414" t="str">
        <f>COVER!T19</f>
        <v>HOOPESTON</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t="str">
        <f>COVER!T25</f>
        <v>admin@russleigh.com</v>
      </c>
      <c r="J13" s="2436"/>
      <c r="K13" s="2436"/>
      <c r="L13" s="2437"/>
    </row>
    <row r="14" spans="1:29" ht="13.5" customHeight="1" x14ac:dyDescent="0.2">
      <c r="A14" s="2414" t="str">
        <f>COVER!A19</f>
        <v>15009 CATLIN-TILTON ROAD</v>
      </c>
      <c r="B14" s="2427"/>
      <c r="C14" s="2427"/>
      <c r="D14" s="2427"/>
      <c r="E14" s="2427"/>
      <c r="F14" s="2428"/>
      <c r="G14" s="1196" t="s">
        <v>1247</v>
      </c>
      <c r="H14" s="1194"/>
      <c r="I14" s="1194"/>
      <c r="J14" s="1194"/>
      <c r="K14" s="1194"/>
      <c r="L14" s="1195"/>
    </row>
    <row r="15" spans="1:29" ht="13.5" customHeight="1" x14ac:dyDescent="0.2">
      <c r="A15" s="2414" t="str">
        <f>COVER!A21</f>
        <v>DANVILLE</v>
      </c>
      <c r="B15" s="2427"/>
      <c r="C15" s="2427"/>
      <c r="D15" s="2427"/>
      <c r="E15" s="2427"/>
      <c r="F15" s="2428"/>
      <c r="G15" s="2424" t="str">
        <f>COVER!T15</f>
        <v>RUSS LEIGH</v>
      </c>
      <c r="H15" s="2425"/>
      <c r="I15" s="2425"/>
      <c r="J15" s="2425"/>
      <c r="K15" s="2425"/>
      <c r="L15" s="2426"/>
    </row>
    <row r="16" spans="1:29" ht="12.2" customHeight="1" x14ac:dyDescent="0.2">
      <c r="A16" s="2404">
        <f>COVER!A25</f>
        <v>61834</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6" t="s">
        <v>1246</v>
      </c>
      <c r="H17" s="1194"/>
      <c r="I17" s="1194"/>
      <c r="J17" s="1194"/>
      <c r="K17" s="1198" t="s">
        <v>1245</v>
      </c>
      <c r="L17" s="1191"/>
      <c r="M17" s="1184"/>
    </row>
    <row r="18" spans="1:13" ht="12.2" customHeight="1" x14ac:dyDescent="0.2">
      <c r="A18" s="2398"/>
      <c r="B18" s="2399"/>
      <c r="C18" s="2399"/>
      <c r="D18" s="2399"/>
      <c r="E18" s="2399"/>
      <c r="F18" s="2400"/>
      <c r="G18" s="2401" t="str">
        <f>COVER!T21</f>
        <v>217-283-9336</v>
      </c>
      <c r="H18" s="2402"/>
      <c r="I18" s="2402"/>
      <c r="J18" s="2402"/>
      <c r="K18" s="2401" t="str">
        <f>COVER!X21</f>
        <v>217-283-9736</v>
      </c>
      <c r="L18" s="240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Vermilion Assoc for SpEd</v>
      </c>
      <c r="B1" s="2438"/>
      <c r="C1" s="2438"/>
      <c r="D1" s="2438"/>
    </row>
    <row r="2" spans="1:11" s="1215" customFormat="1" ht="12.75" x14ac:dyDescent="0.2">
      <c r="A2" s="2443">
        <f>'Single Audit Cover'!E7</f>
        <v>54092801060</v>
      </c>
      <c r="B2" s="2444"/>
      <c r="C2" s="2444"/>
      <c r="D2" s="2444"/>
    </row>
    <row r="3" spans="1:11" s="1215" customFormat="1" ht="12.75" x14ac:dyDescent="0.2">
      <c r="A3" s="2442" t="s">
        <v>1593</v>
      </c>
      <c r="B3" s="2438"/>
      <c r="C3" s="2438"/>
      <c r="D3" s="243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Vermilion Assoc for SpEd</v>
      </c>
      <c r="B1" s="2446"/>
      <c r="C1" s="2446"/>
      <c r="D1" s="2446"/>
      <c r="E1" s="2446"/>
    </row>
    <row r="2" spans="1:5" x14ac:dyDescent="0.2">
      <c r="A2" s="2447">
        <f>'Single Audit Cover'!E7</f>
        <v>54092801060</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2521782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1952</v>
      </c>
      <c r="B16" s="1262"/>
      <c r="C16" s="1262"/>
    </row>
    <row r="17" spans="1:4" x14ac:dyDescent="0.2">
      <c r="A17" s="1261" t="s">
        <v>1601</v>
      </c>
      <c r="B17" s="1262" t="s">
        <v>1298</v>
      </c>
      <c r="C17" s="1262"/>
      <c r="D17" s="1264">
        <f>-SUM('Revenues 9-14'!C271:D271,'Revenues 9-14'!F271:G271)</f>
        <v>-215842</v>
      </c>
    </row>
    <row r="19" spans="1:4" ht="13.5" thickBot="1" x14ac:dyDescent="0.25">
      <c r="A19" s="1265" t="s">
        <v>1297</v>
      </c>
      <c r="D19" s="1266">
        <f>SUM(D10:D17)</f>
        <v>2305940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2305940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2305940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67"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Vermilion Assoc for SpEd</v>
      </c>
      <c r="B1" s="2451"/>
      <c r="C1" s="2451"/>
      <c r="D1" s="2451"/>
      <c r="E1" s="2451"/>
      <c r="F1" s="2451"/>
    </row>
    <row r="2" spans="1:7" ht="13.5" customHeight="1" x14ac:dyDescent="0.2">
      <c r="A2" s="2452">
        <f>'Single Audit Cover'!E7</f>
        <v>54092801060</v>
      </c>
      <c r="B2" s="2452"/>
      <c r="C2" s="2452"/>
      <c r="D2" s="2452"/>
      <c r="E2" s="2452"/>
      <c r="F2" s="2452"/>
      <c r="G2" s="1275"/>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76" t="s">
        <v>1831</v>
      </c>
      <c r="C6" s="317"/>
      <c r="D6" s="317"/>
    </row>
    <row r="7" spans="1:7" ht="60.95" customHeight="1" x14ac:dyDescent="0.2">
      <c r="A7" s="2450" t="s">
        <v>2103</v>
      </c>
      <c r="B7" s="2450"/>
      <c r="C7" s="2450"/>
      <c r="D7" s="2450"/>
      <c r="E7" s="2450"/>
      <c r="F7" s="2450"/>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t="s">
        <v>2093</v>
      </c>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0" t="s">
        <v>2104</v>
      </c>
      <c r="B13" s="2450"/>
      <c r="C13" s="2450"/>
      <c r="D13" s="2450"/>
      <c r="E13" s="2450"/>
      <c r="F13" s="2450"/>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t="s">
        <v>2105</v>
      </c>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9" t="s">
        <v>2106</v>
      </c>
      <c r="B32" s="2459"/>
      <c r="C32" s="2459"/>
      <c r="D32" s="2459"/>
      <c r="E32" s="2459"/>
      <c r="F32" s="2459"/>
    </row>
    <row r="33" spans="1:6" ht="13.5" customHeight="1" x14ac:dyDescent="0.2">
      <c r="A33" s="328" t="s">
        <v>1509</v>
      </c>
      <c r="B33" s="328"/>
      <c r="C33" s="1288">
        <v>0</v>
      </c>
      <c r="D33" s="1928"/>
      <c r="E33" s="1286"/>
    </row>
    <row r="34" spans="1:6" ht="13.5" customHeight="1" x14ac:dyDescent="0.2">
      <c r="A34" s="328" t="s">
        <v>1945</v>
      </c>
      <c r="B34" s="328"/>
      <c r="C34" s="1289">
        <v>0</v>
      </c>
      <c r="D34" s="1928" t="s">
        <v>1671</v>
      </c>
      <c r="E34" s="2460">
        <f>+C33+C34</f>
        <v>0</v>
      </c>
      <c r="F34" s="2461"/>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t="s">
        <v>2107</v>
      </c>
      <c r="D38" s="1928"/>
      <c r="E38" s="1286"/>
    </row>
    <row r="39" spans="1:6" ht="14.25" customHeight="1" x14ac:dyDescent="0.2">
      <c r="A39" s="328"/>
      <c r="B39" s="328" t="s">
        <v>1511</v>
      </c>
      <c r="C39" s="1292" t="s">
        <v>2107</v>
      </c>
      <c r="D39" s="1928"/>
      <c r="E39" s="1286"/>
    </row>
    <row r="40" spans="1:6" ht="14.25" customHeight="1" x14ac:dyDescent="0.2">
      <c r="A40" s="328"/>
      <c r="B40" s="328" t="s">
        <v>1512</v>
      </c>
      <c r="C40" s="1292" t="s">
        <v>2107</v>
      </c>
      <c r="D40" s="1928"/>
      <c r="E40" s="1286"/>
    </row>
    <row r="41" spans="1:6" ht="14.25" customHeight="1" x14ac:dyDescent="0.2">
      <c r="A41" s="328"/>
      <c r="B41" s="328" t="s">
        <v>1513</v>
      </c>
      <c r="C41" s="1292" t="s">
        <v>2107</v>
      </c>
      <c r="D41" s="1928"/>
      <c r="E41" s="1286"/>
    </row>
    <row r="42" spans="1:6" ht="14.25" customHeight="1" x14ac:dyDescent="0.2">
      <c r="A42" s="328" t="s">
        <v>1514</v>
      </c>
      <c r="B42" s="328"/>
      <c r="C42" s="1926" t="s">
        <v>2107</v>
      </c>
      <c r="D42" s="1928"/>
      <c r="E42" s="1286"/>
    </row>
    <row r="43" spans="1:6" ht="14.25" customHeight="1" x14ac:dyDescent="0.2">
      <c r="A43" s="328" t="s">
        <v>1515</v>
      </c>
      <c r="B43" s="328"/>
      <c r="C43" s="1293" t="s">
        <v>2107</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1672</v>
      </c>
      <c r="C49" s="2462"/>
      <c r="D49" s="2462"/>
      <c r="E49" s="1399"/>
    </row>
    <row r="50" spans="1:5" s="1300" customFormat="1" ht="3.75" customHeight="1" x14ac:dyDescent="0.2">
      <c r="A50" s="1299"/>
      <c r="B50" s="1870"/>
      <c r="C50" s="1870"/>
      <c r="D50" s="1870"/>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F26" sqref="F26"/>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7" t="str">
        <f>'Single Audit Cover'!A7</f>
        <v>Vermilion Assoc for SpEd</v>
      </c>
      <c r="C1" s="2463"/>
      <c r="D1" s="2463"/>
      <c r="E1" s="2463"/>
      <c r="F1" s="2463"/>
      <c r="G1" s="2463"/>
      <c r="H1" s="2463"/>
      <c r="I1" s="2463"/>
      <c r="J1" s="2463"/>
      <c r="K1" s="2463"/>
      <c r="L1" s="2463"/>
      <c r="M1" s="2463"/>
    </row>
    <row r="2" spans="2:14" ht="15" x14ac:dyDescent="0.2">
      <c r="B2" s="2452">
        <f>'Single Audit Cover'!E7</f>
        <v>54092801060</v>
      </c>
      <c r="C2" s="2452"/>
      <c r="D2" s="2452"/>
      <c r="E2" s="2452"/>
      <c r="F2" s="2452"/>
      <c r="G2" s="2452"/>
      <c r="H2" s="2452"/>
      <c r="I2" s="2452"/>
      <c r="J2" s="2452"/>
      <c r="K2" s="2452"/>
      <c r="L2" s="2452"/>
      <c r="M2" s="2452"/>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2108</v>
      </c>
      <c r="C11" s="1338"/>
      <c r="D11" s="1339"/>
      <c r="E11" s="1340"/>
      <c r="F11" s="1340"/>
      <c r="G11" s="1340"/>
      <c r="H11" s="1340"/>
      <c r="I11" s="1340"/>
      <c r="J11" s="1340"/>
      <c r="K11" s="1340"/>
      <c r="L11" s="1340">
        <f>+G11+I11+K11</f>
        <v>0</v>
      </c>
      <c r="M11" s="1340"/>
    </row>
    <row r="12" spans="2:14" ht="20.100000000000001" customHeight="1" x14ac:dyDescent="0.2">
      <c r="B12" s="1337" t="s">
        <v>2109</v>
      </c>
      <c r="C12" s="1341"/>
      <c r="D12" s="1342"/>
      <c r="E12" s="1343"/>
      <c r="F12" s="1343"/>
      <c r="G12" s="1343"/>
      <c r="H12" s="1343"/>
      <c r="I12" s="1343"/>
      <c r="J12" s="1343"/>
      <c r="K12" s="1343"/>
      <c r="L12" s="1340">
        <f t="shared" ref="L12:L27" si="0">+G12+I12+K12</f>
        <v>0</v>
      </c>
      <c r="M12" s="1343"/>
    </row>
    <row r="13" spans="2:14" ht="20.100000000000001" customHeight="1" x14ac:dyDescent="0.2">
      <c r="B13" s="1337" t="s">
        <v>2110</v>
      </c>
      <c r="C13" s="1341">
        <v>10.555</v>
      </c>
      <c r="D13" s="1342" t="s">
        <v>2111</v>
      </c>
      <c r="E13" s="1343"/>
      <c r="F13" s="1343">
        <v>18590</v>
      </c>
      <c r="G13" s="1343"/>
      <c r="H13" s="1343"/>
      <c r="I13" s="1343">
        <v>18590</v>
      </c>
      <c r="J13" s="1343"/>
      <c r="K13" s="1343"/>
      <c r="L13" s="1340">
        <f t="shared" si="0"/>
        <v>18590</v>
      </c>
      <c r="M13" s="1343"/>
    </row>
    <row r="14" spans="2:14" ht="20.100000000000001" customHeight="1" x14ac:dyDescent="0.2">
      <c r="B14" s="1337" t="s">
        <v>2112</v>
      </c>
      <c r="C14" s="1341">
        <v>10.553000000000001</v>
      </c>
      <c r="D14" s="1342" t="s">
        <v>2113</v>
      </c>
      <c r="E14" s="1343"/>
      <c r="F14" s="1343">
        <v>5048</v>
      </c>
      <c r="G14" s="1343"/>
      <c r="H14" s="1343"/>
      <c r="I14" s="1343">
        <v>5048</v>
      </c>
      <c r="J14" s="1343"/>
      <c r="K14" s="1343"/>
      <c r="L14" s="1340">
        <f t="shared" si="0"/>
        <v>5048</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t="s">
        <v>2114</v>
      </c>
      <c r="C16" s="1341"/>
      <c r="D16" s="1342"/>
      <c r="E16" s="1343"/>
      <c r="F16" s="1343">
        <v>23638</v>
      </c>
      <c r="G16" s="1343"/>
      <c r="H16" s="1343"/>
      <c r="I16" s="1343">
        <v>23638</v>
      </c>
      <c r="J16" s="1343"/>
      <c r="K16" s="1343"/>
      <c r="L16" s="1340">
        <f t="shared" si="0"/>
        <v>23638</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2115</v>
      </c>
      <c r="C18" s="1341"/>
      <c r="D18" s="1342"/>
      <c r="E18" s="1343"/>
      <c r="F18" s="1343"/>
      <c r="G18" s="1343"/>
      <c r="H18" s="1343"/>
      <c r="I18" s="1343"/>
      <c r="J18" s="1343"/>
      <c r="K18" s="1343"/>
      <c r="L18" s="1340">
        <f t="shared" si="0"/>
        <v>0</v>
      </c>
      <c r="M18" s="1343"/>
    </row>
    <row r="19" spans="2:14" ht="20.100000000000001" customHeight="1" x14ac:dyDescent="0.2">
      <c r="B19" s="1337" t="s">
        <v>2109</v>
      </c>
      <c r="C19" s="1341"/>
      <c r="D19" s="1342"/>
      <c r="E19" s="1343"/>
      <c r="F19" s="1343"/>
      <c r="G19" s="1343"/>
      <c r="H19" s="1343"/>
      <c r="I19" s="1343"/>
      <c r="J19" s="1343"/>
      <c r="K19" s="1343"/>
      <c r="L19" s="1340">
        <f t="shared" si="0"/>
        <v>0</v>
      </c>
      <c r="M19" s="1343"/>
    </row>
    <row r="20" spans="2:14" ht="20.100000000000001" customHeight="1" x14ac:dyDescent="0.2">
      <c r="B20" s="1337" t="s">
        <v>2116</v>
      </c>
      <c r="C20" s="1341" t="s">
        <v>2117</v>
      </c>
      <c r="D20" s="1342" t="s">
        <v>2118</v>
      </c>
      <c r="E20" s="1343">
        <v>72377</v>
      </c>
      <c r="F20" s="1343">
        <v>7846</v>
      </c>
      <c r="G20" s="1343">
        <v>80128</v>
      </c>
      <c r="H20" s="1343"/>
      <c r="I20" s="1343">
        <v>95</v>
      </c>
      <c r="J20" s="1343"/>
      <c r="K20" s="1343"/>
      <c r="L20" s="1340">
        <f t="shared" si="0"/>
        <v>80223</v>
      </c>
      <c r="M20" s="1343"/>
    </row>
    <row r="21" spans="2:14" ht="20.100000000000001" customHeight="1" x14ac:dyDescent="0.2">
      <c r="B21" s="1337" t="s">
        <v>2119</v>
      </c>
      <c r="C21" s="1341" t="s">
        <v>2117</v>
      </c>
      <c r="D21" s="1342" t="s">
        <v>2120</v>
      </c>
      <c r="E21" s="1343"/>
      <c r="F21" s="1343">
        <v>86829</v>
      </c>
      <c r="G21" s="1343"/>
      <c r="H21" s="1343"/>
      <c r="I21" s="1343">
        <v>86223</v>
      </c>
      <c r="J21" s="1343"/>
      <c r="K21" s="1343"/>
      <c r="L21" s="1340">
        <f t="shared" si="0"/>
        <v>86223</v>
      </c>
      <c r="M21" s="1343">
        <v>89820</v>
      </c>
    </row>
    <row r="22" spans="2:14" ht="20.100000000000001" customHeight="1" x14ac:dyDescent="0.2">
      <c r="B22" s="1337" t="s">
        <v>2122</v>
      </c>
      <c r="C22" s="1341">
        <v>84.027000000000001</v>
      </c>
      <c r="D22" s="1342" t="s">
        <v>2121</v>
      </c>
      <c r="E22" s="1343">
        <v>1350953</v>
      </c>
      <c r="F22" s="1343">
        <v>409581</v>
      </c>
      <c r="G22" s="1343">
        <v>1763568</v>
      </c>
      <c r="H22" s="1343"/>
      <c r="I22" s="1343">
        <v>-160944</v>
      </c>
      <c r="J22" s="1343"/>
      <c r="K22" s="1343"/>
      <c r="L22" s="1340">
        <f t="shared" si="0"/>
        <v>1602624</v>
      </c>
      <c r="M22" s="1343"/>
    </row>
    <row r="23" spans="2:14" ht="20.100000000000001" customHeight="1" x14ac:dyDescent="0.2">
      <c r="B23" s="1337" t="s">
        <v>2122</v>
      </c>
      <c r="C23" s="1341">
        <v>84.027000000000001</v>
      </c>
      <c r="D23" s="1342" t="s">
        <v>2123</v>
      </c>
      <c r="E23" s="1343"/>
      <c r="F23" s="1343">
        <v>1663055</v>
      </c>
      <c r="G23" s="1343"/>
      <c r="H23" s="1343"/>
      <c r="I23" s="1343">
        <v>1846556</v>
      </c>
      <c r="J23" s="1343"/>
      <c r="K23" s="1343"/>
      <c r="L23" s="1340">
        <f t="shared" si="0"/>
        <v>1846556</v>
      </c>
      <c r="M23" s="1343">
        <v>1984210</v>
      </c>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t="s">
        <v>2124</v>
      </c>
      <c r="C25" s="1341"/>
      <c r="D25" s="1342"/>
      <c r="E25" s="1343">
        <v>1423330</v>
      </c>
      <c r="F25" s="1343">
        <v>2167311</v>
      </c>
      <c r="G25" s="1343">
        <v>1843696</v>
      </c>
      <c r="H25" s="1343"/>
      <c r="I25" s="1343">
        <v>1771930</v>
      </c>
      <c r="J25" s="1343"/>
      <c r="K25" s="1343"/>
      <c r="L25" s="1340">
        <f t="shared" si="0"/>
        <v>3615626</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F20" sqref="F2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7" t="str">
        <f>'Single Audit Cover'!A7</f>
        <v>Vermilion Assoc for SpEd</v>
      </c>
      <c r="C1" s="2463"/>
      <c r="D1" s="2463"/>
      <c r="E1" s="2463"/>
      <c r="F1" s="2463"/>
      <c r="G1" s="2463"/>
      <c r="H1" s="2463"/>
      <c r="I1" s="2463"/>
      <c r="J1" s="2463"/>
      <c r="K1" s="2463"/>
      <c r="L1" s="2463"/>
      <c r="M1" s="2463"/>
    </row>
    <row r="2" spans="2:14" ht="15" x14ac:dyDescent="0.2">
      <c r="B2" s="2452">
        <f>'Single Audit Cover'!E7</f>
        <v>54092801060</v>
      </c>
      <c r="C2" s="2452"/>
      <c r="D2" s="2452"/>
      <c r="E2" s="2452"/>
      <c r="F2" s="2452"/>
      <c r="G2" s="2452"/>
      <c r="H2" s="2452"/>
      <c r="I2" s="2452"/>
      <c r="J2" s="2452"/>
      <c r="K2" s="2452"/>
      <c r="L2" s="2452"/>
      <c r="M2" s="2452"/>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2125</v>
      </c>
      <c r="C11" s="1338"/>
      <c r="D11" s="1339"/>
      <c r="E11" s="1340"/>
      <c r="F11" s="1340"/>
      <c r="G11" s="1340"/>
      <c r="H11" s="1340"/>
      <c r="I11" s="1340"/>
      <c r="J11" s="1340"/>
      <c r="K11" s="1340"/>
      <c r="L11" s="1340">
        <f>+G11+I11+K11</f>
        <v>0</v>
      </c>
      <c r="M11" s="1340"/>
    </row>
    <row r="12" spans="2:14" ht="20.100000000000001" customHeight="1" x14ac:dyDescent="0.2">
      <c r="B12" s="1337" t="s">
        <v>2126</v>
      </c>
      <c r="C12" s="1341"/>
      <c r="D12" s="1342"/>
      <c r="E12" s="1343"/>
      <c r="F12" s="1343"/>
      <c r="G12" s="1343"/>
      <c r="H12" s="1343"/>
      <c r="I12" s="1343"/>
      <c r="J12" s="1343"/>
      <c r="K12" s="1343"/>
      <c r="L12" s="1340">
        <f t="shared" ref="L12:L27" si="0">+G12+I12+K12</f>
        <v>0</v>
      </c>
      <c r="M12" s="1343"/>
    </row>
    <row r="13" spans="2:14" ht="20.100000000000001" customHeight="1" x14ac:dyDescent="0.2">
      <c r="B13" s="1337" t="s">
        <v>2127</v>
      </c>
      <c r="C13" s="1341">
        <v>84.126000000000005</v>
      </c>
      <c r="D13" s="1342" t="s">
        <v>2128</v>
      </c>
      <c r="E13" s="1343"/>
      <c r="F13" s="1343">
        <v>76540</v>
      </c>
      <c r="G13" s="1343"/>
      <c r="H13" s="1343"/>
      <c r="I13" s="1343">
        <v>76540</v>
      </c>
      <c r="J13" s="1343"/>
      <c r="K13" s="1343"/>
      <c r="L13" s="1340">
        <f t="shared" si="0"/>
        <v>76540</v>
      </c>
      <c r="M13" s="1343">
        <v>82100</v>
      </c>
    </row>
    <row r="14" spans="2:14" ht="20.100000000000001" customHeight="1" x14ac:dyDescent="0.2">
      <c r="B14" s="1337" t="s">
        <v>2129</v>
      </c>
      <c r="C14" s="1341">
        <v>93.778000000000006</v>
      </c>
      <c r="D14" s="1342" t="s">
        <v>2130</v>
      </c>
      <c r="E14" s="1343"/>
      <c r="F14" s="1343">
        <v>38451</v>
      </c>
      <c r="G14" s="1343"/>
      <c r="H14" s="1343"/>
      <c r="I14" s="1343">
        <v>38451</v>
      </c>
      <c r="J14" s="1343"/>
      <c r="K14" s="1343"/>
      <c r="L14" s="1340">
        <f t="shared" si="0"/>
        <v>38451</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t="s">
        <v>2131</v>
      </c>
      <c r="C16" s="1341"/>
      <c r="D16" s="1342"/>
      <c r="E16" s="1343"/>
      <c r="F16" s="1343">
        <v>114991</v>
      </c>
      <c r="G16" s="1343"/>
      <c r="H16" s="1343"/>
      <c r="I16" s="1343">
        <v>114991</v>
      </c>
      <c r="J16" s="1343"/>
      <c r="K16" s="1343"/>
      <c r="L16" s="1340">
        <f t="shared" si="0"/>
        <v>114991</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t="s">
        <v>2132</v>
      </c>
      <c r="C19" s="1341"/>
      <c r="D19" s="1342"/>
      <c r="E19" s="1343">
        <v>1423330</v>
      </c>
      <c r="F19" s="1343">
        <v>2305940</v>
      </c>
      <c r="G19" s="1343">
        <v>1843696</v>
      </c>
      <c r="H19" s="1343"/>
      <c r="I19" s="1343">
        <v>1910559</v>
      </c>
      <c r="J19" s="1343"/>
      <c r="K19" s="1343"/>
      <c r="L19" s="1340">
        <f t="shared" si="0"/>
        <v>3754255</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4" zoomScale="110" zoomScaleNormal="110" workbookViewId="0">
      <selection activeCell="G52" sqref="G5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Vermilion Assoc for SpEd</v>
      </c>
      <c r="C1" s="2471"/>
      <c r="D1" s="2471"/>
      <c r="E1" s="2471"/>
      <c r="F1" s="2471"/>
      <c r="G1" s="2471"/>
      <c r="H1" s="2471"/>
      <c r="I1" s="2471"/>
      <c r="J1" s="1422"/>
    </row>
    <row r="2" spans="2:10" s="317" customFormat="1" ht="12.75" customHeight="1" x14ac:dyDescent="0.2">
      <c r="B2" s="2472">
        <f>'Single Audit Cover'!E7</f>
        <v>54092801060</v>
      </c>
      <c r="C2" s="2473"/>
      <c r="D2" s="2473"/>
      <c r="E2" s="2473"/>
      <c r="F2" s="2473"/>
      <c r="G2" s="2473"/>
      <c r="H2" s="2473"/>
      <c r="I2" s="2473"/>
      <c r="J2" s="1422"/>
    </row>
    <row r="3" spans="2:10" s="317" customFormat="1" ht="12.75" customHeight="1" x14ac:dyDescent="0.2">
      <c r="B3" s="2474" t="s">
        <v>1347</v>
      </c>
      <c r="C3" s="2475"/>
      <c r="D3" s="2475"/>
      <c r="E3" s="2475"/>
      <c r="F3" s="2475"/>
      <c r="G3" s="2475"/>
      <c r="H3" s="2475"/>
      <c r="I3" s="2475"/>
      <c r="J3" s="1423"/>
    </row>
    <row r="4" spans="2:10" s="317" customFormat="1" ht="12.75" customHeight="1" x14ac:dyDescent="0.2">
      <c r="B4" s="2474" t="str">
        <f>'Single Audit Cover'!A4</f>
        <v>Year Ending June 30, 2018</v>
      </c>
      <c r="C4" s="2475"/>
      <c r="D4" s="2475"/>
      <c r="E4" s="2475"/>
      <c r="F4" s="2475"/>
      <c r="G4" s="2475"/>
      <c r="H4" s="2475"/>
      <c r="I4" s="247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4" t="s">
        <v>1346</v>
      </c>
      <c r="C7" s="2475"/>
      <c r="D7" s="2475"/>
      <c r="E7" s="2475"/>
      <c r="F7" s="2475"/>
      <c r="G7" s="2475"/>
      <c r="H7" s="2475"/>
      <c r="I7" s="247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6" t="s">
        <v>2133</v>
      </c>
      <c r="D11" s="247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2134</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2093</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2093</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2093</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2093</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7" t="s">
        <v>2135</v>
      </c>
      <c r="E29" s="2477"/>
      <c r="F29" s="2477"/>
      <c r="G29" s="2477"/>
      <c r="H29" s="2477"/>
      <c r="I29" s="2477"/>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78" t="s">
        <v>1851</v>
      </c>
      <c r="D37" s="2479"/>
      <c r="E37" s="2479"/>
      <c r="F37" s="2480"/>
      <c r="G37" s="2478" t="s">
        <v>1674</v>
      </c>
      <c r="H37" s="2479"/>
      <c r="I37" s="2480"/>
    </row>
    <row r="38" spans="2:9" ht="16.5" customHeight="1" x14ac:dyDescent="0.2">
      <c r="B38" s="1444">
        <v>84.027000000000001</v>
      </c>
      <c r="C38" s="2466" t="s">
        <v>2136</v>
      </c>
      <c r="D38" s="2467"/>
      <c r="E38" s="2467"/>
      <c r="F38" s="2468"/>
      <c r="G38" s="2481">
        <v>1846556</v>
      </c>
      <c r="H38" s="2482"/>
      <c r="I38" s="2483"/>
    </row>
    <row r="39" spans="2:9" ht="16.5" customHeight="1" x14ac:dyDescent="0.2">
      <c r="B39" s="1444"/>
      <c r="C39" s="2466"/>
      <c r="D39" s="2467"/>
      <c r="E39" s="2467"/>
      <c r="F39" s="2468"/>
      <c r="G39" s="2469"/>
      <c r="H39" s="2469"/>
      <c r="I39" s="2469"/>
    </row>
    <row r="40" spans="2:9" ht="16.5" customHeight="1" x14ac:dyDescent="0.2">
      <c r="B40" s="1444"/>
      <c r="C40" s="2466"/>
      <c r="D40" s="2467"/>
      <c r="E40" s="2467"/>
      <c r="F40" s="2468"/>
      <c r="G40" s="2469"/>
      <c r="H40" s="2469"/>
      <c r="I40" s="2469"/>
    </row>
    <row r="41" spans="2:9" ht="16.5" customHeight="1" x14ac:dyDescent="0.2">
      <c r="B41" s="1444"/>
      <c r="C41" s="2466"/>
      <c r="D41" s="2467"/>
      <c r="E41" s="2467"/>
      <c r="F41" s="2468"/>
      <c r="G41" s="2469"/>
      <c r="H41" s="2469"/>
      <c r="I41" s="2469"/>
    </row>
    <row r="42" spans="2:9" ht="16.5" customHeight="1" x14ac:dyDescent="0.2">
      <c r="B42" s="1444"/>
      <c r="C42" s="2466"/>
      <c r="D42" s="2467"/>
      <c r="E42" s="2467"/>
      <c r="F42" s="2468"/>
      <c r="G42" s="2469"/>
      <c r="H42" s="2469"/>
      <c r="I42" s="2469"/>
    </row>
    <row r="43" spans="2:9" ht="16.5" customHeight="1" x14ac:dyDescent="0.2">
      <c r="B43" s="1444"/>
      <c r="C43" s="2484" t="s">
        <v>1675</v>
      </c>
      <c r="D43" s="2485"/>
      <c r="E43" s="2485"/>
      <c r="F43" s="2486"/>
      <c r="G43" s="2487">
        <f>SUM(G38:I42)</f>
        <v>1846556</v>
      </c>
      <c r="H43" s="2487"/>
      <c r="I43" s="2487"/>
    </row>
    <row r="44" spans="2:9" ht="12.75" customHeight="1" x14ac:dyDescent="0.2"/>
    <row r="45" spans="2:9" ht="12.75" customHeight="1" x14ac:dyDescent="0.2">
      <c r="B45" s="1435" t="s">
        <v>1948</v>
      </c>
      <c r="D45" s="2488">
        <v>1910559</v>
      </c>
      <c r="E45" s="2489"/>
    </row>
    <row r="46" spans="2:9" ht="5.25" customHeight="1" x14ac:dyDescent="0.2">
      <c r="B46" s="1445"/>
      <c r="D46" s="1446"/>
      <c r="E46" s="1447"/>
    </row>
    <row r="47" spans="2:9" ht="12.75" customHeight="1" x14ac:dyDescent="0.2">
      <c r="B47" s="1300" t="s">
        <v>1676</v>
      </c>
      <c r="C47" s="1300"/>
      <c r="D47" s="1448">
        <f>+G43/D45</f>
        <v>0.9665003802552028</v>
      </c>
      <c r="E47" s="1449"/>
      <c r="F47" s="1450"/>
      <c r="I47" s="1451"/>
    </row>
    <row r="48" spans="2:9" ht="9.9499999999999993" customHeight="1" x14ac:dyDescent="0.2"/>
    <row r="49" spans="1:9" x14ac:dyDescent="0.2">
      <c r="B49" s="1368" t="s">
        <v>1335</v>
      </c>
      <c r="C49" s="1282"/>
      <c r="D49" s="1282"/>
      <c r="E49" s="2490">
        <v>750000</v>
      </c>
      <c r="F49" s="2490"/>
      <c r="G49" s="2490"/>
      <c r="H49" s="322"/>
    </row>
    <row r="51" spans="1:9" ht="13.5" customHeight="1" x14ac:dyDescent="0.2">
      <c r="B51" s="1368" t="s">
        <v>1334</v>
      </c>
      <c r="C51" s="1282"/>
      <c r="E51" s="1438"/>
      <c r="F51" s="1300" t="s">
        <v>940</v>
      </c>
      <c r="G51" s="1438" t="s">
        <v>2134</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Vermilion Assoc for SpEd</v>
      </c>
      <c r="C1" s="2470"/>
      <c r="D1" s="2470"/>
      <c r="E1" s="2470"/>
      <c r="F1" s="2470"/>
      <c r="G1" s="2470"/>
      <c r="H1" s="2470"/>
      <c r="I1" s="2470"/>
      <c r="J1" s="2470"/>
      <c r="K1" s="2470"/>
      <c r="L1" s="1374"/>
      <c r="M1" s="1374"/>
    </row>
    <row r="2" spans="1:13" ht="12" customHeight="1" x14ac:dyDescent="0.2">
      <c r="B2" s="2472">
        <f>'Single Audit Cover'!E7</f>
        <v>54092801060</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1949</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t="s">
        <v>2105</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Vermilion Assoc for SpEd</v>
      </c>
      <c r="C1" s="2497"/>
      <c r="D1" s="2497"/>
      <c r="E1" s="2497"/>
      <c r="F1" s="2497"/>
      <c r="G1" s="2497"/>
      <c r="H1" s="2497"/>
      <c r="I1" s="2497"/>
      <c r="J1" s="2497"/>
      <c r="K1" s="2497"/>
      <c r="L1" s="1465"/>
    </row>
    <row r="2" spans="1:12" ht="12.75" customHeight="1" x14ac:dyDescent="0.2">
      <c r="B2" s="2498">
        <f>'Single Audit Cover'!E7</f>
        <v>54092801060</v>
      </c>
      <c r="C2" s="2498"/>
      <c r="D2" s="2498"/>
      <c r="E2" s="2498"/>
      <c r="F2" s="2498"/>
      <c r="G2" s="2498"/>
      <c r="H2" s="2498"/>
      <c r="I2" s="2498"/>
      <c r="J2" s="2498"/>
      <c r="K2" s="2498"/>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1949</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7"/>
      <c r="G12" s="2477"/>
      <c r="H12" s="2477"/>
      <c r="I12" s="2477"/>
      <c r="J12" s="2477"/>
      <c r="K12" s="247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t="s">
        <v>2105</v>
      </c>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0" t="str">
        <f>'Single Audit Cover'!A7</f>
        <v>Vermilion Assoc for SpEd</v>
      </c>
      <c r="C1" s="2470"/>
      <c r="D1" s="2470"/>
      <c r="E1" s="1491"/>
    </row>
    <row r="2" spans="2:5" s="1282" customFormat="1" ht="12.75" customHeight="1" x14ac:dyDescent="0.2">
      <c r="B2" s="2472">
        <f>'Single Audit Cover'!E7</f>
        <v>54092801060</v>
      </c>
      <c r="C2" s="2472"/>
      <c r="D2" s="2472"/>
      <c r="E2" s="1492"/>
    </row>
    <row r="3" spans="2:5" ht="12.75" customHeight="1" x14ac:dyDescent="0.2">
      <c r="B3" s="2493" t="s">
        <v>1866</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c r="C7" s="324"/>
      <c r="D7" s="324"/>
      <c r="E7" s="324"/>
    </row>
    <row r="8" spans="2:5" ht="13.5" customHeight="1" x14ac:dyDescent="0.2">
      <c r="B8" s="1496" t="s">
        <v>2105</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terms/"/>
    <ds:schemaRef ds:uri="http://schemas.microsoft.com/sharepoint/v3"/>
    <ds:schemaRef ds:uri="http://schemas.microsoft.com/office/2006/documentManagement/types"/>
    <ds:schemaRef ds:uri="http://purl.org/dc/dcmitype/"/>
    <ds:schemaRef ds:uri="d21dc803-237d-4c68-8692-8d731fd29118"/>
    <ds:schemaRef ds:uri="http://schemas.microsoft.com/office/infopath/2007/PartnerControls"/>
    <ds:schemaRef ds:uri="http://schemas.microsoft.com/office/2006/metadata/properties"/>
    <ds:schemaRef ds:uri="http://schemas.openxmlformats.org/package/2006/metadata/core-properties"/>
    <ds:schemaRef ds:uri="4d435f69-8686-490b-bd6d-b153bf22ab50"/>
    <ds:schemaRef ds:uri="6ce3111e-7420-4802-b50a-75d4e9a0b98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 (2)</vt:lpstr>
      <vt:lpstr> SEFA</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2018-11-13T17:35:27Z</cp:lastPrinted>
  <dcterms:created xsi:type="dcterms:W3CDTF">2003-10-29T19:06:34Z</dcterms:created>
  <dcterms:modified xsi:type="dcterms:W3CDTF">2018-11-26T17:27:22Z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