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15" yWindow="1365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2)" sheetId="183" r:id="rId29"/>
    <sheet name=" SEFA" sheetId="179" r:id="rId30"/>
    <sheet name="SF&amp;QC Sec-1" sheetId="174" r:id="rId31"/>
    <sheet name="SF&amp;QC Sec-2" sheetId="175" r:id="rId32"/>
    <sheet name="SF&amp;QC Sec-3" sheetId="176" r:id="rId33"/>
    <sheet name="SSPAF" sheetId="177" r:id="rId34"/>
  </sheets>
  <definedNames>
    <definedName name="_xlnm.Print_Area" localSheetId="29">' SEFA'!$B$1:$M$46</definedName>
    <definedName name="_xlnm.Print_Area" localSheetId="28">' SEFA (2)'!$B$1:$M$46</definedName>
    <definedName name="_xlnm.Print_Area" localSheetId="27">'SEFA NOTES'!$A$1:$F$52</definedName>
    <definedName name="_xlnm.Print_Area" localSheetId="26">'SEFA Reconcile'!$A$1:$E$49</definedName>
    <definedName name="_xlnm.Print_Area" localSheetId="30">'SF&amp;QC Sec-1'!$A$1:$J$63</definedName>
    <definedName name="_xlnm.Print_Area" localSheetId="32">'SF&amp;QC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9">#REF!</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9">#REF!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9">#REF!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9">#REF!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9">#REF!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7" i="183" l="1"/>
  <c r="L26" i="183"/>
  <c r="L25" i="183"/>
  <c r="L24" i="183"/>
  <c r="L23" i="183"/>
  <c r="L22" i="183"/>
  <c r="L21" i="183"/>
  <c r="L20" i="183"/>
  <c r="L19" i="183"/>
  <c r="L18" i="183"/>
  <c r="L17" i="183"/>
  <c r="L16" i="183"/>
  <c r="L15" i="183"/>
  <c r="L14" i="183"/>
  <c r="L13" i="183"/>
  <c r="L12" i="183"/>
  <c r="L11" i="183"/>
  <c r="B4" i="183"/>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s="1"/>
  <c r="D81" i="36" s="1"/>
  <c r="F79" i="34" l="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1" i="183" s="1"/>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9" l="1"/>
  <c r="B2" i="183"/>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K24" i="12" s="1"/>
  <c r="B7733" i="106" s="1"/>
  <c r="J12" i="12"/>
  <c r="J21" i="12"/>
  <c r="J23" i="12"/>
  <c r="B7729" i="106"/>
  <c r="B7734" i="106"/>
  <c r="B7726" i="106"/>
  <c r="D76" i="36"/>
  <c r="F162" i="34"/>
  <c r="B30" i="36"/>
  <c r="B33" i="36" s="1"/>
  <c r="B43" i="36" s="1"/>
  <c r="B56" i="36" s="1"/>
  <c r="B66" i="36" s="1"/>
  <c r="B70" i="36" s="1"/>
  <c r="B74" i="36" s="1"/>
  <c r="D73" i="36"/>
  <c r="C191" i="5"/>
  <c r="C201" i="5"/>
  <c r="B5246" i="106" s="1"/>
  <c r="D5246" i="106" s="1"/>
  <c r="C211" i="5"/>
  <c r="C216" i="5"/>
  <c r="C224" i="5"/>
  <c r="B5286" i="106" s="1"/>
  <c r="D5286" i="106" s="1"/>
  <c r="C228" i="5"/>
  <c r="C259" i="5"/>
  <c r="B7761" i="106"/>
  <c r="L127" i="29"/>
  <c r="L129" i="29" s="1"/>
  <c r="L139" i="29"/>
  <c r="L149" i="29"/>
  <c r="I7" i="145"/>
  <c r="I6" i="145"/>
  <c r="D82" i="36"/>
  <c r="D78" i="36"/>
  <c r="K75" i="29"/>
  <c r="K130" i="29"/>
  <c r="K185" i="29"/>
  <c r="B2836" i="106" s="1"/>
  <c r="D2836" i="106" s="1"/>
  <c r="K122" i="29"/>
  <c r="F15" i="145" s="1"/>
  <c r="F19" i="145" s="1"/>
  <c r="K67" i="29"/>
  <c r="K64" i="29"/>
  <c r="K59" i="29"/>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c r="D963" i="106" s="1"/>
  <c r="B964" i="106"/>
  <c r="D964" i="106" s="1"/>
  <c r="B965" i="106"/>
  <c r="D965" i="106" s="1"/>
  <c r="G53" i="29"/>
  <c r="B966" i="106"/>
  <c r="D966" i="106" s="1"/>
  <c r="B967" i="106"/>
  <c r="D967" i="106" s="1"/>
  <c r="B968" i="106"/>
  <c r="D968" i="106" s="1"/>
  <c r="G57" i="29"/>
  <c r="B969" i="106"/>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F27" i="108" s="1"/>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s="1"/>
  <c r="K188" i="29"/>
  <c r="B3007" i="106" s="1"/>
  <c r="D3007" i="106" s="1"/>
  <c r="K189" i="29"/>
  <c r="B3008" i="106" s="1"/>
  <c r="D3008" i="106" s="1"/>
  <c r="K190" i="29"/>
  <c r="K191" i="29"/>
  <c r="K192" i="29"/>
  <c r="B3011" i="106" s="1"/>
  <c r="D3011" i="106" s="1"/>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B2726" i="106" s="1"/>
  <c r="D2726" i="106" s="1"/>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c r="F10" i="7"/>
  <c r="B1797" i="106" s="1"/>
  <c r="D1797" i="106" s="1"/>
  <c r="D1798" i="106"/>
  <c r="F9" i="7"/>
  <c r="B1799" i="106" s="1"/>
  <c r="D1799" i="106" s="1"/>
  <c r="F11" i="7"/>
  <c r="B1800" i="106" s="1"/>
  <c r="D1800" i="106" s="1"/>
  <c r="F12" i="7"/>
  <c r="B1801" i="106"/>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s="1"/>
  <c r="B1836" i="106"/>
  <c r="D1836" i="106"/>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c r="B1850" i="106"/>
  <c r="D1850" i="106" s="1"/>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s="1"/>
  <c r="B1864" i="106"/>
  <c r="D1864" i="106"/>
  <c r="E21" i="8"/>
  <c r="B1865" i="106" s="1"/>
  <c r="D1865" i="106" s="1"/>
  <c r="B1866" i="106"/>
  <c r="D1866" i="106" s="1"/>
  <c r="F6" i="8"/>
  <c r="F7" i="8"/>
  <c r="B1868" i="106" s="1"/>
  <c r="D1868" i="106" s="1"/>
  <c r="F12" i="8"/>
  <c r="B1869" i="106"/>
  <c r="D1869" i="106" s="1"/>
  <c r="F11" i="8"/>
  <c r="B1870" i="106" s="1"/>
  <c r="D1870" i="106" s="1"/>
  <c r="F8" i="8"/>
  <c r="B1871" i="106"/>
  <c r="D1871" i="106" s="1"/>
  <c r="F9" i="8"/>
  <c r="B1872" i="106" s="1"/>
  <c r="D1872" i="106" s="1"/>
  <c r="F10" i="8"/>
  <c r="B1873" i="106" s="1"/>
  <c r="D1873" i="106" s="1"/>
  <c r="F14" i="8"/>
  <c r="B1874" i="106" s="1"/>
  <c r="D1874" i="106" s="1"/>
  <c r="F13" i="8"/>
  <c r="B3688" i="106" s="1"/>
  <c r="D3688" i="106" s="1"/>
  <c r="F17" i="8"/>
  <c r="B1876" i="106" s="1"/>
  <c r="D1876" i="106" s="1"/>
  <c r="F18" i="8"/>
  <c r="B1877" i="106"/>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c r="D1995" i="106" s="1"/>
  <c r="I24" i="12"/>
  <c r="B1996" i="106" s="1"/>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D2839"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0" i="106"/>
  <c r="D3010"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4" i="106"/>
  <c r="D3254"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s="1"/>
  <c r="B4236" i="106"/>
  <c r="D4236" i="106"/>
  <c r="B4237" i="106"/>
  <c r="D4237" i="106" s="1"/>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c r="B4266" i="106"/>
  <c r="D4266" i="106" s="1"/>
  <c r="B4267" i="106"/>
  <c r="D4267" i="106"/>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s="1"/>
  <c r="B5100" i="106"/>
  <c r="D5100" i="106"/>
  <c r="B5101" i="106"/>
  <c r="D5101" i="106" s="1"/>
  <c r="B5103" i="106"/>
  <c r="D5103" i="106"/>
  <c r="B5104" i="106"/>
  <c r="D5104" i="106" s="1"/>
  <c r="B5105" i="106"/>
  <c r="D5105" i="106"/>
  <c r="B5106" i="106"/>
  <c r="D5106" i="106" s="1"/>
  <c r="B5107" i="106"/>
  <c r="D5107" i="106"/>
  <c r="B5108" i="106"/>
  <c r="D5108" i="106" s="1"/>
  <c r="B5109" i="106"/>
  <c r="D5109" i="106"/>
  <c r="B5110" i="106"/>
  <c r="D5110" i="106" s="1"/>
  <c r="B5111" i="106"/>
  <c r="D5111" i="106"/>
  <c r="B5113" i="106"/>
  <c r="D5113" i="106" s="1"/>
  <c r="B5114" i="106"/>
  <c r="D5114" i="106"/>
  <c r="B5115" i="106"/>
  <c r="D5115" i="106" s="1"/>
  <c r="B5116" i="106"/>
  <c r="D5116" i="106"/>
  <c r="B5117" i="106"/>
  <c r="D5117" i="106" s="1"/>
  <c r="B5118" i="106"/>
  <c r="D5118" i="106"/>
  <c r="B5119" i="106"/>
  <c r="D5119" i="106" s="1"/>
  <c r="B5122" i="106"/>
  <c r="D5122" i="106"/>
  <c r="B5123" i="106"/>
  <c r="D5123" i="106" s="1"/>
  <c r="B5124" i="106"/>
  <c r="D5124" i="106"/>
  <c r="B5126" i="106"/>
  <c r="D5126" i="106" s="1"/>
  <c r="B5127" i="106"/>
  <c r="D5127" i="106"/>
  <c r="D5128" i="106"/>
  <c r="D5129" i="106"/>
  <c r="D5130" i="106"/>
  <c r="D5131" i="106"/>
  <c r="B5133" i="106"/>
  <c r="D5133" i="106" s="1"/>
  <c r="B5134" i="106"/>
  <c r="D5134" i="106"/>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c r="B5242" i="106"/>
  <c r="D5242" i="106" s="1"/>
  <c r="B5243" i="106"/>
  <c r="D5243" i="106"/>
  <c r="D5244" i="106"/>
  <c r="D5245" i="106"/>
  <c r="B5247" i="106"/>
  <c r="D5247" i="106"/>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s="1"/>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c r="D5460" i="106"/>
  <c r="D5461" i="106"/>
  <c r="B5462" i="106"/>
  <c r="D5462" i="106"/>
  <c r="B5463" i="106"/>
  <c r="D5463" i="106" s="1"/>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J77" i="4"/>
  <c r="B6262" i="106" s="1"/>
  <c r="D6262" i="106" s="1"/>
  <c r="B6264" i="106"/>
  <c r="D6264" i="106" s="1"/>
  <c r="B6265" i="106"/>
  <c r="D6265" i="106" s="1"/>
  <c r="B6285" i="106"/>
  <c r="D628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s="1"/>
  <c r="B6729" i="106"/>
  <c r="D6729" i="106" s="1"/>
  <c r="B6730" i="106"/>
  <c r="D6730" i="106" s="1"/>
  <c r="B6731" i="106"/>
  <c r="D6731" i="106" s="1"/>
  <c r="B6732" i="106"/>
  <c r="D6732" i="106" s="1"/>
  <c r="B6733" i="106"/>
  <c r="D6733" i="106" s="1"/>
  <c r="B6734" i="106"/>
  <c r="D6734" i="106"/>
  <c r="B6735" i="106"/>
  <c r="D6735" i="106" s="1"/>
  <c r="B6736" i="106"/>
  <c r="D6736" i="106" s="1"/>
  <c r="B6737" i="106"/>
  <c r="D6737" i="106" s="1"/>
  <c r="B6738" i="106"/>
  <c r="D6738" i="106" s="1"/>
  <c r="B6739" i="106"/>
  <c r="D6739" i="106" s="1"/>
  <c r="B6740" i="106"/>
  <c r="D6740" i="106" s="1"/>
  <c r="B6741" i="106"/>
  <c r="D6741" i="106" s="1"/>
  <c r="B6742" i="106"/>
  <c r="D6742" i="106"/>
  <c r="B6743" i="106"/>
  <c r="D6743" i="106" s="1"/>
  <c r="B6744" i="106"/>
  <c r="D6744" i="106" s="1"/>
  <c r="B6745" i="106"/>
  <c r="D6745" i="106" s="1"/>
  <c r="B6746" i="106"/>
  <c r="D6746" i="106" s="1"/>
  <c r="B6747" i="106"/>
  <c r="D6747" i="106" s="1"/>
  <c r="B6748" i="106"/>
  <c r="D6748" i="106" s="1"/>
  <c r="B6749" i="106"/>
  <c r="D6749" i="106" s="1"/>
  <c r="B6750" i="106"/>
  <c r="D6750" i="106"/>
  <c r="B6751" i="106"/>
  <c r="D6751" i="106" s="1"/>
  <c r="B6752" i="106"/>
  <c r="D6752" i="106" s="1"/>
  <c r="B6753" i="106"/>
  <c r="D6753" i="106" s="1"/>
  <c r="B6754" i="106"/>
  <c r="D6754" i="106" s="1"/>
  <c r="B6755" i="106"/>
  <c r="D6755" i="106" s="1"/>
  <c r="B6756" i="106"/>
  <c r="D6756" i="106" s="1"/>
  <c r="B6757" i="106"/>
  <c r="D6757" i="106" s="1"/>
  <c r="B6758" i="106"/>
  <c r="D6758" i="106"/>
  <c r="B6759" i="106"/>
  <c r="D6759" i="106" s="1"/>
  <c r="B6760" i="106"/>
  <c r="D6760" i="106" s="1"/>
  <c r="B6761" i="106"/>
  <c r="D6761" i="106" s="1"/>
  <c r="B6762" i="106"/>
  <c r="D6762" i="106" s="1"/>
  <c r="B6763" i="106"/>
  <c r="D6763" i="106" s="1"/>
  <c r="B6764" i="106"/>
  <c r="D6764" i="106" s="1"/>
  <c r="B6765" i="106"/>
  <c r="D6765" i="106" s="1"/>
  <c r="B6766" i="106"/>
  <c r="D6766" i="106"/>
  <c r="B6767" i="106"/>
  <c r="D6767" i="106" s="1"/>
  <c r="B6768" i="106"/>
  <c r="D6768" i="106" s="1"/>
  <c r="B6769" i="106"/>
  <c r="D6769" i="106" s="1"/>
  <c r="B6770" i="106"/>
  <c r="D6770" i="106" s="1"/>
  <c r="B6771" i="106"/>
  <c r="D6771" i="106" s="1"/>
  <c r="B6772" i="106"/>
  <c r="D6772" i="106" s="1"/>
  <c r="B6773" i="106"/>
  <c r="D6773" i="106" s="1"/>
  <c r="B6774" i="106"/>
  <c r="D6774" i="106"/>
  <c r="B6775" i="106"/>
  <c r="D6775" i="106" s="1"/>
  <c r="B6776" i="106"/>
  <c r="D6776" i="106" s="1"/>
  <c r="B6777" i="106"/>
  <c r="D6777" i="106" s="1"/>
  <c r="B6778" i="106"/>
  <c r="D6778" i="106" s="1"/>
  <c r="B6779" i="106"/>
  <c r="D6779" i="106" s="1"/>
  <c r="B6780" i="106"/>
  <c r="D6780" i="106" s="1"/>
  <c r="B6781" i="106"/>
  <c r="D6781" i="106" s="1"/>
  <c r="B6782" i="106"/>
  <c r="D6782" i="106"/>
  <c r="B6783" i="106"/>
  <c r="D6783" i="106" s="1"/>
  <c r="B6784" i="106"/>
  <c r="D6784" i="106" s="1"/>
  <c r="B6785" i="106"/>
  <c r="D6785" i="106" s="1"/>
  <c r="B6786" i="106"/>
  <c r="D6786" i="106" s="1"/>
  <c r="B6787" i="106"/>
  <c r="D6787" i="106" s="1"/>
  <c r="B6788" i="106"/>
  <c r="D6788" i="106" s="1"/>
  <c r="B6789" i="106"/>
  <c r="D6789" i="106" s="1"/>
  <c r="B6790" i="106"/>
  <c r="D6790" i="106"/>
  <c r="B6791" i="106"/>
  <c r="D6791" i="106" s="1"/>
  <c r="B6792" i="106"/>
  <c r="D6792" i="106" s="1"/>
  <c r="B6793" i="106"/>
  <c r="D6793" i="106" s="1"/>
  <c r="B6794" i="106"/>
  <c r="D6794" i="106" s="1"/>
  <c r="B6795" i="106"/>
  <c r="D6795" i="106"/>
  <c r="B6796" i="106"/>
  <c r="D6796" i="106" s="1"/>
  <c r="B6797" i="106"/>
  <c r="D6797" i="106"/>
  <c r="B6798" i="106"/>
  <c r="D6798" i="106" s="1"/>
  <c r="B6799" i="106"/>
  <c r="D6799" i="106"/>
  <c r="B6800" i="106"/>
  <c r="D6800" i="106" s="1"/>
  <c r="B6801" i="106"/>
  <c r="D6801" i="106"/>
  <c r="B6802" i="106"/>
  <c r="D6802" i="106" s="1"/>
  <c r="B6803" i="106"/>
  <c r="D6803" i="106"/>
  <c r="B6804" i="106"/>
  <c r="D6804" i="106" s="1"/>
  <c r="B6805" i="106"/>
  <c r="D6805" i="106"/>
  <c r="B6806" i="106"/>
  <c r="D6806" i="106" s="1"/>
  <c r="B6807" i="106"/>
  <c r="D6807" i="106"/>
  <c r="B6808" i="106"/>
  <c r="D6808" i="106" s="1"/>
  <c r="B6809" i="106"/>
  <c r="D6809" i="106"/>
  <c r="B6810" i="106"/>
  <c r="D6810" i="106" s="1"/>
  <c r="B6811" i="106"/>
  <c r="D6811" i="106"/>
  <c r="B6812" i="106"/>
  <c r="D6812" i="106" s="1"/>
  <c r="B6813" i="106"/>
  <c r="D6813" i="106"/>
  <c r="B6814" i="106"/>
  <c r="D6814" i="106" s="1"/>
  <c r="B6815" i="106"/>
  <c r="D6815" i="106"/>
  <c r="B6816" i="106"/>
  <c r="D6816" i="106" s="1"/>
  <c r="B6817" i="106"/>
  <c r="D6817" i="106"/>
  <c r="B6818" i="106"/>
  <c r="D6818" i="106" s="1"/>
  <c r="B6819" i="106"/>
  <c r="D6819" i="106"/>
  <c r="B6820" i="106"/>
  <c r="D6820" i="106" s="1"/>
  <c r="B6821" i="106"/>
  <c r="D6821" i="106"/>
  <c r="B6822" i="106"/>
  <c r="D6822" i="106" s="1"/>
  <c r="B6823" i="106"/>
  <c r="D6823" i="106"/>
  <c r="B6824" i="106"/>
  <c r="D6824" i="106" s="1"/>
  <c r="B6825" i="106"/>
  <c r="D6825" i="106"/>
  <c r="B6826" i="106"/>
  <c r="D6826" i="106" s="1"/>
  <c r="B6827" i="106"/>
  <c r="D6827" i="106"/>
  <c r="B6828" i="106"/>
  <c r="D6828" i="106" s="1"/>
  <c r="B6829" i="106"/>
  <c r="D6829" i="106"/>
  <c r="B6830" i="106"/>
  <c r="D6830" i="106" s="1"/>
  <c r="B6831" i="106"/>
  <c r="D6831" i="106"/>
  <c r="B6832" i="106"/>
  <c r="D6832" i="106" s="1"/>
  <c r="B6841" i="106"/>
  <c r="D6841" i="106"/>
  <c r="B6842" i="106"/>
  <c r="D6842" i="106" s="1"/>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c r="D7209" i="106" s="1"/>
  <c r="B7210" i="106"/>
  <c r="D7210" i="106" s="1"/>
  <c r="K338" i="29"/>
  <c r="B7212" i="106"/>
  <c r="D7212" i="106" s="1"/>
  <c r="K339" i="29"/>
  <c r="B7213" i="106" s="1"/>
  <c r="D7213" i="106" s="1"/>
  <c r="H340" i="29"/>
  <c r="H342" i="29" s="1"/>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D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3" i="106"/>
  <c r="D7734" i="106"/>
  <c r="B7735" i="106"/>
  <c r="D7735" i="106" s="1"/>
  <c r="B7736" i="106"/>
  <c r="D7736" i="106" s="1"/>
  <c r="B7737" i="106"/>
  <c r="D7737" i="106" s="1"/>
  <c r="B7738" i="106"/>
  <c r="D7738" i="106" s="1"/>
  <c r="I26" i="12"/>
  <c r="B7741" i="106" s="1"/>
  <c r="D7741" i="106" s="1"/>
  <c r="K26" i="12"/>
  <c r="B7743" i="106" s="1"/>
  <c r="D7743"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2" i="36"/>
  <c r="D68" i="36"/>
  <c r="D69" i="36"/>
  <c r="D71" i="36"/>
  <c r="D72" i="36"/>
  <c r="D79" i="36"/>
  <c r="B58" i="127"/>
  <c r="B59" i="127"/>
  <c r="D26" i="108"/>
  <c r="E26" i="108"/>
  <c r="F26" i="108"/>
  <c r="G26" i="108"/>
  <c r="D27" i="108"/>
  <c r="E27" i="108"/>
  <c r="G27" i="108"/>
  <c r="E28" i="108"/>
  <c r="F28" i="108"/>
  <c r="F31" i="108"/>
  <c r="F37" i="108"/>
  <c r="G28" i="108"/>
  <c r="G29"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C43" i="34"/>
  <c r="D43" i="34"/>
  <c r="C44" i="34"/>
  <c r="D44" i="34"/>
  <c r="C45" i="34"/>
  <c r="D45" i="34"/>
  <c r="F45" i="34"/>
  <c r="C46" i="34"/>
  <c r="D46" i="34"/>
  <c r="C47" i="34"/>
  <c r="D47" i="34"/>
  <c r="C48" i="34"/>
  <c r="D48" i="34"/>
  <c r="C49" i="34"/>
  <c r="D49" i="34"/>
  <c r="F49" i="34"/>
  <c r="C50" i="34"/>
  <c r="D50" i="34"/>
  <c r="C51" i="34"/>
  <c r="D51" i="34"/>
  <c r="C52" i="34"/>
  <c r="F52" i="34"/>
  <c r="C53" i="34"/>
  <c r="D53" i="34"/>
  <c r="C56" i="34"/>
  <c r="F56" i="34"/>
  <c r="C57" i="34"/>
  <c r="D57" i="34"/>
  <c r="C61" i="34"/>
  <c r="C62" i="34"/>
  <c r="F62" i="34"/>
  <c r="C63" i="34"/>
  <c r="D63" i="34"/>
  <c r="C64" i="34"/>
  <c r="F64"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42" i="29" s="1"/>
  <c r="L350" i="29"/>
  <c r="L352" i="29" s="1"/>
  <c r="L362" i="29"/>
  <c r="L365" i="29" s="1"/>
  <c r="C12" i="5"/>
  <c r="B5066" i="106"/>
  <c r="D5066" i="106" s="1"/>
  <c r="D12" i="5"/>
  <c r="B5334" i="106"/>
  <c r="D5334" i="106" s="1"/>
  <c r="E12" i="5"/>
  <c r="B5513" i="106"/>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c r="D5562" i="106" s="1"/>
  <c r="G18" i="5"/>
  <c r="B5730" i="106"/>
  <c r="D5730" i="106" s="1"/>
  <c r="H18" i="5"/>
  <c r="B5878" i="106"/>
  <c r="D5878" i="106" s="1"/>
  <c r="I18" i="5"/>
  <c r="B5923" i="106"/>
  <c r="D5923" i="106" s="1"/>
  <c r="J18" i="5"/>
  <c r="B6306" i="106"/>
  <c r="D6306" i="106" s="1"/>
  <c r="K18" i="5"/>
  <c r="B5992" i="106"/>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B5096" i="106"/>
  <c r="D5096" i="106" s="1"/>
  <c r="C82" i="5"/>
  <c r="B5102" i="106" s="1"/>
  <c r="D5102" i="106" s="1"/>
  <c r="D82" i="5"/>
  <c r="B5348" i="106" s="1"/>
  <c r="D5348" i="106" s="1"/>
  <c r="C93" i="5"/>
  <c r="B5112" i="106" s="1"/>
  <c r="D5112" i="106" s="1"/>
  <c r="C108" i="5"/>
  <c r="B5120" i="106" s="1"/>
  <c r="D5120" i="106" s="1"/>
  <c r="D108" i="5"/>
  <c r="B5355" i="106"/>
  <c r="D5355" i="106" s="1"/>
  <c r="E108" i="5"/>
  <c r="B5526" i="106"/>
  <c r="D5526" i="106" s="1"/>
  <c r="F108" i="5"/>
  <c r="B5587" i="106"/>
  <c r="D5587" i="106" s="1"/>
  <c r="G108" i="5"/>
  <c r="B5737" i="106"/>
  <c r="D5737" i="106" s="1"/>
  <c r="H108" i="5"/>
  <c r="B5886" i="106"/>
  <c r="D5886" i="106" s="1"/>
  <c r="I108" i="5"/>
  <c r="B5930" i="106" s="1"/>
  <c r="D5930" i="106" s="1"/>
  <c r="J108" i="5"/>
  <c r="B6351" i="106" s="1"/>
  <c r="D6351" i="106" s="1"/>
  <c r="K108" i="5"/>
  <c r="B5999" i="106" s="1"/>
  <c r="D5999" i="106" s="1"/>
  <c r="E109" i="5"/>
  <c r="G109" i="5"/>
  <c r="B6024" i="106" s="1"/>
  <c r="D6024"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F106" i="34" s="1"/>
  <c r="D140" i="5"/>
  <c r="B5383" i="106" s="1"/>
  <c r="D5383" i="106" s="1"/>
  <c r="G140" i="5"/>
  <c r="G172" i="5" s="1"/>
  <c r="G144" i="5"/>
  <c r="B5756" i="106" s="1"/>
  <c r="D5756" i="106" s="1"/>
  <c r="G154" i="5"/>
  <c r="C144" i="5"/>
  <c r="B5165" i="106" s="1"/>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I173" i="5"/>
  <c r="B4216" i="106" s="1"/>
  <c r="D4216"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B4395" i="106"/>
  <c r="D4395" i="106" s="1"/>
  <c r="D191" i="5"/>
  <c r="B4396" i="106" s="1"/>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I274" i="5"/>
  <c r="E4" i="4"/>
  <c r="B2630" i="106" s="1"/>
  <c r="D2630" i="106" s="1"/>
  <c r="D5" i="4"/>
  <c r="B3406" i="106" s="1"/>
  <c r="D3406" i="106" s="1"/>
  <c r="G5" i="4"/>
  <c r="B3409" i="106" s="1"/>
  <c r="D3409" i="106" s="1"/>
  <c r="G14" i="4"/>
  <c r="B2609" i="106" s="1"/>
  <c r="D2609" i="106" s="1"/>
  <c r="F13" i="4"/>
  <c r="B2596" i="106" s="1"/>
  <c r="D2596"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H33" i="118"/>
  <c r="D11" i="37"/>
  <c r="D22" i="37"/>
  <c r="J22" i="37"/>
  <c r="L22" i="37"/>
  <c r="D24" i="37"/>
  <c r="B4270" i="106" s="1"/>
  <c r="D4270" i="106" s="1"/>
  <c r="L5" i="11"/>
  <c r="B2056" i="106" s="1"/>
  <c r="D2056" i="106" s="1"/>
  <c r="D4" i="7"/>
  <c r="B1760" i="106" s="1"/>
  <c r="D1760" i="106" s="1"/>
  <c r="D5" i="7"/>
  <c r="B1761" i="106" s="1"/>
  <c r="D1761" i="106" s="1"/>
  <c r="D13" i="7"/>
  <c r="B3726" i="106" s="1"/>
  <c r="D3726" i="106" s="1"/>
  <c r="D9" i="7"/>
  <c r="B1767" i="106" s="1"/>
  <c r="D1767" i="106" s="1"/>
  <c r="F128" i="34"/>
  <c r="F111" i="34"/>
  <c r="B5847" i="106"/>
  <c r="D5847" i="106" s="1"/>
  <c r="B5752" i="106"/>
  <c r="D5752" i="106" s="1"/>
  <c r="B5599" i="106"/>
  <c r="D5599" i="106" s="1"/>
  <c r="G4" i="4"/>
  <c r="B2603" i="106" s="1"/>
  <c r="D2603" i="106" s="1"/>
  <c r="K274" i="5"/>
  <c r="H173" i="5"/>
  <c r="B5906" i="106" s="1"/>
  <c r="D5906" i="106" s="1"/>
  <c r="H109" i="5"/>
  <c r="B6025" i="106" s="1"/>
  <c r="D6025" i="106" s="1"/>
  <c r="D7" i="7"/>
  <c r="B1763" i="106" s="1"/>
  <c r="D1763" i="106" s="1"/>
  <c r="H4" i="4"/>
  <c r="B2655" i="106"/>
  <c r="D2655" i="106" s="1"/>
  <c r="D17" i="7"/>
  <c r="B4104" i="106" s="1"/>
  <c r="D4104" i="106" s="1"/>
  <c r="D12" i="7"/>
  <c r="B1769" i="106" s="1"/>
  <c r="D1769" i="106" s="1"/>
  <c r="D11" i="7"/>
  <c r="B1768" i="106" s="1"/>
  <c r="D1768" i="106" s="1"/>
  <c r="D15" i="7"/>
  <c r="B1772" i="106" s="1"/>
  <c r="D1772" i="106" s="1"/>
  <c r="G173" i="5" l="1"/>
  <c r="B5778" i="106" s="1"/>
  <c r="D5778" i="106" s="1"/>
  <c r="B5770" i="106"/>
  <c r="D5770" i="106" s="1"/>
  <c r="F131" i="34"/>
  <c r="B7041" i="106"/>
  <c r="D7041" i="106" s="1"/>
  <c r="B1746" i="106"/>
  <c r="D1746" i="106" s="1"/>
  <c r="F127" i="34"/>
  <c r="F136" i="34"/>
  <c r="B5161" i="106"/>
  <c r="D5161" i="106" s="1"/>
  <c r="L367" i="29"/>
  <c r="F46" i="34"/>
  <c r="B3621" i="106"/>
  <c r="D3621" i="106" s="1"/>
  <c r="C367" i="29"/>
  <c r="B3622" i="106" s="1"/>
  <c r="D3622" i="106" s="1"/>
  <c r="E15" i="145"/>
  <c r="G15" i="145" s="1"/>
  <c r="B1126" i="106"/>
  <c r="D1126" i="106" s="1"/>
  <c r="B3649" i="106"/>
  <c r="D3649" i="106" s="1"/>
  <c r="G367" i="29"/>
  <c r="B3650" i="106" s="1"/>
  <c r="D3650" i="106" s="1"/>
  <c r="B1364" i="106"/>
  <c r="D1364" i="106" s="1"/>
  <c r="G210" i="29"/>
  <c r="H6" i="4"/>
  <c r="B2656" i="106" s="1"/>
  <c r="D2656" i="106" s="1"/>
  <c r="F130" i="34"/>
  <c r="K28" i="118"/>
  <c r="O27" i="118" s="1"/>
  <c r="O29" i="118" s="1"/>
  <c r="K173" i="5"/>
  <c r="K6" i="4" s="1"/>
  <c r="B3570" i="106" s="1"/>
  <c r="D3570" i="106" s="1"/>
  <c r="F172" i="5"/>
  <c r="B5644" i="106" s="1"/>
  <c r="D5644" i="106" s="1"/>
  <c r="F50" i="34"/>
  <c r="F44" i="34"/>
  <c r="J41" i="3"/>
  <c r="D109" i="5"/>
  <c r="F42" i="34"/>
  <c r="B7235" i="106"/>
  <c r="D7235" i="106" s="1"/>
  <c r="C342" i="29"/>
  <c r="B7216" i="106" s="1"/>
  <c r="D7216" i="106" s="1"/>
  <c r="K285" i="29"/>
  <c r="B1410" i="106"/>
  <c r="D1410" i="106" s="1"/>
  <c r="B1329" i="106"/>
  <c r="D1329" i="106" s="1"/>
  <c r="F61" i="34"/>
  <c r="F21" i="8"/>
  <c r="K350" i="29"/>
  <c r="D54" i="36"/>
  <c r="L13" i="11"/>
  <c r="B2060" i="106" s="1"/>
  <c r="D2060" i="106" s="1"/>
  <c r="F36" i="108"/>
  <c r="G30" i="108"/>
  <c r="E30" i="108"/>
  <c r="E29" i="108"/>
  <c r="C172" i="5"/>
  <c r="C109" i="5"/>
  <c r="B5121" i="106" s="1"/>
  <c r="D5121" i="106" s="1"/>
  <c r="C41" i="3"/>
  <c r="B93" i="106" s="1"/>
  <c r="D93" i="106" s="1"/>
  <c r="H295" i="29"/>
  <c r="B1454" i="106" s="1"/>
  <c r="D1454" i="106" s="1"/>
  <c r="B4156" i="106"/>
  <c r="D4156" i="106" s="1"/>
  <c r="H172" i="29"/>
  <c r="H174" i="29"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D18" i="7"/>
  <c r="B4105" i="106" s="1"/>
  <c r="D4105" i="106" s="1"/>
  <c r="K7" i="4"/>
  <c r="B3718" i="106" s="1"/>
  <c r="D3718" i="106" s="1"/>
  <c r="F105" i="34"/>
  <c r="F107" i="34"/>
  <c r="F109" i="5"/>
  <c r="F275" i="5" s="1"/>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F274" i="5"/>
  <c r="E273" i="5"/>
  <c r="B6835" i="106"/>
  <c r="D6835" i="106" s="1"/>
  <c r="G273" i="5"/>
  <c r="B4398" i="106"/>
  <c r="D4398" i="106" s="1"/>
  <c r="B5537" i="106"/>
  <c r="D5537" i="106" s="1"/>
  <c r="E173" i="5"/>
  <c r="I109" i="5"/>
  <c r="B5527" i="106"/>
  <c r="D5527" i="106" s="1"/>
  <c r="L279" i="29"/>
  <c r="L295" i="29" s="1"/>
  <c r="L74" i="29"/>
  <c r="K33" i="29"/>
  <c r="B720" i="106"/>
  <c r="D720" i="106" s="1"/>
  <c r="B2031" i="106"/>
  <c r="D2031"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3" i="106"/>
  <c r="B7214" i="106"/>
  <c r="D7214" i="106" s="1"/>
  <c r="B7221" i="106"/>
  <c r="D7221" i="106" s="1"/>
  <c r="B7201" i="106"/>
  <c r="D7201" i="106" s="1"/>
  <c r="E342" i="29"/>
  <c r="B7218" i="106" s="1"/>
  <c r="D7218" i="106" s="1"/>
  <c r="B6917" i="106"/>
  <c r="D6917" i="106" s="1"/>
  <c r="J74" i="29"/>
  <c r="D273" i="5"/>
  <c r="B5501" i="106" s="1"/>
  <c r="D5501" i="106" s="1"/>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318" i="106"/>
  <c r="D1318" i="106" s="1"/>
  <c r="B1127" i="106"/>
  <c r="D1127" i="106" s="1"/>
  <c r="K65" i="29"/>
  <c r="B1133" i="106" s="1"/>
  <c r="D1133" i="106" s="1"/>
  <c r="B1123" i="106"/>
  <c r="D1123" i="106" s="1"/>
  <c r="K57" i="29"/>
  <c r="K365" i="29"/>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H275" i="5"/>
  <c r="B5914" i="106"/>
  <c r="D5914" i="106" s="1"/>
  <c r="J7" i="4"/>
  <c r="B2657" i="106"/>
  <c r="D2657" i="106" s="1"/>
  <c r="H8" i="4"/>
  <c r="D19" i="7"/>
  <c r="B1775" i="106" s="1"/>
  <c r="D1775" i="106" s="1"/>
  <c r="B7270" i="106"/>
  <c r="F73" i="34" l="1"/>
  <c r="G15" i="4"/>
  <c r="B6032" i="106" s="1"/>
  <c r="D6032" i="106" s="1"/>
  <c r="D7255" i="106"/>
  <c r="D7252" i="106"/>
  <c r="C114" i="29"/>
  <c r="B757" i="106" s="1"/>
  <c r="D757" i="106" s="1"/>
  <c r="H367" i="29"/>
  <c r="B3660" i="106" s="1"/>
  <c r="D3660" i="106" s="1"/>
  <c r="B5356" i="106"/>
  <c r="D5356" i="106" s="1"/>
  <c r="D4" i="4"/>
  <c r="B2564" i="106" s="1"/>
  <c r="D2564" i="106" s="1"/>
  <c r="D274" i="5"/>
  <c r="B3628" i="106"/>
  <c r="D3628" i="106" s="1"/>
  <c r="D7256" i="106"/>
  <c r="D7251" i="106"/>
  <c r="B3724" i="106"/>
  <c r="D3724" i="106" s="1"/>
  <c r="B3670" i="106"/>
  <c r="D3670" i="106" s="1"/>
  <c r="K352" i="29"/>
  <c r="K367" i="29" s="1"/>
  <c r="B1365" i="106"/>
  <c r="D1365" i="106" s="1"/>
  <c r="F65" i="34"/>
  <c r="B1879" i="106"/>
  <c r="D1879" i="106" s="1"/>
  <c r="H22" i="37"/>
  <c r="L16" i="11"/>
  <c r="B2061" i="106" s="1"/>
  <c r="D2061" i="106" s="1"/>
  <c r="L114" i="29"/>
  <c r="B5214" i="106"/>
  <c r="D5214" i="106" s="1"/>
  <c r="C173" i="5"/>
  <c r="C4" i="4"/>
  <c r="B2551" i="106" s="1"/>
  <c r="D255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B6222" i="106"/>
  <c r="D6222" i="106" s="1"/>
  <c r="J8" i="4"/>
  <c r="B2658" i="106"/>
  <c r="D2658" i="106" s="1"/>
  <c r="H10" i="4"/>
  <c r="B4127" i="106" s="1"/>
  <c r="D4127" i="106" s="1"/>
  <c r="D7" i="4"/>
  <c r="D275" i="5"/>
  <c r="B5507" i="106"/>
  <c r="D5507" i="106" s="1"/>
  <c r="B7298" i="106"/>
  <c r="B7299" i="106"/>
  <c r="K13" i="4" l="1"/>
  <c r="B3572" i="106" s="1"/>
  <c r="D3572" i="106" s="1"/>
  <c r="B3672" i="106"/>
  <c r="D3672" i="106" s="1"/>
  <c r="F24" i="37"/>
  <c r="F8" i="4"/>
  <c r="F10" i="4" s="1"/>
  <c r="B4125" i="106" s="1"/>
  <c r="D4125" i="106" s="1"/>
  <c r="J17" i="4"/>
  <c r="E41" i="108"/>
  <c r="E44" i="108" s="1"/>
  <c r="E45" i="108" s="1"/>
  <c r="G41" i="108"/>
  <c r="B5223" i="106"/>
  <c r="D5223" i="106"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G44" i="108"/>
  <c r="G45" i="108"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76" i="34" s="1"/>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B2595" i="106" l="1"/>
  <c r="D2595"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<sst xmlns="http://schemas.openxmlformats.org/spreadsheetml/2006/main" count="5131" uniqueCount="2138">
  <si>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</si>
  <si>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</si>
  <si>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</si>
  <si>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</si>
  <si>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</si>
  <si>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</si>
  <si>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</si>
  <si>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</si>
  <si>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</si>
  <si>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</si>
  <si>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</si>
  <si>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</si>
  <si>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</si>
  <si>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</si>
  <si>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</si>
  <si>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</si>
  <si>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</si>
  <si>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</si>
  <si>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</si>
  <si>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</si>
  <si>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</si>
  <si>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</si>
  <si>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</si>
  <si>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</si>
  <si>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</si>
  <si>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</si>
  <si>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</si>
  <si>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</si>
  <si>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</si>
  <si>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</si>
  <si>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</si>
  <si>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</si>
  <si>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</si>
  <si>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</si>
  <si>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</si>
  <si>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</si>
  <si>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</si>
  <si>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</si>
  <si>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</si>
  <si>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</si>
  <si>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</si>
  <si>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</si>
  <si>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</si>
  <si>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</si>
  <si>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</si>
  <si>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</si>
  <si>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</si>
  <si>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</si>
  <si>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</si>
  <si>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</si>
  <si>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</si>
  <si>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</si>
  <si>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</si>
  <si>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</si>
  <si>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</si>
  <si>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</si>
  <si>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</si>
  <si>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</si>
  <si>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</si>
  <si>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</si>
  <si>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</si>
  <si>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</si>
  <si>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</si>
  <si>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</si>
  <si>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</si>
  <si>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</si>
  <si>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</si>
  <si>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</si>
  <si>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</si>
  <si>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</si>
  <si>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</si>
  <si>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</si>
  <si>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</si>
  <si>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</si>
  <si>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</si>
  <si>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</si>
  <si>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</si>
  <si>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</si>
  <si>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</si>
  <si>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</si>
  <si>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</si>
  <si>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</si>
  <si>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</si>
  <si>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</si>
  <si>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</si>
  <si>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</si>
  <si>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</si>
  <si>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</si>
  <si>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</si>
  <si>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</si>
  <si>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</si>
  <si>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</si>
  <si>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</si>
  <si>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</si>
  <si>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</si>
  <si>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</si>
  <si>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</si>
  <si>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</si>
  <si>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</si>
  <si>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</si>
  <si>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</si>
  <si>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</si>
  <si>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</si>
  <si>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</si>
  <si>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</si>
  <si>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</si>
  <si>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</si>
  <si>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</si>
  <si>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</si>
  <si>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</si>
  <si>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</si>
  <si>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</si>
  <si>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</si>
  <si>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</si>
  <si>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</si>
  <si>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</si>
  <si>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</si>
  <si>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</si>
  <si>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</si>
  <si>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</si>
  <si>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</si>
  <si>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</si>
  <si>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</si>
  <si>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</si>
  <si>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</si>
  <si>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</si>
  <si>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</si>
  <si>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</si>
  <si>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</si>
  <si>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</si>
  <si>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</si>
  <si>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</si>
  <si>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</si>
  <si>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</si>
  <si>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</si>
  <si>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</si>
  <si>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</si>
  <si>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</si>
  <si>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</si>
  <si>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</si>
  <si>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</si>
  <si>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</si>
  <si>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</si>
  <si>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</si>
  <si>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</si>
  <si>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</si>
  <si>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</si>
  <si>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</si>
  <si>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</si>
  <si>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</si>
  <si>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</si>
  <si>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</si>
  <si>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</si>
  <si>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</si>
  <si>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</si>
  <si>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</si>
  <si>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</si>
  <si>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</si>
  <si>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</si>
  <si>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</si>
  <si>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</si>
  <si>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</si>
  <si>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</si>
  <si>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</si>
  <si>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</si>
  <si>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</si>
  <si>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</si>
  <si>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</si>
  <si>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</si>
  <si>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</si>
  <si>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</si>
  <si>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</si>
  <si>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</si>
  <si>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</si>
  <si>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</si>
  <si>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</si>
  <si>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</si>
  <si>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</si>
  <si>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</si>
  <si>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</si>
  <si>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</si>
  <si>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</si>
  <si>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</si>
  <si>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</si>
  <si>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</si>
  <si>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</si>
  <si>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</si>
  <si>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</si>
  <si>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</si>
  <si>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</si>
  <si>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</si>
  <si>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</si>
  <si>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</si>
  <si>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</si>
  <si>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</si>
  <si>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</si>
  <si>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</si>
  <si>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</si>
  <si>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</si>
  <si>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</si>
  <si>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</si>
  <si>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</si>
  <si>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</si>
  <si>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</si>
  <si>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</si>
  <si>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</si>
  <si>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</si>
  <si>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</si>
  <si>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</si>
  <si>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</si>
  <si>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</si>
  <si>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</si>
  <si>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</si>
  <si>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</si>
  <si>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</si>
  <si>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</si>
  <si>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</si>
  <si>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</si>
  <si>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</si>
  <si>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</si>
  <si>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</si>
  <si>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</si>
  <si>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</si>
  <si>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</si>
  <si>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</si>
  <si>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</si>
  <si>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</si>
  <si>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</si>
  <si>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</si>
  <si>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</si>
  <si>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</si>
  <si>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</si>
  <si>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</si>
  <si>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</si>
  <si>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</si>
  <si>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</si>
  <si>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</si>
  <si>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</si>
  <si>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</si>
  <si>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</si>
  <si>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</si>
  <si>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</si>
  <si>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</si>
  <si>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</si>
  <si>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</si>
  <si>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</si>
  <si>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</si>
  <si>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</si>
  <si>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</si>
  <si>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</si>
  <si>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</si>
  <si>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</si>
  <si>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</si>
  <si>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</si>
  <si>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</si>
  <si>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</si>
  <si>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</si>
  <si>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</si>
  <si>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</si>
  <si>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</si>
  <si>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</si>
  <si>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</si>
  <si>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</si>
  <si>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</si>
  <si>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</si>
  <si>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</si>
  <si>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</si>
  <si>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</si>
  <si>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</si>
  <si>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</si>
  <si>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</si>
  <si>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</si>
  <si>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</si>
  <si>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</si>
  <si>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</si>
  <si>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</si>
  <si>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</si>
  <si>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</si>
  <si>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</si>
  <si>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</si>
  <si>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</si>
  <si>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</si>
  <si>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</si>
  <si>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</si>
  <si>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</si>
  <si>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</si>
  <si>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</si>
  <si>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</si>
  <si>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</si>
  <si>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</si>
  <si>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</si>
  <si>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</si>
  <si>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</si>
  <si>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</si>
  <si>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</si>
  <si>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</si>
  <si>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</si>
  <si>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</si>
  <si>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</si>
  <si>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</si>
  <si>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</si>
  <si>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</si>
  <si>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</si>
  <si>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</si>
  <si>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</si>
  <si>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</si>
  <si>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</si>
  <si>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</si>
  <si>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</si>
  <si>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</si>
  <si>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</si>
  <si>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</si>
  <si>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</si>
  <si>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</si>
  <si>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</si>
  <si>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</si>
  <si>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</si>
  <si>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</si>
  <si>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</si>
  <si>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</si>
  <si>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</si>
  <si>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</si>
  <si>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</si>
  <si>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</si>
  <si>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</si>
  <si>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</si>
  <si>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</si>
  <si>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</si>
  <si>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</si>
  <si>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</si>
  <si>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</si>
  <si>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</si>
  <si>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</si>
  <si>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</si>
  <si>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</si>
  <si>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</si>
  <si>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</si>
  <si>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</si>
  <si>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</si>
  <si>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</si>
  <si>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</si>
  <si>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</si>
  <si>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</si>
  <si>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</si>
  <si>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</si>
  <si>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</si>
  <si>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</si>
  <si>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</si>
  <si>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</si>
  <si>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</si>
  <si>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</si>
  <si>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</si>
  <si>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</si>
  <si>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</si>
  <si>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</si>
  <si>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</si>
  <si>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</si>
  <si>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</si>
  <si>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</si>
  <si>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</si>
  <si>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</si>
  <si>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</si>
  <si>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</si>
  <si>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</si>
  <si>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</si>
  <si>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</si>
  <si>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</si>
  <si>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</si>
  <si>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</si>
  <si>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</si>
  <si>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</si>
  <si>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</si>
  <si>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</si>
  <si>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</si>
  <si>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</si>
  <si>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</si>
  <si>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</si>
  <si>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</si>
  <si>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</si>
  <si>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</si>
  <si>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</si>
  <si>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</si>
  <si>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</si>
  <si>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</si>
  <si>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</si>
  <si>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</si>
  <si>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</si>
  <si>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</si>
  <si>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</si>
  <si>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</si>
  <si>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</si>
  <si>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</si>
  <si>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</si>
  <si>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</si>
  <si>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</si>
  <si>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</si>
  <si>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</si>
  <si>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</si>
  <si>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</si>
  <si>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</si>
  <si>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</si>
  <si>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</si>
  <si>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</si>
  <si>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</si>
  <si>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</si>
  <si>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</si>
  <si>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</si>
  <si>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</si>
  <si>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</si>
  <si>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</si>
  <si>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</si>
  <si>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</si>
  <si>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</si>
  <si>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</si>
  <si>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</si>
  <si>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</si>
  <si>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</si>
  <si>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</si>
  <si>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</si>
  <si>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</si>
  <si>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</si>
  <si>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</si>
  <si>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</si>
  <si>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</si>
  <si>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</si>
  <si>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</si>
  <si>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</si>
  <si>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</si>
  <si>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</si>
  <si>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</si>
  <si>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</si>
  <si>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</si>
  <si>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</si>
  <si>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</si>
  <si>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</si>
  <si>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</si>
  <si>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</si>
  <si>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</si>
  <si>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</si>
  <si>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</si>
  <si>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</si>
  <si>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</si>
  <si>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</si>
  <si>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</si>
  <si>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</si>
  <si>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</si>
  <si>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</si>
  <si>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</si>
  <si>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</si>
  <si>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</si>
  <si>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</si>
  <si>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</si>
  <si>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</si>
  <si>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</si>
  <si>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</si>
  <si>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</si>
  <si>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</si>
  <si>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</si>
  <si>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</si>
  <si>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</si>
  <si>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</si>
  <si>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</si>
  <si>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</si>
  <si>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</si>
  <si>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</si>
  <si>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</si>
  <si>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</si>
  <si>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</si>
  <si>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</si>
  <si>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</si>
  <si>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</si>
  <si>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</si>
  <si>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</si>
  <si>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</si>
  <si>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</si>
  <si>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</si>
  <si>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</si>
  <si>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</si>
  <si>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</si>
  <si>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</si>
  <si>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</si>
  <si>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</si>
  <si>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</si>
  <si>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</si>
  <si>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</si>
  <si>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</si>
  <si>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</si>
  <si>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</si>
  <si>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</si>
  <si>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</si>
  <si>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</si>
  <si>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</si>
  <si>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</si>
  <si>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</si>
  <si>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</si>
  <si>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</si>
  <si>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</si>
  <si>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</si>
  <si>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</si>
  <si>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</si>
  <si>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</si>
  <si>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</si>
  <si>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</si>
  <si>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</si>
  <si>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</si>
  <si>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</si>
  <si>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</si>
  <si>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</si>
  <si>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</si>
  <si>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</si>
  <si>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</si>
  <si>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</si>
  <si>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</si>
  <si>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</si>
  <si>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</si>
  <si>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</si>
  <si>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</si>
  <si>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</si>
  <si>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</si>
  <si>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</si>
  <si>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</si>
  <si>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</si>
  <si>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</si>
  <si>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</si>
  <si>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</si>
  <si>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</si>
  <si>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</si>
  <si>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</si>
  <si>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</si>
  <si>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</si>
  <si>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</si>
  <si>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</si>
  <si>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</si>
  <si>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</si>
  <si>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</si>
  <si>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</si>
  <si>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</si>
  <si>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</si>
  <si>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</si>
  <si>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</si>
  <si>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</si>
  <si>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</si>
  <si>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</si>
  <si>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</si>
  <si>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</si>
  <si>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</si>
  <si>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</si>
  <si>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</si>
  <si>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</si>
  <si>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</si>
  <si>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</si>
  <si>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</si>
  <si>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</si>
  <si>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</si>
  <si>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</si>
  <si>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</si>
  <si>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</si>
  <si>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</si>
  <si>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</si>
  <si>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</si>
  <si>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</si>
  <si>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</si>
  <si>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</si>
  <si>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</si>
  <si>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</si>
  <si>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</si>
  <si>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</si>
  <si>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</si>
  <si>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</si>
  <si>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</si>
  <si>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</si>
  <si>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</si>
  <si>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</si>
  <si>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</si>
  <si>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</si>
  <si>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</si>
  <si>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</si>
  <si>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</si>
  <si>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</si>
  <si>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</si>
  <si>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</si>
  <si>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</si>
  <si>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</si>
  <si>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</si>
  <si>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</si>
  <si>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</si>
  <si>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</si>
  <si>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</si>
  <si>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</si>
  <si>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</si>
  <si>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</si>
  <si>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</si>
  <si>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</si>
  <si>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</si>
  <si>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</si>
  <si>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</si>
  <si>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</si>
  <si>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</si>
  <si>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</si>
  <si>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</si>
  <si>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</si>
  <si>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</si>
  <si>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</si>
  <si>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</si>
  <si>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</si>
  <si>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</si>
  <si>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</si>
  <si>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</si>
  <si>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</si>
  <si>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</si>
  <si>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</si>
  <si>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</si>
  <si>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</si>
  <si>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</si>
  <si>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</si>
  <si>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</si>
  <si>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</si>
  <si>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</si>
  <si>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</si>
  <si>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</si>
  <si>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</si>
  <si>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</si>
  <si>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</si>
  <si>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</si>
  <si>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</si>
  <si>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</si>
  <si>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</si>
  <si>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</si>
  <si>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</si>
  <si>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</si>
  <si>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</si>
  <si>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</si>
  <si>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</si>
  <si>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</si>
  <si>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</si>
  <si>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</si>
  <si>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</si>
  <si>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</si>
  <si>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</si>
  <si>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</si>
  <si>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</si>
  <si>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</si>
  <si>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</si>
  <si>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</si>
  <si>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</si>
  <si>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</si>
  <si>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</si>
  <si>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</si>
  <si>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</si>
  <si>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</si>
  <si>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</si>
  <si>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</si>
  <si>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</si>
  <si>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</si>
  <si>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</si>
  <si>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</si>
  <si>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</si>
  <si>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</si>
  <si>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</si>
  <si>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</si>
  <si>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</si>
  <si>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</si>
  <si>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</si>
  <si>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</si>
  <si>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</si>
  <si>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</si>
  <si>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</si>
  <si>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</si>
  <si>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</si>
  <si>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</si>
  <si>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</si>
  <si>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</si>
  <si>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</si>
  <si>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</si>
  <si>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</si>
  <si>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</si>
  <si>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</si>
  <si>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</si>
  <si>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</si>
  <si>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</si>
  <si>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</si>
  <si>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</si>
  <si>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</si>
  <si>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</si>
  <si>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</si>
  <si>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</si>
  <si>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</si>
  <si>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</si>
  <si>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</si>
  <si>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</si>
  <si>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</si>
  <si>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</si>
  <si>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</si>
  <si>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</si>
  <si>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</si>
  <si>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</si>
  <si>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</si>
  <si>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</si>
  <si>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</si>
  <si>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</si>
  <si>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</si>
  <si>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</si>
  <si>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</si>
  <si>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</si>
  <si>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</si>
  <si>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</si>
  <si>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</si>
  <si>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</si>
  <si>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</si>
  <si>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</si>
  <si>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</si>
  <si>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</si>
  <si>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</si>
  <si>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</si>
  <si>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</si>
  <si>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</si>
  <si>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</si>
  <si>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</si>
  <si>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</si>
  <si>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</si>
  <si>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</si>
  <si>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</si>
  <si>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</si>
  <si>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</si>
  <si>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</si>
  <si>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</si>
  <si>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</si>
  <si>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</si>
  <si>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</si>
  <si>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</si>
  <si>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</si>
  <si>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</si>
  <si>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</si>
  <si>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</si>
  <si>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</si>
  <si>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</si>
  <si>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</si>
  <si>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</si>
  <si>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</si>
  <si>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</si>
  <si>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</si>
  <si>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</si>
  <si>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</si>
  <si>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</si>
  <si>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</si>
  <si>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</si>
  <si>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</si>
  <si>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</si>
  <si>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</si>
  <si>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</si>
  <si>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</si>
  <si>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</si>
  <si>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</si>
  <si>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</si>
  <si>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</si>
  <si>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</si>
  <si>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</si>
  <si>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</si>
  <si>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</si>
  <si>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</si>
  <si>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</si>
  <si>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</si>
  <si>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</si>
  <si>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</si>
  <si>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</si>
  <si>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</si>
  <si>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</si>
  <si>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</si>
  <si>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</si>
  <si>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</si>
  <si>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</si>
  <si>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</si>
  <si>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</si>
  <si>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</si>
  <si>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</si>
  <si>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</si>
  <si>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</si>
  <si>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</si>
  <si>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</si>
  <si>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</si>
  <si>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</si>
  <si>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</si>
  <si>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</si>
  <si>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</si>
  <si>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</si>
  <si>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</si>
  <si>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</si>
  <si>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</si>
  <si>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</si>
  <si>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</si>
  <si>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</si>
  <si>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</si>
  <si>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</si>
  <si>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</si>
  <si>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</si>
  <si>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</si>
  <si>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</si>
  <si>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</si>
  <si>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</si>
  <si>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</si>
  <si>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</si>
  <si>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</si>
  <si>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</si>
  <si>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</si>
  <si>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</si>
  <si>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</si>
  <si>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</si>
  <si>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</si>
  <si>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</si>
  <si>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</si>
  <si>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</si>
  <si>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</si>
  <si>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</si>
  <si>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</si>
  <si>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</si>
  <si>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</si>
  <si>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</si>
  <si>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</si>
  <si>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</si>
  <si>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</si>
  <si>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</si>
  <si>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</si>
  <si>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</si>
  <si>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</si>
  <si>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</si>
  <si>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</si>
  <si>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</si>
  <si>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</si>
  <si>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</si>
  <si>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</si>
  <si>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</si>
  <si>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</si>
  <si>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</si>
  <si>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</si>
  <si>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</si>
  <si>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</si>
  <si>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</si>
  <si>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</si>
  <si>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</si>
  <si>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</si>
  <si>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</si>
  <si>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</si>
  <si>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</si>
  <si>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</si>
  <si>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</si>
  <si>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</si>
  <si>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</si>
  <si>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</si>
  <si>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</si>
  <si>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</si>
  <si>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</si>
  <si>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</si>
  <si>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</si>
  <si>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</si>
  <si>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</si>
  <si>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</si>
  <si>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</si>
  <si>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</si>
  <si>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</si>
  <si>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</si>
  <si>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</si>
  <si>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</si>
  <si>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</si>
  <si>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</si>
  <si>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</si>
  <si>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</si>
  <si>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</si>
  <si>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</si>
  <si>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</si>
  <si>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</si>
  <si>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</si>
  <si>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</si>
  <si>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</si>
  <si>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</si>
  <si>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</si>
  <si>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</si>
  <si>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</si>
  <si>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</si>
  <si>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</si>
  <si>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</si>
  <si>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</si>
  <si>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</si>
  <si>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</si>
  <si>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</si>
  <si>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</si>
  <si>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</si>
  <si>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</si>
  <si>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</si>
  <si>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</si>
  <si>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</si>
  <si>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</si>
  <si>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</si>
  <si>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</si>
  <si>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</si>
  <si>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</si>
  <si>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</si>
  <si>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</si>
  <si>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</si>
  <si>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</si>
  <si>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</si>
  <si>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</si>
  <si>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</si>
  <si>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</si>
  <si>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</si>
  <si>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</si>
  <si>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</si>
  <si>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</si>
  <si>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</si>
  <si>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</si>
  <si>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</si>
  <si>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</si>
  <si>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</si>
  <si>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</si>
  <si>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</si>
  <si>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</si>
  <si>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</si>
  <si>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</si>
  <si>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</si>
  <si>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</si>
  <si>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</si>
  <si>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</si>
  <si>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</si>
  <si>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</si>
  <si>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</si>
  <si>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</si>
  <si>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</si>
  <si>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</si>
  <si>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</si>
  <si>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</si>
  <si>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</si>
  <si>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</si>
  <si>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</si>
  <si>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</si>
  <si>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</si>
  <si>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</si>
  <si>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</si>
  <si>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</si>
  <si>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</si>
  <si>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</si>
  <si>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</si>
  <si>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</si>
  <si>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</si>
  <si>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</si>
  <si>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</si>
  <si>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</si>
  <si>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</si>
  <si>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</si>
  <si>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</si>
  <si>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</si>
  <si>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</si>
  <si>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</si>
  <si>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</si>
  <si>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</si>
  <si>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</si>
  <si>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</si>
  <si>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</si>
  <si>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</si>
  <si>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</si>
  <si>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</si>
  <si>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</si>
  <si>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</si>
  <si>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</si>
  <si>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</si>
  <si>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</si>
  <si>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</si>
  <si>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</si>
  <si>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</si>
  <si>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</si>
  <si>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</si>
  <si>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</si>
  <si>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</si>
  <si>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</si>
  <si>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</si>
  <si>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</si>
  <si>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</si>
  <si>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</si>
  <si>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</si>
  <si>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</si>
  <si>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</si>
  <si>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</si>
  <si>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</si>
  <si>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</si>
  <si>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</si>
  <si>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</si>
  <si>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</si>
  <si>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</si>
  <si>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</si>
  <si>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</si>
  <si>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</si>
  <si>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</si>
  <si>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</si>
  <si>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</si>
  <si>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</si>
  <si>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</si>
  <si>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</si>
  <si>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</si>
  <si>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</si>
  <si>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</si>
  <si>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</si>
  <si>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</si>
  <si>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</si>
  <si>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</si>
  <si>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</si>
  <si>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</si>
  <si>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</si>
  <si>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</si>
  <si>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</si>
  <si>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</si>
  <si>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</si>
  <si>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</si>
  <si>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</si>
  <si>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</si>
  <si>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</si>
  <si>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</si>
  <si>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</si>
  <si>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</si>
  <si>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</si>
  <si>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</si>
  <si>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</si>
  <si>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</si>
  <si>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</si>
  <si>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</si>
  <si>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</si>
  <si>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</si>
  <si>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</si>
  <si>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</si>
  <si>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</si>
  <si>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</si>
  <si>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</si>
  <si>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</si>
  <si>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</si>
  <si>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</si>
  <si>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</si>
  <si>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</si>
  <si>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</si>
  <si>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</si>
  <si>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</si>
  <si>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</si>
  <si>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</si>
  <si>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</si>
  <si>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</si>
  <si>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</si>
  <si>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</si>
  <si>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</si>
  <si>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</si>
  <si>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</si>
  <si>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</si>
  <si>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</si>
  <si>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</si>
  <si>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</si>
  <si>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</si>
  <si>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</si>
  <si>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</si>
  <si>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</si>
  <si>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</si>
  <si>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</si>
  <si>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</si>
  <si>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</si>
  <si>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</si>
  <si>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</si>
  <si>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</si>
  <si>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</si>
  <si>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</si>
  <si>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</si>
  <si>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</si>
  <si>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</si>
  <si>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</si>
  <si>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</si>
  <si>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</si>
  <si>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</si>
  <si>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</si>
  <si>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</si>
  <si>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</si>
  <si>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</si>
  <si>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</si>
  <si>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</si>
  <si>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</si>
  <si>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</si>
  <si>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</si>
  <si>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</si>
  <si>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</si>
  <si>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</si>
  <si>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</si>
  <si>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</si>
  <si>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</si>
  <si>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</si>
  <si>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</si>
  <si>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</si>
  <si>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</si>
  <si>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</si>
  <si>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</si>
  <si>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</si>
  <si>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</si>
  <si>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</si>
  <si>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</si>
  <si>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</si>
  <si>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</si>
  <si>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</si>
  <si>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</si>
  <si>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</si>
  <si>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</si>
  <si>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</si>
  <si>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</si>
  <si>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</si>
  <si>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</si>
  <si>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</si>
  <si>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</si>
  <si>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</si>
  <si>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</si>
  <si>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</si>
  <si>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</si>
  <si>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</si>
  <si>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</si>
  <si>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</si>
  <si>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</si>
  <si>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</si>
  <si>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</si>
  <si>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</si>
  <si>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</si>
  <si>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</si>
  <si>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</si>
  <si>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</si>
  <si>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</si>
  <si>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</si>
  <si>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</si>
  <si>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</si>
  <si>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</si>
  <si>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</si>
  <si>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</si>
  <si>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</si>
  <si>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</si>
  <si>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</si>
  <si>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</si>
  <si>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</si>
  <si>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</si>
  <si>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</si>
  <si>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</si>
  <si>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</si>
  <si>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</si>
  <si>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</si>
  <si>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</si>
  <si>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</si>
  <si>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</si>
  <si>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</si>
  <si>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</si>
  <si>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</si>
  <si>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</si>
  <si>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</si>
  <si>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</si>
  <si>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</si>
  <si>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</si>
  <si>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</si>
  <si>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</si>
  <si>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</si>
  <si>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</si>
  <si>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</si>
  <si>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</si>
  <si>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</si>
  <si>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</si>
  <si>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</si>
  <si>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</si>
  <si>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</si>
  <si>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</si>
  <si>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</si>
  <si>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</si>
  <si>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</si>
  <si>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</si>
  <si>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</si>
  <si>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</si>
  <si>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</si>
  <si>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</si>
  <si>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</si>
  <si>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</si>
  <si>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</si>
  <si>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</si>
  <si>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</si>
  <si>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</si>
  <si>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</si>
  <si>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</si>
  <si>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</si>
  <si>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</si>
  <si>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</si>
  <si>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</si>
  <si>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</si>
  <si>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</si>
  <si>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</si>
  <si>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</si>
  <si>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</si>
  <si>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</si>
  <si>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</si>
  <si>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</si>
  <si>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</si>
  <si>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</si>
  <si>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</si>
  <si>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</si>
  <si>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</si>
  <si>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</si>
  <si>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</si>
  <si>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</si>
  <si>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</si>
  <si>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</si>
  <si>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</si>
  <si>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</si>
  <si>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</si>
  <si>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</si>
  <si>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</si>
  <si>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</si>
  <si>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</si>
  <si>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</si>
  <si>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</si>
  <si>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</si>
  <si>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</si>
  <si>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</si>
  <si>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</si>
  <si>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</si>
  <si>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</si>
  <si>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</si>
  <si>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</si>
  <si>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</si>
  <si>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</si>
  <si>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</si>
  <si>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</si>
  <si>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</si>
  <si>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</si>
  <si>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</si>
  <si>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</si>
  <si>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</si>
  <si>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</si>
  <si>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</si>
  <si>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</si>
  <si>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</si>
  <si>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</si>
  <si>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</si>
  <si>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</si>
  <si>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</si>
  <si>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</si>
  <si>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</si>
  <si>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</si>
  <si>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</si>
  <si>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</si>
  <si>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</si>
  <si>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</si>
  <si>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</si>
  <si>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</si>
  <si>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</si>
  <si>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</si>
  <si>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</si>
  <si>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</si>
  <si>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</si>
  <si>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</si>
  <si>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</si>
  <si>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</si>
  <si>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</si>
  <si>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</si>
  <si>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</si>
  <si>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</si>
  <si>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</si>
  <si>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</si>
  <si>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</si>
  <si>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</si>
  <si>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</si>
  <si>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</si>
  <si>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</si>
  <si>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</si>
  <si>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</si>
  <si>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</si>
  <si>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</si>
  <si>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</si>
  <si>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</si>
  <si>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</si>
  <si>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</si>
  <si>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</si>
  <si>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</si>
  <si>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</si>
  <si>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</si>
  <si>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</si>
  <si>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</si>
  <si>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</si>
  <si>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</si>
  <si>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</si>
  <si>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</si>
  <si>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</si>
  <si>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</si>
  <si>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</si>
  <si>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</si>
  <si>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</si>
  <si>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</si>
  <si>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</si>
  <si>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</si>
  <si>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</si>
  <si>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</si>
  <si>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</si>
  <si>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</si>
  <si>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</si>
  <si>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</si>
  <si>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</si>
  <si>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</si>
  <si>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</si>
  <si>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</si>
  <si>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</si>
  <si>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</si>
  <si>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</si>
  <si>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</si>
  <si>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</si>
  <si>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</si>
  <si>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</si>
  <si>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</si>
  <si>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</si>
  <si>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</si>
  <si>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</si>
  <si>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</si>
  <si>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</si>
  <si>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</si>
  <si>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</si>
  <si>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</si>
  <si>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</si>
  <si>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</si>
  <si>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</si>
  <si>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</si>
  <si>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</si>
  <si>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</si>
  <si>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</si>
  <si>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</si>
  <si>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</si>
  <si>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</si>
  <si>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</si>
  <si>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</si>
  <si>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</si>
  <si>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</si>
  <si>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</si>
  <si>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</si>
  <si>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</si>
  <si>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</si>
  <si>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</si>
  <si>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</si>
  <si>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</si>
  <si>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</si>
  <si>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</si>
  <si>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</si>
  <si>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</si>
  <si>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</si>
  <si>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</si>
  <si>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</si>
  <si>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</si>
  <si>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</si>
  <si>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</si>
  <si>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</si>
  <si>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</si>
  <si>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</si>
  <si>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</si>
  <si>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</si>
  <si>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</si>
  <si>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</si>
  <si>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</si>
  <si>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</si>
  <si>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</si>
  <si>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</si>
  <si>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</si>
  <si>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</si>
  <si>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</si>
  <si>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</si>
  <si>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</si>
  <si>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</si>
  <si>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</si>
  <si>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</si>
  <si>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</si>
  <si>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</si>
  <si>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</si>
  <si>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</si>
  <si>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</si>
  <si>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</si>
  <si>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</si>
  <si>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</si>
  <si>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</si>
  <si>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</si>
  <si>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</si>
  <si>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</si>
  <si>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</si>
  <si>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</si>
  <si>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</si>
  <si>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</si>
  <si>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</si>
  <si>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</si>
  <si>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</si>
  <si>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</si>
  <si>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</si>
  <si>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</si>
  <si>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</si>
  <si>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</si>
  <si>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</si>
  <si>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</si>
  <si>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</si>
  <si>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</si>
  <si>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</si>
  <si>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</si>
  <si>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</si>
  <si>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</si>
  <si>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</si>
  <si>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</si>
  <si>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</si>
  <si>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</si>
  <si>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</si>
  <si>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</si>
  <si>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</si>
  <si>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</si>
  <si>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</si>
  <si>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</si>
  <si>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</si>
  <si>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</si>
  <si>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</si>
  <si>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</si>
  <si>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</si>
  <si>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</si>
  <si>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</si>
  <si>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</si>
  <si>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</si>
  <si>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</si>
  <si>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</si>
  <si>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</si>
  <si>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</si>
  <si>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</si>
  <si>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</si>
  <si>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</si>
  <si>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</si>
  <si>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</si>
  <si>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</si>
  <si>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</si>
  <si>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</si>
  <si>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</si>
  <si>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</si>
  <si>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</si>
  <si>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</si>
  <si>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</si>
  <si>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</si>
  <si>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</si>
  <si>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</si>
  <si>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</si>
  <si>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</si>
  <si>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</si>
  <si>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</si>
  <si>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</si>
  <si>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</si>
  <si>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</si>
  <si>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</si>
  <si>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</si>
  <si>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</si>
  <si>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</si>
  <si>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</si>
  <si>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</si>
  <si>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</si>
  <si>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</si>
  <si>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</si>
  <si>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</si>
  <si>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</si>
  <si>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</si>
  <si>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</si>
  <si>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</si>
  <si>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</si>
  <si>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</si>
  <si>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</si>
  <si>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</si>
  <si>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</si>
  <si>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</si>
  <si>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</si>
  <si>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</si>
  <si>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</si>
  <si>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</si>
  <si>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</si>
  <si>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</si>
  <si>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</si>
  <si>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</si>
  <si>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</si>
  <si>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</si>
  <si>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</si>
  <si>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</si>
  <si>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</si>
  <si>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</si>
  <si>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</si>
  <si>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</si>
  <si>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</si>
  <si>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</si>
  <si>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</si>
  <si>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</si>
  <si>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</si>
  <si>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</si>
  <si>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</si>
  <si>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</si>
  <si>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</si>
  <si>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</si>
  <si>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</si>
  <si>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</si>
  <si>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</si>
  <si>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</si>
  <si>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</si>
  <si>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</si>
  <si>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</si>
  <si>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</si>
  <si>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</si>
  <si>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</si>
  <si>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</si>
  <si>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</si>
  <si>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</si>
  <si>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</si>
  <si>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</si>
  <si>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</si>
  <si>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</si>
  <si>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</si>
  <si>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</si>
  <si>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</si>
  <si>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</si>
  <si>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</si>
  <si>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</si>
  <si>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</si>
  <si>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</si>
  <si>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</si>
  <si>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</si>
  <si>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</si>
  <si>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</si>
  <si>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</si>
  <si>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</si>
  <si>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</si>
  <si>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</si>
  <si>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</si>
  <si>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</si>
  <si>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</si>
  <si>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</si>
  <si>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</si>
  <si>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</si>
  <si>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</si>
  <si>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</si>
  <si>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</si>
  <si>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</si>
  <si>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</si>
  <si>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</si>
  <si>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</si>
  <si>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</si>
  <si>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</si>
  <si>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</si>
  <si>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</si>
  <si>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</si>
  <si>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</si>
  <si>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</si>
  <si>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</si>
  <si>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</si>
  <si>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</si>
  <si>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</si>
  <si>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</si>
  <si>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</si>
  <si>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</si>
  <si>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</si>
  <si>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</si>
  <si>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</si>
  <si>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</si>
  <si>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</si>
  <si>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</si>
  <si>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</si>
  <si>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</si>
  <si>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</si>
  <si>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</si>
  <si>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</si>
  <si>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</si>
  <si>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</si>
  <si>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</si>
  <si>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</si>
  <si>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</si>
  <si>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</si>
  <si>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</si>
  <si>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</si>
  <si>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</si>
  <si>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</si>
  <si>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</si>
  <si>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</si>
  <si>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</si>
  <si>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</si>
  <si>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</si>
  <si>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</si>
  <si>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</si>
  <si>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</si>
  <si>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</si>
  <si>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</si>
  <si>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</si>
  <si>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</si>
  <si>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</si>
  <si>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</si>
  <si>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</si>
  <si>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</si>
  <si>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</si>
  <si>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</si>
  <si>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</si>
  <si>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</si>
  <si>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</si>
  <si>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</si>
  <si>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</si>
  <si>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</si>
  <si>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</si>
  <si>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</si>
  <si>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</si>
  <si>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</si>
  <si>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</si>
  <si>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</si>
  <si>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</si>
  <si>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</si>
  <si>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</si>
  <si>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</si>
  <si>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</si>
  <si>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</si>
  <si>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</si>
  <si>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</si>
  <si>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</si>
  <si>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</si>
  <si>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</si>
  <si>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</si>
  <si>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</si>
  <si>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</si>
  <si>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</si>
  <si>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</si>
  <si>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</si>
  <si>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</si>
  <si>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</si>
  <si>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</si>
  <si>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</si>
  <si>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</si>
  <si>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</si>
  <si>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</si>
  <si>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</si>
  <si>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</si>
  <si>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</si>
  <si>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</si>
  <si>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</si>
  <si>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</si>
  <si>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</si>
  <si>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</si>
  <si>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</si>
  <si>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</si>
  <si>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</si>
  <si>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</si>
  <si>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</si>
  <si>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</si>
  <si>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</si>
  <si>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</si>
  <si>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</si>
  <si>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</si>
  <si>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</si>
  <si>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</si>
  <si>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</si>
  <si>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</si>
  <si>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</si>
  <si>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</si>
  <si>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</si>
  <si>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</si>
  <si>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</si>
  <si>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</si>
  <si>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</si>
  <si>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</si>
  <si>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</si>
  <si>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</si>
  <si>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</si>
  <si>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</si>
  <si>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</si>
  <si>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</si>
  <si>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</si>
  <si>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</si>
  <si>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</si>
  <si>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</si>
  <si>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</si>
  <si>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</si>
  <si>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</si>
  <si>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</si>
  <si>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</si>
  <si>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</si>
  <si>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</si>
  <si>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</si>
  <si>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</si>
  <si>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</si>
  <si>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</si>
  <si>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</si>
  <si>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</si>
  <si>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</si>
  <si>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</si>
  <si>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</si>
  <si>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</si>
  <si>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</si>
  <si>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</si>
  <si>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</si>
  <si>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</si>
  <si>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</si>
  <si>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</si>
  <si>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</si>
  <si>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</si>
  <si>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</si>
  <si>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</si>
  <si>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</si>
  <si>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</si>
  <si>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</si>
  <si>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</si>
  <si>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</si>
  <si>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</si>
  <si>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</si>
  <si>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</si>
  <si>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</si>
  <si>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</si>
  <si>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</si>
  <si>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</si>
  <si>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</si>
  <si>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</si>
  <si>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</si>
  <si>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</si>
  <si>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</si>
  <si>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</si>
  <si>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</si>
  <si>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</si>
  <si>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</si>
  <si>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</si>
  <si>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</si>
  <si>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</si>
  <si>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</si>
  <si>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</si>
  <si>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</si>
  <si>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</si>
  <si>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</si>
  <si>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</si>
  <si>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</si>
  <si>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</si>
  <si>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</si>
  <si>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</si>
  <si>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</si>
  <si>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</si>
  <si>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</si>
  <si>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</si>
  <si>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</si>
  <si>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</si>
  <si>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</si>
  <si>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</si>
  <si>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</si>
  <si>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</si>
  <si>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</si>
  <si>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</si>
  <si>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</si>
  <si>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</si>
  <si>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</si>
  <si>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</si>
  <si>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</si>
  <si>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</si>
  <si>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</si>
  <si>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</si>
  <si>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</si>
  <si>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</si>
  <si>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</si>
  <si>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</si>
  <si>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</si>
  <si>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</si>
  <si>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</si>
  <si>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</si>
  <si>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</si>
  <si>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</si>
  <si>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</si>
  <si>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</si>
  <si>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</si>
  <si>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</si>
  <si>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</si>
  <si>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</si>
  <si>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</si>
  <si>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</si>
  <si>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</si>
  <si>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</si>
  <si>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</si>
  <si>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</si>
  <si>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</si>
  <si>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</si>
  <si>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</si>
  <si>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</si>
  <si>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</si>
  <si>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</si>
  <si>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</si>
  <si>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</si>
  <si>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</si>
  <si>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</si>
  <si>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</si>
  <si>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</si>
  <si>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</si>
  <si>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</si>
  <si>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</si>
  <si>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</si>
  <si>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</si>
  <si>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</si>
  <si>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</si>
  <si>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</si>
  <si>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</si>
  <si>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</si>
  <si>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</si>
  <si>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</si>
  <si>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</si>
  <si>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</si>
  <si>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</si>
  <si>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</si>
  <si>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</si>
  <si>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</si>
  <si>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</si>
  <si>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</si>
  <si>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</si>
  <si>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</si>
  <si>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</si>
  <si>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</si>
  <si>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</si>
  <si>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</si>
  <si>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</si>
  <si>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</si>
  <si>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</si>
  <si>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</si>
  <si>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</si>
  <si>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</si>
  <si>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</si>
  <si>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</si>
  <si>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</si>
  <si>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</si>
  <si>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</si>
  <si>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</si>
  <si>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</si>
  <si>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</si>
  <si>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</si>
  <si>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</si>
  <si>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</si>
  <si>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</si>
  <si>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</si>
  <si>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</si>
  <si>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</si>
  <si>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</si>
  <si>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</si>
  <si>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</si>
  <si>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</si>
  <si>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</si>
  <si>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</si>
  <si>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</si>
  <si>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</si>
  <si>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</si>
  <si>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</si>
  <si>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</si>
  <si>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</si>
  <si>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</si>
  <si>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</si>
  <si>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</si>
  <si>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</si>
  <si>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</si>
  <si>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</si>
  <si>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</si>
  <si>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</si>
  <si>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</si>
  <si>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</si>
  <si>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</si>
  <si>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</si>
  <si>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</si>
  <si>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</si>
  <si>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</si>
  <si>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</si>
  <si>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</si>
  <si>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</si>
  <si>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</si>
  <si>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</si>
  <si>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</si>
  <si>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</si>
  <si>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</si>
  <si>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</si>
  <si>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</si>
  <si>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</si>
  <si>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</si>
  <si>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</si>
  <si>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</si>
  <si>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</si>
  <si>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</si>
  <si>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</si>
  <si>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</si>
  <si>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</si>
  <si>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</si>
  <si>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</si>
  <si>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</si>
  <si>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</si>
  <si>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</si>
  <si>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</si>
  <si>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</si>
  <si>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</si>
  <si>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</si>
  <si>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</si>
  <si>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</si>
  <si>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</si>
  <si>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</si>
  <si>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</si>
  <si>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</si>
  <si>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</si>
  <si>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</si>
  <si>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</si>
  <si>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</si>
  <si>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</si>
  <si>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</si>
  <si>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</si>
  <si>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</si>
  <si>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</si>
  <si>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</si>
  <si>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</si>
  <si>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</si>
  <si>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</si>
  <si>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</si>
  <si>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</si>
  <si>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</si>
  <si>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</si>
  <si>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</si>
  <si>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</si>
  <si>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</si>
  <si>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</si>
  <si>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</si>
  <si>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</si>
  <si>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</si>
  <si>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</si>
  <si>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</si>
  <si>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</si>
  <si>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</si>
  <si>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</si>
  <si>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</si>
  <si>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</si>
  <si>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</si>
  <si>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</si>
  <si>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</si>
  <si>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</si>
  <si>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</si>
  <si>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</si>
  <si>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</si>
  <si>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</si>
  <si>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</si>
  <si>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</si>
  <si>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</si>
  <si>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</si>
  <si>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</si>
  <si>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</si>
  <si>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</si>
  <si>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</si>
  <si>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</si>
  <si>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</si>
  <si>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</si>
  <si>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</si>
  <si>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</si>
  <si>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</si>
  <si>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</si>
  <si>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</si>
  <si>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</si>
  <si>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</si>
  <si>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</si>
  <si>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</si>
  <si>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</si>
  <si>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</si>
  <si>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</si>
  <si>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</si>
  <si>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</si>
  <si>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</si>
  <si>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</si>
  <si>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</si>
  <si>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</si>
  <si>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</si>
  <si>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</si>
  <si>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</si>
  <si>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</si>
  <si>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</si>
  <si>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</si>
  <si>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</si>
  <si>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</si>
  <si>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</si>
  <si>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</si>
  <si>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</si>
  <si>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</si>
  <si>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</si>
  <si>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</si>
  <si>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</si>
  <si>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</si>
  <si>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</si>
  <si>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</si>
  <si>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</si>
  <si>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</si>
  <si>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</si>
  <si>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</si>
  <si>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</si>
  <si>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</si>
  <si>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</si>
  <si>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</si>
  <si>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</si>
  <si>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</si>
  <si>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</si>
  <si>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</si>
  <si>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</si>
  <si>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</si>
  <si>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</si>
  <si>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</si>
  <si>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</si>
  <si>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</si>
  <si>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</si>
  <si>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</si>
  <si>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</si>
  <si>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</si>
  <si>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</si>
  <si>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</si>
  <si>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</si>
  <si>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</si>
  <si>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</si>
  <si>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</si>
  <si>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</si>
  <si>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</si>
  <si>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</si>
  <si>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</si>
  <si>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</si>
  <si>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</si>
  <si>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</si>
  <si>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</si>
  <si>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</si>
  <si>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</si>
  <si>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</si>
  <si>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</si>
  <si>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</si>
  <si>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</si>
  <si>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</si>
  <si>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</si>
  <si>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</si>
  <si>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</si>
  <si>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</si>
  <si>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</si>
  <si>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</si>
  <si>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</si>
  <si>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</si>
  <si>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</si>
  <si>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</si>
  <si>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</si>
  <si>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</si>
  <si>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</si>
  <si>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</si>
  <si>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</si>
  <si>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</si>
  <si>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</si>
  <si>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</si>
  <si>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</si>
  <si>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</si>
  <si>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</si>
  <si>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</si>
  <si>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</si>
  <si>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</si>
  <si>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</si>
  <si>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</si>
  <si>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</si>
  <si>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</si>
  <si>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</si>
  <si>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</si>
  <si>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</si>
  <si>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</si>
  <si>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</si>
  <si>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</si>
  <si>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</si>
  <si>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</si>
  <si>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</si>
  <si>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</si>
  <si>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</si>
  <si>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</si>
  <si>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</si>
  <si>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</si>
  <si>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</si>
  <si>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</si>
  <si>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</si>
  <si>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</si>
  <si>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</si>
  <si>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</si>
  <si>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</si>
  <si>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</si>
  <si>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</si>
  <si>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</si>
  <si>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</si>
  <si>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</si>
  <si>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</si>
  <si>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</si>
  <si>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</si>
  <si>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</si>
  <si>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</si>
  <si>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VERMILION</t>
  </si>
  <si>
    <t>15009 CATLIN-TILTON ROAD</t>
  </si>
  <si>
    <t>DANVILLE</t>
  </si>
  <si>
    <t>Kristin Dunker</t>
  </si>
  <si>
    <t>dunkerk@vase.k12.il.us</t>
  </si>
  <si>
    <t>217-443-8273</t>
  </si>
  <si>
    <t>217-443-0217</t>
  </si>
  <si>
    <t>RUSSELL LEIGH &amp; ASSOICATES</t>
  </si>
  <si>
    <t>RUSS LEIGH</t>
  </si>
  <si>
    <t>228 E MAIN ST</t>
  </si>
  <si>
    <t>HOOPESTON</t>
  </si>
  <si>
    <t>IL</t>
  </si>
  <si>
    <t>217-283-9336</t>
  </si>
  <si>
    <t>217-283-9736</t>
  </si>
  <si>
    <t>065.018319</t>
  </si>
  <si>
    <t>admin@russleigh.com</t>
  </si>
  <si>
    <t>Russell Leigh &amp; Associates</t>
  </si>
  <si>
    <t>No applicable contracts paid.</t>
  </si>
  <si>
    <t>x</t>
  </si>
  <si>
    <t>Page 11 - Acct 1999 - Other Local Revenue</t>
  </si>
  <si>
    <t>Col 10 - Educational</t>
  </si>
  <si>
    <t>Page 12 - Acct 3999 - Other Restricted Revenue from State Sources</t>
  </si>
  <si>
    <t>Page 14 - Acct 4999 - Other Restricted Revenue from Federal Sources</t>
  </si>
  <si>
    <t>Refunds &amp; Reimbursements - $45,177</t>
  </si>
  <si>
    <t>RSSP Career Ed Grant - $57,958</t>
  </si>
  <si>
    <t>Department of Human Services, Rehabilitation Services - $76,540</t>
  </si>
  <si>
    <t>Auditcheck Tab - #13 Contracts Paid Error</t>
  </si>
  <si>
    <t>No applicable contracts were paid during the year.</t>
  </si>
  <si>
    <t>The accompanying Schedule of Expenditures of Federal Awards includes the federal grant activity of Vermilion Association of Special Education and is presented on the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</si>
  <si>
    <t>Of the federal expenditures presented in the schedule, Vermilion Association of Special Education provided federal awards to subrecipients as follows:</t>
  </si>
  <si>
    <t>none</t>
  </si>
  <si>
    <r>
      <t xml:space="preserve">The following amounts were expended in the form of non-cash assistance by Vermilion Association of Special Education and </t>
    </r>
    <r>
      <rPr>
        <b/>
        <sz val="9"/>
        <rFont val="Calibri"/>
        <family val="2"/>
        <scheme val="minor"/>
      </rPr>
      <t>should be</t>
    </r>
    <r>
      <rPr>
        <sz val="9"/>
        <rFont val="Calibri"/>
        <family val="2"/>
        <scheme val="minor"/>
      </rPr>
      <t xml:space="preserve"> included in the Schedule of Expenditures of Federal Awards:</t>
    </r>
  </si>
  <si>
    <t>no</t>
  </si>
  <si>
    <t>U.S. Department of agriculture</t>
  </si>
  <si>
    <t xml:space="preserve">     Passed Through the Illinois State Board of Education</t>
  </si>
  <si>
    <t xml:space="preserve">       School Lunch-Regular</t>
  </si>
  <si>
    <t>18-4210</t>
  </si>
  <si>
    <t xml:space="preserve">       School Breakfast</t>
  </si>
  <si>
    <t>18-4220</t>
  </si>
  <si>
    <t xml:space="preserve">          Total U.S. Department of Agriculture</t>
  </si>
  <si>
    <t>U.S. Department of Education</t>
  </si>
  <si>
    <t xml:space="preserve">       Preschool-Flow Thru</t>
  </si>
  <si>
    <t>84.173a</t>
  </si>
  <si>
    <t>17-4600</t>
  </si>
  <si>
    <t xml:space="preserve">        Preschool-Flow Thru</t>
  </si>
  <si>
    <t>18-4600</t>
  </si>
  <si>
    <t>17-4620</t>
  </si>
  <si>
    <t>(M) IDEA -Flow Thru</t>
  </si>
  <si>
    <t>18-4620</t>
  </si>
  <si>
    <t xml:space="preserve">          Total U.S. Department of Education</t>
  </si>
  <si>
    <t>U.S. Department of Health and Human Services</t>
  </si>
  <si>
    <t xml:space="preserve">     Passed through the Illinois Department of Healthcare and Family Services</t>
  </si>
  <si>
    <t xml:space="preserve">       Rehab Services</t>
  </si>
  <si>
    <t>18-4998</t>
  </si>
  <si>
    <t xml:space="preserve">       Medicaid-Admin Outreach</t>
  </si>
  <si>
    <t>18-4991</t>
  </si>
  <si>
    <t xml:space="preserve">          Total U.S. Department of Health and Human Services</t>
  </si>
  <si>
    <t xml:space="preserve">          Total Federal Financial Assistance</t>
  </si>
  <si>
    <t>Qualified-Regulatory/Adverse-GAAP</t>
  </si>
  <si>
    <t xml:space="preserve"> x</t>
  </si>
  <si>
    <t>Unmodified</t>
  </si>
  <si>
    <t>IDEA-Flow Thru</t>
  </si>
  <si>
    <t>Vermilion Assoc for SpEd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</si>
</sst>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4">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1220932</xdr:colOff>
          <xdr:row>3</xdr:row>
          <xdr:rowOff>69274</xdr:rowOff>
        </xdr:from>
        <xdr:to>
          <xdr:col>1</xdr:col>
          <xdr:colOff>2135332</xdr:colOff>
          <xdr:row>7</xdr:row>
          <xdr:rowOff>107374</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1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1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7" sqref="A17:H17"/>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9" t="s">
        <v>425</v>
      </c>
      <c r="J1" s="2000"/>
      <c r="K1" s="2000"/>
      <c r="L1" s="2000"/>
      <c r="M1" s="2000"/>
      <c r="N1" s="2000"/>
      <c r="O1" s="2000"/>
      <c r="P1" s="2000"/>
      <c r="Q1" s="2000"/>
      <c r="R1" s="2000"/>
      <c r="S1" s="2000"/>
    </row>
    <row r="2" spans="1:28" ht="12" customHeight="1" x14ac:dyDescent="0.2">
      <c r="A2" s="47" t="s">
        <v>1684</v>
      </c>
      <c r="D2" s="48"/>
      <c r="I2" s="2001" t="s">
        <v>1036</v>
      </c>
      <c r="J2" s="2000"/>
      <c r="K2" s="2000"/>
      <c r="L2" s="2000"/>
      <c r="M2" s="2000"/>
      <c r="N2" s="2000"/>
      <c r="O2" s="2000"/>
      <c r="P2" s="2000"/>
      <c r="Q2" s="2000"/>
      <c r="R2" s="2000"/>
      <c r="S2" s="2000"/>
    </row>
    <row r="3" spans="1:28" ht="12" customHeight="1" x14ac:dyDescent="0.2">
      <c r="A3" s="155" t="s">
        <v>1685</v>
      </c>
      <c r="B3" s="156"/>
      <c r="C3" s="156"/>
      <c r="D3" s="157"/>
      <c r="I3" s="2001" t="s">
        <v>54</v>
      </c>
      <c r="J3" s="2000"/>
      <c r="K3" s="2000"/>
      <c r="L3" s="2000"/>
      <c r="M3" s="2000"/>
      <c r="N3" s="2000"/>
      <c r="O3" s="2000"/>
      <c r="P3" s="2000"/>
      <c r="Q3" s="2000"/>
      <c r="R3" s="2000"/>
      <c r="S3" s="2000"/>
    </row>
    <row r="4" spans="1:28" ht="12" customHeight="1" x14ac:dyDescent="0.2">
      <c r="A4" s="37"/>
      <c r="I4" s="2001" t="s">
        <v>545</v>
      </c>
      <c r="J4" s="2000"/>
      <c r="K4" s="2000"/>
      <c r="L4" s="2000"/>
      <c r="M4" s="2000"/>
      <c r="N4" s="2000"/>
      <c r="O4" s="2000"/>
      <c r="P4" s="2000"/>
      <c r="Q4" s="2000"/>
      <c r="R4" s="2000"/>
      <c r="S4" s="2000"/>
    </row>
    <row r="5" spans="1:28" ht="14.1" customHeight="1" x14ac:dyDescent="0.2">
      <c r="B5" s="104"/>
      <c r="C5" s="26" t="s">
        <v>966</v>
      </c>
      <c r="D5" s="84"/>
      <c r="E5" s="84"/>
      <c r="H5" s="38"/>
      <c r="I5" s="2009" t="s">
        <v>701</v>
      </c>
      <c r="J5" s="2008"/>
      <c r="K5" s="2008"/>
      <c r="L5" s="2008"/>
      <c r="M5" s="2008"/>
      <c r="N5" s="2008"/>
      <c r="O5" s="2008"/>
      <c r="P5" s="2008"/>
      <c r="Q5" s="2008"/>
      <c r="R5" s="2008"/>
      <c r="S5" s="2008"/>
    </row>
    <row r="6" spans="1:28" ht="14.1" customHeight="1" x14ac:dyDescent="0.2">
      <c r="B6" s="104" t="s">
        <v>2074</v>
      </c>
      <c r="C6" s="26" t="s">
        <v>967</v>
      </c>
      <c r="D6" s="84"/>
      <c r="E6" s="84"/>
      <c r="I6" s="2007" t="s">
        <v>938</v>
      </c>
      <c r="J6" s="2008"/>
      <c r="K6" s="2008"/>
      <c r="L6" s="2008"/>
      <c r="M6" s="2008"/>
      <c r="N6" s="2008"/>
      <c r="O6" s="2008"/>
      <c r="P6" s="2008"/>
      <c r="Q6" s="2008"/>
      <c r="R6" s="2008"/>
      <c r="S6" s="2008"/>
    </row>
    <row r="7" spans="1:28" ht="12.2" customHeight="1" x14ac:dyDescent="0.2">
      <c r="I7" s="2002">
        <v>43281</v>
      </c>
      <c r="J7" s="2003"/>
      <c r="K7" s="2003"/>
      <c r="L7" s="2003"/>
      <c r="M7" s="2003"/>
      <c r="N7" s="2003"/>
      <c r="O7" s="2003"/>
      <c r="P7" s="2003"/>
      <c r="Q7" s="2003"/>
      <c r="R7" s="2003"/>
      <c r="S7" s="2003"/>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4" t="s">
        <v>695</v>
      </c>
      <c r="J9" s="2005"/>
      <c r="K9" s="2005"/>
      <c r="L9" s="2005"/>
      <c r="M9" s="2005"/>
      <c r="N9" s="2005"/>
      <c r="O9" s="2005"/>
      <c r="P9" s="2005"/>
      <c r="Q9" s="2005"/>
      <c r="R9" s="2005"/>
      <c r="S9" s="2006"/>
      <c r="T9" s="2020" t="s">
        <v>554</v>
      </c>
      <c r="U9" s="2021"/>
      <c r="V9" s="2021"/>
      <c r="W9" s="2021"/>
      <c r="X9" s="2021"/>
      <c r="Y9" s="2021"/>
      <c r="Z9" s="2021"/>
      <c r="AA9" s="2022"/>
    </row>
    <row r="10" spans="1:28" ht="13.5" customHeight="1" x14ac:dyDescent="0.2">
      <c r="A10" s="2027" t="s">
        <v>696</v>
      </c>
      <c r="B10" s="2028"/>
      <c r="C10" s="2028"/>
      <c r="D10" s="2028"/>
      <c r="E10" s="2028"/>
      <c r="F10" s="2028"/>
      <c r="G10" s="2028"/>
      <c r="H10" s="2029"/>
      <c r="I10" s="29"/>
      <c r="J10" s="30"/>
      <c r="K10" s="28"/>
      <c r="R10" s="30"/>
      <c r="S10" s="30"/>
      <c r="T10" s="2023"/>
      <c r="U10" s="2008"/>
      <c r="V10" s="2008"/>
      <c r="W10" s="2008"/>
      <c r="X10" s="2008"/>
      <c r="Y10" s="2008"/>
      <c r="Z10" s="2008"/>
      <c r="AA10" s="2014"/>
    </row>
    <row r="11" spans="1:28" ht="14.25" customHeight="1" x14ac:dyDescent="0.2">
      <c r="A11" s="2030" t="s">
        <v>1012</v>
      </c>
      <c r="B11" s="2031"/>
      <c r="C11" s="2031"/>
      <c r="D11" s="2031"/>
      <c r="E11" s="2031"/>
      <c r="F11" s="2031"/>
      <c r="G11" s="2031"/>
      <c r="H11" s="2032"/>
      <c r="I11" s="27"/>
      <c r="J11" s="74"/>
      <c r="K11" s="27"/>
      <c r="O11" s="148" t="s">
        <v>2074</v>
      </c>
      <c r="P11" s="100" t="s">
        <v>210</v>
      </c>
      <c r="Q11" s="30"/>
      <c r="R11" s="28"/>
      <c r="S11" s="27"/>
      <c r="T11" s="2024"/>
      <c r="U11" s="2025"/>
      <c r="V11" s="2025"/>
      <c r="W11" s="2025"/>
      <c r="X11" s="2025"/>
      <c r="Y11" s="2025"/>
      <c r="Z11" s="2025"/>
      <c r="AA11" s="2026"/>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4">
        <v>54092801060</v>
      </c>
      <c r="B13" s="2035"/>
      <c r="C13" s="2035"/>
      <c r="D13" s="2035"/>
      <c r="E13" s="2035"/>
      <c r="F13" s="2035"/>
      <c r="G13" s="2035"/>
      <c r="H13" s="2036"/>
      <c r="I13" s="31"/>
      <c r="J13" s="30"/>
      <c r="K13" s="28"/>
      <c r="L13" s="30"/>
      <c r="M13" s="30"/>
      <c r="N13" s="30"/>
      <c r="O13" s="30"/>
      <c r="P13" s="30"/>
      <c r="Q13" s="30"/>
      <c r="R13" s="30"/>
      <c r="S13" s="30"/>
      <c r="T13" s="2039" t="s">
        <v>2082</v>
      </c>
      <c r="U13" s="2040"/>
      <c r="V13" s="2040"/>
      <c r="W13" s="2040"/>
      <c r="X13" s="2040"/>
      <c r="Y13" s="2041"/>
      <c r="Z13" s="2041"/>
      <c r="AA13" s="2042"/>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3" t="s">
        <v>2075</v>
      </c>
      <c r="B15" s="2037"/>
      <c r="C15" s="2037"/>
      <c r="D15" s="2037"/>
      <c r="E15" s="2037"/>
      <c r="F15" s="2037"/>
      <c r="G15" s="2037"/>
      <c r="H15" s="2038"/>
      <c r="T15" s="2043" t="s">
        <v>2083</v>
      </c>
      <c r="U15" s="1987"/>
      <c r="V15" s="1987"/>
      <c r="W15" s="1987"/>
      <c r="X15" s="1987"/>
      <c r="Y15" s="2044"/>
      <c r="Z15" s="2044"/>
      <c r="AA15" s="2045"/>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3" t="s">
        <v>2137</v>
      </c>
      <c r="B17" s="1994"/>
      <c r="C17" s="1994"/>
      <c r="D17" s="1994"/>
      <c r="E17" s="1994"/>
      <c r="F17" s="1994"/>
      <c r="G17" s="1994"/>
      <c r="H17" s="2019"/>
      <c r="T17" s="2050" t="s">
        <v>2084</v>
      </c>
      <c r="U17" s="2051"/>
      <c r="V17" s="2051"/>
      <c r="W17" s="2051"/>
      <c r="X17" s="2051"/>
      <c r="Y17" s="2051"/>
      <c r="Z17" s="2051"/>
      <c r="AA17" s="2052"/>
    </row>
    <row r="18" spans="1:27" ht="13.5" customHeight="1" x14ac:dyDescent="0.2">
      <c r="A18" s="85" t="s">
        <v>551</v>
      </c>
      <c r="B18" s="76"/>
      <c r="C18" s="72"/>
      <c r="D18" s="76"/>
      <c r="E18" s="76"/>
      <c r="F18" s="76"/>
      <c r="G18" s="76"/>
      <c r="H18" s="56"/>
      <c r="I18" s="2018" t="s">
        <v>697</v>
      </c>
      <c r="J18" s="1969"/>
      <c r="K18" s="1969"/>
      <c r="L18" s="1969"/>
      <c r="M18" s="1969"/>
      <c r="N18" s="1969"/>
      <c r="O18" s="1969"/>
      <c r="P18" s="1969"/>
      <c r="Q18" s="1969"/>
      <c r="R18" s="1969"/>
      <c r="S18" s="1970"/>
      <c r="T18" s="85" t="s">
        <v>735</v>
      </c>
      <c r="U18" s="51"/>
      <c r="V18" s="72"/>
      <c r="W18" s="50"/>
      <c r="X18" s="85" t="s">
        <v>284</v>
      </c>
      <c r="Y18" s="81"/>
      <c r="Z18" s="159" t="s">
        <v>698</v>
      </c>
      <c r="AA18" s="46"/>
    </row>
    <row r="19" spans="1:27" ht="13.5" customHeight="1" x14ac:dyDescent="0.2">
      <c r="A19" s="2033" t="s">
        <v>2076</v>
      </c>
      <c r="B19" s="1979"/>
      <c r="C19" s="1979"/>
      <c r="D19" s="1979"/>
      <c r="E19" s="1979"/>
      <c r="F19" s="1979"/>
      <c r="G19" s="1979"/>
      <c r="H19" s="1959"/>
      <c r="I19" s="30"/>
      <c r="J19" s="99"/>
      <c r="K19" s="40"/>
      <c r="L19" s="38"/>
      <c r="M19" s="112" t="s">
        <v>333</v>
      </c>
      <c r="P19" s="27"/>
      <c r="Q19" s="27"/>
      <c r="R19" s="27"/>
      <c r="S19" s="31"/>
      <c r="T19" s="2033" t="s">
        <v>2085</v>
      </c>
      <c r="U19" s="1958"/>
      <c r="V19" s="1958"/>
      <c r="W19" s="1959"/>
      <c r="X19" s="2048" t="s">
        <v>2086</v>
      </c>
      <c r="Y19" s="2049"/>
      <c r="Z19" s="2046">
        <v>60942</v>
      </c>
      <c r="AA19" s="2047"/>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7" t="s">
        <v>2077</v>
      </c>
      <c r="B21" s="1958"/>
      <c r="C21" s="1958"/>
      <c r="D21" s="1958"/>
      <c r="E21" s="1958"/>
      <c r="F21" s="1958"/>
      <c r="G21" s="1958"/>
      <c r="H21" s="1959"/>
      <c r="I21" s="2013" t="s">
        <v>699</v>
      </c>
      <c r="J21" s="2008"/>
      <c r="K21" s="2008"/>
      <c r="L21" s="2008"/>
      <c r="M21" s="2008"/>
      <c r="N21" s="2008"/>
      <c r="O21" s="2008"/>
      <c r="P21" s="2008"/>
      <c r="Q21" s="2008"/>
      <c r="R21" s="2008"/>
      <c r="S21" s="2014"/>
      <c r="T21" s="2058" t="s">
        <v>2087</v>
      </c>
      <c r="U21" s="2059"/>
      <c r="V21" s="2059"/>
      <c r="W21" s="2059"/>
      <c r="X21" s="2064" t="s">
        <v>2088</v>
      </c>
      <c r="Y21" s="2065"/>
      <c r="Z21" s="2065"/>
      <c r="AA21" s="2066"/>
    </row>
    <row r="22" spans="1:27" ht="13.5" customHeight="1" x14ac:dyDescent="0.2">
      <c r="A22" s="87" t="s">
        <v>552</v>
      </c>
      <c r="B22" s="59"/>
      <c r="C22" s="59"/>
      <c r="D22" s="59"/>
      <c r="E22" s="59"/>
      <c r="F22" s="59"/>
      <c r="G22" s="59"/>
      <c r="H22" s="60"/>
      <c r="I22" s="2015" t="s">
        <v>1504</v>
      </c>
      <c r="J22" s="2016"/>
      <c r="K22" s="2016"/>
      <c r="L22" s="2016"/>
      <c r="M22" s="2016"/>
      <c r="N22" s="2016"/>
      <c r="O22" s="2016"/>
      <c r="P22" s="2016"/>
      <c r="Q22" s="2016"/>
      <c r="R22" s="2016"/>
      <c r="S22" s="2017"/>
      <c r="T22" s="85" t="s">
        <v>1596</v>
      </c>
      <c r="U22" s="51"/>
      <c r="V22" s="72"/>
      <c r="W22" s="51"/>
      <c r="X22" s="160" t="s">
        <v>1385</v>
      </c>
      <c r="Z22" s="45"/>
      <c r="AA22" s="46"/>
    </row>
    <row r="23" spans="1:27" ht="13.5" customHeight="1" x14ac:dyDescent="0.2">
      <c r="A23" s="2010"/>
      <c r="B23" s="2011"/>
      <c r="C23" s="2011"/>
      <c r="D23" s="2011"/>
      <c r="E23" s="2011"/>
      <c r="F23" s="2011"/>
      <c r="G23" s="2011"/>
      <c r="H23" s="2012"/>
      <c r="T23" s="2056" t="s">
        <v>2089</v>
      </c>
      <c r="U23" s="2057"/>
      <c r="V23" s="2057"/>
      <c r="W23" s="2057"/>
      <c r="X23" s="2061">
        <v>44469</v>
      </c>
      <c r="Y23" s="2062"/>
      <c r="Z23" s="2062"/>
      <c r="AA23" s="2063"/>
    </row>
    <row r="24" spans="1:27" ht="14.1" customHeight="1" x14ac:dyDescent="0.2">
      <c r="A24" s="88" t="s">
        <v>698</v>
      </c>
      <c r="B24" s="49"/>
      <c r="C24" s="49"/>
      <c r="D24" s="49"/>
      <c r="E24" s="49"/>
      <c r="F24" s="49"/>
      <c r="G24" s="49"/>
      <c r="H24" s="61"/>
      <c r="J24" s="1980" t="str">
        <f>IF(B5="x",IF(AUDITCHECK!D29="AFR form Incomplete.","",IF(AUDITCHECK!D29="Deficit reduction plan is required.","School District must complete a deficit reduction plan in the 2018-2019 Budget",)),"")</f>
        <v/>
      </c>
      <c r="K24" s="1980"/>
      <c r="L24" s="1980"/>
      <c r="M24" s="1980"/>
      <c r="N24" s="1980"/>
      <c r="O24" s="1980"/>
      <c r="P24" s="1980"/>
      <c r="Q24" s="1980"/>
      <c r="R24" s="1980"/>
      <c r="S24" s="1981"/>
      <c r="T24" s="105" t="s">
        <v>552</v>
      </c>
      <c r="U24" s="106"/>
      <c r="V24" s="106"/>
      <c r="W24" s="106"/>
      <c r="X24" s="107"/>
      <c r="Y24" s="107"/>
      <c r="Z24" s="107"/>
      <c r="AA24" s="108"/>
    </row>
    <row r="25" spans="1:27" ht="14.1" customHeight="1" x14ac:dyDescent="0.2">
      <c r="A25" s="1957">
        <v>61834</v>
      </c>
      <c r="B25" s="1958"/>
      <c r="C25" s="1958"/>
      <c r="D25" s="1958"/>
      <c r="E25" s="1958"/>
      <c r="F25" s="1958"/>
      <c r="G25" s="1958"/>
      <c r="H25" s="1959"/>
      <c r="I25" s="113"/>
      <c r="J25" s="1982"/>
      <c r="K25" s="1982"/>
      <c r="L25" s="1982"/>
      <c r="M25" s="1982"/>
      <c r="N25" s="1982"/>
      <c r="O25" s="1982"/>
      <c r="P25" s="1982"/>
      <c r="Q25" s="1982"/>
      <c r="R25" s="1982"/>
      <c r="S25" s="1983"/>
      <c r="T25" s="2053" t="s">
        <v>2090</v>
      </c>
      <c r="U25" s="2054"/>
      <c r="V25" s="2054"/>
      <c r="W25" s="2054"/>
      <c r="X25" s="2054"/>
      <c r="Y25" s="2054"/>
      <c r="Z25" s="2054"/>
      <c r="AA25" s="2055"/>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8" t="s">
        <v>1591</v>
      </c>
      <c r="J27" s="1969"/>
      <c r="K27" s="1969"/>
      <c r="L27" s="1969"/>
      <c r="M27" s="1969"/>
      <c r="N27" s="1969"/>
      <c r="O27" s="1969"/>
      <c r="P27" s="1969"/>
      <c r="Q27" s="1969"/>
      <c r="R27" s="1969"/>
      <c r="S27" s="1970"/>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48" t="s">
        <v>2074</v>
      </c>
      <c r="K29" s="28" t="s">
        <v>597</v>
      </c>
      <c r="L29" s="102"/>
      <c r="M29" s="40" t="s">
        <v>101</v>
      </c>
      <c r="N29" s="32" t="s">
        <v>1604</v>
      </c>
      <c r="O29" s="32"/>
      <c r="P29" s="32"/>
      <c r="Q29" s="32"/>
      <c r="R29" s="32"/>
      <c r="S29" s="123"/>
      <c r="T29" s="6"/>
      <c r="U29" s="6"/>
      <c r="V29" s="6"/>
      <c r="W29" s="6"/>
      <c r="X29" s="6"/>
      <c r="Y29" s="6"/>
      <c r="Z29" s="6"/>
      <c r="AA29" s="132"/>
    </row>
    <row r="30" spans="1:27" ht="13.5" customHeight="1" x14ac:dyDescent="0.2">
      <c r="A30" s="153"/>
      <c r="B30" s="136" t="s">
        <v>2074</v>
      </c>
      <c r="C30" s="124" t="s">
        <v>1226</v>
      </c>
      <c r="D30" s="28"/>
      <c r="E30" s="28"/>
      <c r="F30" s="140"/>
      <c r="G30" s="114"/>
      <c r="H30" s="114"/>
      <c r="I30" s="54"/>
      <c r="J30" s="148" t="s">
        <v>2074</v>
      </c>
      <c r="K30" s="28" t="s">
        <v>597</v>
      </c>
      <c r="L30" s="102"/>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2074</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2074</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9"/>
      <c r="Q35" s="1958"/>
      <c r="R35" s="1958"/>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3" t="s">
        <v>2078</v>
      </c>
      <c r="B38" s="1994"/>
      <c r="C38" s="1994"/>
      <c r="D38" s="1994"/>
      <c r="E38" s="1994"/>
      <c r="F38" s="1958"/>
      <c r="G38" s="1958"/>
      <c r="H38" s="1959"/>
      <c r="I38" s="1986"/>
      <c r="J38" s="1987"/>
      <c r="K38" s="1987"/>
      <c r="L38" s="1987"/>
      <c r="M38" s="1987"/>
      <c r="N38" s="1987"/>
      <c r="O38" s="1987"/>
      <c r="P38" s="1988"/>
      <c r="Q38" s="1988"/>
      <c r="R38" s="1988"/>
      <c r="S38" s="1989"/>
      <c r="T38" s="2043"/>
      <c r="U38" s="1987"/>
      <c r="V38" s="1987"/>
      <c r="W38" s="1987"/>
      <c r="X38" s="1988"/>
      <c r="Y38" s="1988"/>
      <c r="Z38" s="1988"/>
      <c r="AA38" s="1989"/>
    </row>
    <row r="39" spans="1:27" ht="12" customHeight="1" x14ac:dyDescent="0.2">
      <c r="A39" s="1963" t="s">
        <v>552</v>
      </c>
      <c r="B39" s="1964"/>
      <c r="C39" s="72"/>
      <c r="D39" s="69"/>
      <c r="E39" s="69"/>
      <c r="F39" s="79"/>
      <c r="G39" s="69"/>
      <c r="H39" s="56"/>
      <c r="I39" s="1963" t="s">
        <v>552</v>
      </c>
      <c r="J39" s="1964"/>
      <c r="K39" s="1964"/>
      <c r="L39" s="1964"/>
      <c r="M39" s="1964"/>
      <c r="N39" s="67"/>
      <c r="O39" s="72"/>
      <c r="P39" s="72"/>
      <c r="Q39" s="78"/>
      <c r="R39" s="72"/>
      <c r="S39" s="56"/>
      <c r="T39" s="72" t="s">
        <v>552</v>
      </c>
      <c r="U39" s="51"/>
      <c r="V39" s="72"/>
      <c r="W39" s="50"/>
      <c r="X39" s="78"/>
      <c r="Y39" s="45"/>
      <c r="Z39" s="45"/>
      <c r="AA39" s="46"/>
    </row>
    <row r="40" spans="1:27" ht="13.5" customHeight="1" x14ac:dyDescent="0.2">
      <c r="A40" s="1971" t="s">
        <v>2079</v>
      </c>
      <c r="B40" s="1972"/>
      <c r="C40" s="1973"/>
      <c r="D40" s="1973"/>
      <c r="E40" s="1973"/>
      <c r="F40" s="1974"/>
      <c r="G40" s="1974"/>
      <c r="H40" s="1975"/>
      <c r="I40" s="1996"/>
      <c r="J40" s="1997"/>
      <c r="K40" s="1997"/>
      <c r="L40" s="1997"/>
      <c r="M40" s="1997"/>
      <c r="N40" s="1997"/>
      <c r="O40" s="1997"/>
      <c r="P40" s="1997"/>
      <c r="Q40" s="1997"/>
      <c r="R40" s="1997"/>
      <c r="S40" s="1998"/>
      <c r="T40" s="1996"/>
      <c r="U40" s="2060"/>
      <c r="V40" s="1997"/>
      <c r="W40" s="1997"/>
      <c r="X40" s="1997"/>
      <c r="Y40" s="1997"/>
      <c r="Z40" s="1997"/>
      <c r="AA40" s="1998"/>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5" t="s">
        <v>2080</v>
      </c>
      <c r="B42" s="1977"/>
      <c r="C42" s="1978"/>
      <c r="D42" s="1976" t="s">
        <v>2081</v>
      </c>
      <c r="E42" s="1977"/>
      <c r="F42" s="1977"/>
      <c r="G42" s="1977"/>
      <c r="H42" s="1978"/>
      <c r="I42" s="1960"/>
      <c r="J42" s="1961"/>
      <c r="K42" s="1961"/>
      <c r="L42" s="1961"/>
      <c r="M42" s="1961"/>
      <c r="N42" s="1961"/>
      <c r="O42" s="1962"/>
      <c r="P42" s="1995"/>
      <c r="Q42" s="1961"/>
      <c r="R42" s="1961"/>
      <c r="S42" s="1962"/>
      <c r="T42" s="1960"/>
      <c r="U42" s="1961"/>
      <c r="V42" s="1961"/>
      <c r="W42" s="1962"/>
      <c r="X42" s="1995"/>
      <c r="Y42" s="1961"/>
      <c r="Z42" s="1961"/>
      <c r="AA42" s="1962"/>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0"/>
      <c r="B44" s="1991"/>
      <c r="C44" s="1991"/>
      <c r="D44" s="1991"/>
      <c r="E44" s="1991"/>
      <c r="F44" s="1991"/>
      <c r="G44" s="1991"/>
      <c r="H44" s="1992"/>
      <c r="I44" s="1965"/>
      <c r="J44" s="1966"/>
      <c r="K44" s="1966"/>
      <c r="L44" s="1966"/>
      <c r="M44" s="1966"/>
      <c r="N44" s="1966"/>
      <c r="O44" s="1966"/>
      <c r="P44" s="1966"/>
      <c r="Q44" s="1966"/>
      <c r="R44" s="1966"/>
      <c r="S44" s="1967"/>
      <c r="T44" s="1965"/>
      <c r="U44" s="1984"/>
      <c r="V44" s="1984"/>
      <c r="W44" s="1984"/>
      <c r="X44" s="1984"/>
      <c r="Y44" s="1984"/>
      <c r="Z44" s="1966"/>
      <c r="AA44" s="1967"/>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2062</v>
      </c>
      <c r="R47" s="41"/>
      <c r="S47" s="41"/>
      <c r="T47" s="41"/>
      <c r="U47" s="41"/>
      <c r="V47" s="41"/>
      <c r="W47" s="41"/>
      <c r="X47" s="41"/>
      <c r="Y47" s="41"/>
      <c r="Z47" s="41"/>
      <c r="AA47" s="41"/>
    </row>
    <row r="48" spans="1:27" x14ac:dyDescent="0.2">
      <c r="Q48" s="41" t="s">
        <v>2063</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0" t="s">
        <v>1902</v>
      </c>
      <c r="B2" s="1550" t="s">
        <v>2032</v>
      </c>
      <c r="C2" s="715" t="s">
        <v>1907</v>
      </c>
      <c r="D2" s="715" t="s">
        <v>1908</v>
      </c>
      <c r="E2" s="715" t="s">
        <v>1909</v>
      </c>
      <c r="F2" s="715" t="s">
        <v>1910</v>
      </c>
    </row>
    <row r="3" spans="1:6" ht="12" customHeight="1" x14ac:dyDescent="0.2">
      <c r="A3" s="2201"/>
      <c r="B3" s="1547"/>
      <c r="C3" s="1548"/>
      <c r="D3" s="1549" t="s">
        <v>274</v>
      </c>
      <c r="E3" s="1548"/>
      <c r="F3" s="1549" t="s">
        <v>275</v>
      </c>
    </row>
    <row r="4" spans="1:6" ht="13.7" customHeight="1" x14ac:dyDescent="0.2">
      <c r="A4" s="716" t="s">
        <v>1217</v>
      </c>
      <c r="B4" s="1771">
        <f>'Revenues 9-14'!C5</f>
        <v>0</v>
      </c>
      <c r="C4" s="1546"/>
      <c r="D4" s="1774">
        <f>B4-C4</f>
        <v>0</v>
      </c>
      <c r="E4" s="1546"/>
      <c r="F4" s="1774">
        <f>E4-C4</f>
        <v>0</v>
      </c>
    </row>
    <row r="5" spans="1:6" ht="13.7" customHeight="1" x14ac:dyDescent="0.2">
      <c r="A5" s="716" t="s">
        <v>925</v>
      </c>
      <c r="B5" s="1772">
        <f>'Revenues 9-14'!D5</f>
        <v>0</v>
      </c>
      <c r="C5" s="585"/>
      <c r="D5" s="1775">
        <f t="shared" ref="D5:D18" si="0">B5-C5</f>
        <v>0</v>
      </c>
      <c r="E5" s="585"/>
      <c r="F5" s="1775">
        <f>E5-C5</f>
        <v>0</v>
      </c>
    </row>
    <row r="6" spans="1:6" ht="13.7" customHeight="1" x14ac:dyDescent="0.2">
      <c r="A6" s="716" t="s">
        <v>431</v>
      </c>
      <c r="B6" s="1772">
        <f>'Revenues 9-14'!E5</f>
        <v>0</v>
      </c>
      <c r="C6" s="585"/>
      <c r="D6" s="1775">
        <f t="shared" si="0"/>
        <v>0</v>
      </c>
      <c r="E6" s="585"/>
      <c r="F6" s="1775">
        <f t="shared" ref="F6:F18" si="1">E6-C6</f>
        <v>0</v>
      </c>
    </row>
    <row r="7" spans="1:6" ht="13.7" customHeight="1" x14ac:dyDescent="0.2">
      <c r="A7" s="716" t="s">
        <v>157</v>
      </c>
      <c r="B7" s="1772">
        <f>'Revenues 9-14'!F5</f>
        <v>0</v>
      </c>
      <c r="C7" s="585"/>
      <c r="D7" s="1775">
        <f t="shared" si="0"/>
        <v>0</v>
      </c>
      <c r="E7" s="585"/>
      <c r="F7" s="1775">
        <f t="shared" si="1"/>
        <v>0</v>
      </c>
    </row>
    <row r="8" spans="1:6" ht="13.7" customHeight="1" x14ac:dyDescent="0.2">
      <c r="A8" s="716" t="s">
        <v>1241</v>
      </c>
      <c r="B8" s="1772">
        <f>'Revenues 9-14'!G5</f>
        <v>0</v>
      </c>
      <c r="C8" s="585"/>
      <c r="D8" s="1775">
        <f t="shared" si="0"/>
        <v>0</v>
      </c>
      <c r="E8" s="585"/>
      <c r="F8" s="1775">
        <f t="shared" si="1"/>
        <v>0</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0</v>
      </c>
      <c r="C10" s="585"/>
      <c r="D10" s="1775">
        <f t="shared" si="0"/>
        <v>0</v>
      </c>
      <c r="E10" s="585"/>
      <c r="F10" s="1775">
        <f t="shared" si="1"/>
        <v>0</v>
      </c>
    </row>
    <row r="11" spans="1:6" x14ac:dyDescent="0.2">
      <c r="A11" s="716" t="s">
        <v>429</v>
      </c>
      <c r="B11" s="1772">
        <f>'Revenues 9-14'!J5</f>
        <v>0</v>
      </c>
      <c r="C11" s="585"/>
      <c r="D11" s="1775">
        <f t="shared" si="0"/>
        <v>0</v>
      </c>
      <c r="E11" s="585"/>
      <c r="F11" s="1775">
        <f t="shared" si="1"/>
        <v>0</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993</v>
      </c>
      <c r="B13" s="1772">
        <f>SUM('Revenues 9-14'!C6:D6)</f>
        <v>0</v>
      </c>
      <c r="C13" s="585"/>
      <c r="D13" s="1775">
        <f t="shared" si="0"/>
        <v>0</v>
      </c>
      <c r="E13" s="585"/>
      <c r="F13" s="1775">
        <f t="shared" si="1"/>
        <v>0</v>
      </c>
    </row>
    <row r="14" spans="1:6" ht="13.7" customHeight="1" x14ac:dyDescent="0.2">
      <c r="A14" s="716" t="s">
        <v>430</v>
      </c>
      <c r="B14" s="1772">
        <f>SUM('Revenues 9-14'!C7:D7,'Revenues 9-14'!F7:H7)</f>
        <v>0</v>
      </c>
      <c r="C14" s="585"/>
      <c r="D14" s="1775">
        <f t="shared" si="0"/>
        <v>0</v>
      </c>
      <c r="E14" s="585"/>
      <c r="F14" s="1775">
        <f t="shared" si="1"/>
        <v>0</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0</v>
      </c>
      <c r="C16" s="585"/>
      <c r="D16" s="1775">
        <f t="shared" si="0"/>
        <v>0</v>
      </c>
      <c r="E16" s="585"/>
      <c r="F16" s="1775">
        <f t="shared" si="1"/>
        <v>0</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0</v>
      </c>
      <c r="C19" s="1773">
        <f>SUM(C4:C18)</f>
        <v>0</v>
      </c>
      <c r="D19" s="1773">
        <f>SUM(D4:D18)</f>
        <v>0</v>
      </c>
      <c r="E19" s="1773">
        <f>SUM(E4:E18)</f>
        <v>0</v>
      </c>
      <c r="F19" s="1773">
        <f>SUM(F4:F18)</f>
        <v>0</v>
      </c>
    </row>
    <row r="20" spans="1:6" ht="13.5" thickTop="1" x14ac:dyDescent="0.2">
      <c r="B20" s="714"/>
      <c r="F20" s="717"/>
    </row>
    <row r="21" spans="1:6" x14ac:dyDescent="0.2">
      <c r="A21" s="718" t="s">
        <v>1912</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2" t="s">
        <v>650</v>
      </c>
      <c r="B1" s="2220"/>
      <c r="C1" s="722"/>
    </row>
    <row r="2" spans="1:7" ht="33.75" x14ac:dyDescent="0.2">
      <c r="A2" s="2227" t="s">
        <v>1902</v>
      </c>
      <c r="B2" s="2228"/>
      <c r="C2" s="1909" t="s">
        <v>2033</v>
      </c>
      <c r="D2" s="724" t="s">
        <v>2040</v>
      </c>
      <c r="E2" s="724" t="s">
        <v>2041</v>
      </c>
      <c r="F2" s="1909" t="s">
        <v>2034</v>
      </c>
    </row>
    <row r="3" spans="1:7" ht="15.75" customHeight="1" x14ac:dyDescent="0.2">
      <c r="A3" s="2229" t="s">
        <v>1176</v>
      </c>
      <c r="B3" s="2230"/>
      <c r="C3" s="2223"/>
      <c r="D3" s="2224"/>
      <c r="E3" s="2224"/>
      <c r="F3" s="2225"/>
    </row>
    <row r="4" spans="1:7" ht="12.75" customHeight="1" thickBot="1" x14ac:dyDescent="0.25">
      <c r="A4" s="2217" t="s">
        <v>651</v>
      </c>
      <c r="B4" s="2218"/>
      <c r="C4" s="581"/>
      <c r="D4" s="581"/>
      <c r="E4" s="581"/>
      <c r="F4" s="1777">
        <f>SUM(C4+D4)-E4</f>
        <v>0</v>
      </c>
    </row>
    <row r="5" spans="1:7" ht="15.75" customHeight="1" thickTop="1" x14ac:dyDescent="0.2">
      <c r="A5" s="2221" t="s">
        <v>1172</v>
      </c>
      <c r="B5" s="2216"/>
      <c r="C5" s="2210"/>
      <c r="D5" s="2211"/>
      <c r="E5" s="2211"/>
      <c r="F5" s="2212"/>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13" t="s">
        <v>652</v>
      </c>
      <c r="B15" s="2214"/>
      <c r="C15" s="1777">
        <f>SUM(C6:C14)</f>
        <v>0</v>
      </c>
      <c r="D15" s="1777">
        <f>SUM(D6:D14)</f>
        <v>0</v>
      </c>
      <c r="E15" s="1777">
        <f>SUM(E6:E14)</f>
        <v>0</v>
      </c>
      <c r="F15" s="1777">
        <f>SUM(F6:F14)</f>
        <v>0</v>
      </c>
      <c r="G15" s="552"/>
    </row>
    <row r="16" spans="1:7" s="202" customFormat="1" ht="15.75" customHeight="1" thickTop="1" x14ac:dyDescent="0.2">
      <c r="A16" s="2226" t="s">
        <v>1173</v>
      </c>
      <c r="B16" s="2216"/>
      <c r="C16" s="2210"/>
      <c r="D16" s="2211"/>
      <c r="E16" s="2211"/>
      <c r="F16" s="2212"/>
    </row>
    <row r="17" spans="1:11" ht="12.75" customHeight="1" thickBot="1" x14ac:dyDescent="0.25">
      <c r="A17" s="2208" t="s">
        <v>66</v>
      </c>
      <c r="B17" s="2209"/>
      <c r="C17" s="727"/>
      <c r="D17" s="585"/>
      <c r="E17" s="727"/>
      <c r="F17" s="1777">
        <f>SUM(C17+D17)-E17</f>
        <v>0</v>
      </c>
    </row>
    <row r="18" spans="1:11" ht="12.75" customHeight="1" thickTop="1" thickBot="1" x14ac:dyDescent="0.25">
      <c r="A18" s="2208" t="s">
        <v>6</v>
      </c>
      <c r="B18" s="2209"/>
      <c r="C18" s="727"/>
      <c r="D18" s="585"/>
      <c r="E18" s="727"/>
      <c r="F18" s="1777">
        <f>SUM(C18+D18)-E18</f>
        <v>0</v>
      </c>
    </row>
    <row r="19" spans="1:11" ht="12.75" customHeight="1" thickTop="1" thickBot="1" x14ac:dyDescent="0.25">
      <c r="A19" s="2208" t="s">
        <v>406</v>
      </c>
      <c r="B19" s="2209"/>
      <c r="C19" s="727"/>
      <c r="D19" s="585"/>
      <c r="E19" s="727"/>
      <c r="F19" s="1777">
        <f>SUM(C19+D19)-E19</f>
        <v>0</v>
      </c>
    </row>
    <row r="20" spans="1:11" ht="12.75" customHeight="1" thickTop="1" thickBot="1" x14ac:dyDescent="0.25">
      <c r="A20" s="2208" t="s">
        <v>468</v>
      </c>
      <c r="B20" s="2209"/>
      <c r="C20" s="727"/>
      <c r="D20" s="585"/>
      <c r="E20" s="727"/>
      <c r="F20" s="1777">
        <f>SUM(C20+D20)-E20</f>
        <v>0</v>
      </c>
    </row>
    <row r="21" spans="1:11" ht="14.25" thickTop="1" thickBot="1" x14ac:dyDescent="0.25">
      <c r="A21" s="2213" t="s">
        <v>653</v>
      </c>
      <c r="B21" s="2214"/>
      <c r="C21" s="1777">
        <f>SUM(C17:C20)</f>
        <v>0</v>
      </c>
      <c r="D21" s="1777">
        <f>SUM(D17:D20)</f>
        <v>0</v>
      </c>
      <c r="E21" s="1777">
        <f>SUM(E17:E20)</f>
        <v>0</v>
      </c>
      <c r="F21" s="1777">
        <f>SUM(F17:F20)</f>
        <v>0</v>
      </c>
      <c r="G21" s="552"/>
    </row>
    <row r="22" spans="1:11" ht="15.75" customHeight="1" thickTop="1" x14ac:dyDescent="0.2">
      <c r="A22" s="2215" t="s">
        <v>1174</v>
      </c>
      <c r="B22" s="2216"/>
      <c r="C22" s="2210"/>
      <c r="D22" s="2211"/>
      <c r="E22" s="2211"/>
      <c r="F22" s="2212"/>
    </row>
    <row r="23" spans="1:11" ht="13.5" thickBot="1" x14ac:dyDescent="0.25">
      <c r="A23" s="2217" t="s">
        <v>654</v>
      </c>
      <c r="B23" s="2218"/>
      <c r="C23" s="581"/>
      <c r="D23" s="581"/>
      <c r="E23" s="581"/>
      <c r="F23" s="1777">
        <f>SUM(C23+D23)-E23</f>
        <v>0</v>
      </c>
      <c r="G23" s="552"/>
    </row>
    <row r="24" spans="1:11" ht="15.75" customHeight="1" thickTop="1" x14ac:dyDescent="0.2">
      <c r="A24" s="2215" t="s">
        <v>1175</v>
      </c>
      <c r="B24" s="2216"/>
      <c r="C24" s="2210"/>
      <c r="D24" s="2211"/>
      <c r="E24" s="2211"/>
      <c r="F24" s="2212"/>
    </row>
    <row r="25" spans="1:11" ht="13.5" thickBot="1" x14ac:dyDescent="0.25">
      <c r="A25" s="2217" t="s">
        <v>655</v>
      </c>
      <c r="B25" s="2218"/>
      <c r="C25" s="581"/>
      <c r="D25" s="581"/>
      <c r="E25" s="581"/>
      <c r="F25" s="1777">
        <f>SUM(C25+D25)-E25</f>
        <v>0</v>
      </c>
      <c r="G25" s="552"/>
    </row>
    <row r="26" spans="1:11" ht="15.75" customHeight="1" thickTop="1" x14ac:dyDescent="0.2">
      <c r="A26" s="2221" t="s">
        <v>678</v>
      </c>
      <c r="B26" s="2216"/>
      <c r="C26" s="728"/>
      <c r="D26" s="728"/>
      <c r="E26" s="728"/>
      <c r="F26" s="729"/>
    </row>
    <row r="27" spans="1:11" ht="13.5" thickBot="1" x14ac:dyDescent="0.25">
      <c r="A27" s="2213" t="s">
        <v>1130</v>
      </c>
      <c r="B27" s="2214"/>
      <c r="C27" s="585"/>
      <c r="D27" s="585"/>
      <c r="E27" s="585"/>
      <c r="F27" s="1777">
        <f>SUM(C27+D27)-E27</f>
        <v>0</v>
      </c>
      <c r="G27" s="552"/>
    </row>
    <row r="28" spans="1:11" ht="7.5" customHeight="1" thickTop="1" x14ac:dyDescent="0.2">
      <c r="A28" s="594"/>
    </row>
    <row r="29" spans="1:11" ht="23.25" customHeight="1" x14ac:dyDescent="0.2">
      <c r="A29" s="2219" t="s">
        <v>603</v>
      </c>
      <c r="B29" s="2220"/>
      <c r="C29" s="730"/>
      <c r="D29" s="730"/>
      <c r="E29" s="730"/>
      <c r="F29" s="730"/>
      <c r="G29" s="730"/>
      <c r="H29" s="730"/>
      <c r="I29" s="730"/>
      <c r="J29" s="730"/>
    </row>
    <row r="30" spans="1:11" ht="33.75" x14ac:dyDescent="0.2">
      <c r="A30" s="1551" t="s">
        <v>1131</v>
      </c>
      <c r="B30" s="731" t="s">
        <v>1186</v>
      </c>
      <c r="C30" s="1910" t="s">
        <v>604</v>
      </c>
      <c r="D30" s="1910" t="s">
        <v>1772</v>
      </c>
      <c r="E30" s="1910" t="s">
        <v>2035</v>
      </c>
      <c r="F30" s="1910" t="s">
        <v>2036</v>
      </c>
      <c r="G30" s="1910" t="s">
        <v>2039</v>
      </c>
      <c r="H30" s="1910" t="s">
        <v>2037</v>
      </c>
      <c r="I30" s="1910" t="s">
        <v>2038</v>
      </c>
      <c r="J30" s="1911" t="s">
        <v>2</v>
      </c>
      <c r="K30" s="732"/>
    </row>
    <row r="31" spans="1:11" ht="12" customHeight="1" x14ac:dyDescent="0.2">
      <c r="A31" s="733"/>
      <c r="B31" s="734"/>
      <c r="C31" s="735"/>
      <c r="D31" s="736"/>
      <c r="E31" s="735"/>
      <c r="F31" s="735"/>
      <c r="G31" s="735"/>
      <c r="H31" s="735"/>
      <c r="I31" s="1778">
        <f>((E31+F31)-H31)+G31</f>
        <v>0</v>
      </c>
      <c r="J31" s="735"/>
      <c r="K31" s="737"/>
    </row>
    <row r="32" spans="1:11" ht="12" customHeight="1" x14ac:dyDescent="0.2">
      <c r="A32" s="733"/>
      <c r="B32" s="734"/>
      <c r="C32" s="735"/>
      <c r="D32" s="736"/>
      <c r="E32" s="735"/>
      <c r="F32" s="735"/>
      <c r="G32" s="735"/>
      <c r="H32" s="735"/>
      <c r="I32" s="1778">
        <f>((E32+F32)-H32)+G32</f>
        <v>0</v>
      </c>
      <c r="J32" s="735"/>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0</v>
      </c>
      <c r="D49" s="746"/>
      <c r="E49" s="1778">
        <f t="shared" ref="E49:J49" si="2">SUM(E31:E48)</f>
        <v>0</v>
      </c>
      <c r="F49" s="1778">
        <f t="shared" si="2"/>
        <v>0</v>
      </c>
      <c r="G49" s="1778">
        <f t="shared" si="2"/>
        <v>0</v>
      </c>
      <c r="H49" s="1778">
        <f t="shared" si="2"/>
        <v>0</v>
      </c>
      <c r="I49" s="1778">
        <f t="shared" si="2"/>
        <v>0</v>
      </c>
      <c r="J49" s="1778">
        <f t="shared" si="2"/>
        <v>0</v>
      </c>
      <c r="K49" s="738"/>
    </row>
    <row r="50" spans="1:11" ht="6" customHeight="1" x14ac:dyDescent="0.2">
      <c r="A50" s="747"/>
      <c r="B50" s="737"/>
      <c r="C50" s="737"/>
      <c r="D50" s="737"/>
      <c r="E50" s="737"/>
      <c r="F50" s="737"/>
      <c r="G50" s="737"/>
      <c r="H50" s="737"/>
      <c r="I50" s="737"/>
      <c r="J50" s="747"/>
    </row>
    <row r="51" spans="1:11" x14ac:dyDescent="0.2">
      <c r="A51" s="748" t="s">
        <v>1911</v>
      </c>
      <c r="B51" s="747"/>
      <c r="C51" s="738"/>
      <c r="D51" s="738"/>
      <c r="E51" s="738"/>
      <c r="F51" s="738"/>
      <c r="G51" s="738"/>
      <c r="H51" s="737"/>
      <c r="I51" s="737"/>
      <c r="J51" s="747"/>
    </row>
    <row r="52" spans="1:11" ht="11.25" customHeight="1" x14ac:dyDescent="0.2">
      <c r="A52" s="749" t="s">
        <v>968</v>
      </c>
      <c r="B52" s="2202" t="s">
        <v>605</v>
      </c>
      <c r="C52" s="2203"/>
      <c r="D52" s="2203"/>
      <c r="E52" s="750" t="s">
        <v>900</v>
      </c>
      <c r="F52" s="2204"/>
      <c r="G52" s="2205"/>
      <c r="H52" s="737"/>
      <c r="I52" s="737"/>
      <c r="J52" s="747"/>
    </row>
    <row r="53" spans="1:11" ht="11.25" customHeight="1" x14ac:dyDescent="0.2">
      <c r="A53" s="751" t="s">
        <v>969</v>
      </c>
      <c r="B53" s="752" t="s">
        <v>1008</v>
      </c>
      <c r="C53" s="747"/>
      <c r="D53" s="738"/>
      <c r="E53" s="750" t="s">
        <v>518</v>
      </c>
      <c r="F53" s="2206"/>
      <c r="G53" s="2207"/>
      <c r="H53" s="737"/>
      <c r="I53" s="737"/>
      <c r="J53" s="747"/>
    </row>
    <row r="54" spans="1:11" ht="11.25" customHeight="1" x14ac:dyDescent="0.2">
      <c r="A54" s="753" t="s">
        <v>970</v>
      </c>
      <c r="B54" s="748" t="s">
        <v>1009</v>
      </c>
      <c r="C54" s="747"/>
      <c r="D54" s="738"/>
      <c r="E54" s="750" t="s">
        <v>519</v>
      </c>
      <c r="F54" s="2206"/>
      <c r="G54" s="2207"/>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1" t="s">
        <v>911</v>
      </c>
      <c r="B1" s="2232"/>
      <c r="C1" s="2232"/>
      <c r="D1" s="2232"/>
      <c r="E1" s="2232"/>
      <c r="F1" s="2232"/>
      <c r="G1" s="2233"/>
      <c r="H1" s="1552"/>
      <c r="I1" s="761"/>
      <c r="J1" s="433"/>
    </row>
    <row r="2" spans="1:11" ht="26.25" x14ac:dyDescent="0.2">
      <c r="A2" s="2250" t="s">
        <v>1776</v>
      </c>
      <c r="B2" s="2251"/>
      <c r="C2" s="2251"/>
      <c r="D2" s="2251"/>
      <c r="E2" s="2252"/>
      <c r="F2" s="762" t="s">
        <v>960</v>
      </c>
      <c r="G2" s="763" t="s">
        <v>1773</v>
      </c>
      <c r="H2" s="763" t="s">
        <v>430</v>
      </c>
      <c r="I2" s="763" t="s">
        <v>1220</v>
      </c>
      <c r="J2" s="763" t="s">
        <v>1916</v>
      </c>
      <c r="K2" s="763" t="s">
        <v>140</v>
      </c>
    </row>
    <row r="3" spans="1:11" x14ac:dyDescent="0.2">
      <c r="A3" s="2253" t="s">
        <v>1698</v>
      </c>
      <c r="B3" s="2254"/>
      <c r="C3" s="2254"/>
      <c r="D3" s="2254"/>
      <c r="E3" s="2255"/>
      <c r="F3" s="764"/>
      <c r="G3" s="765"/>
      <c r="H3" s="765"/>
      <c r="I3" s="765"/>
      <c r="J3" s="766"/>
      <c r="K3" s="766"/>
    </row>
    <row r="4" spans="1:11" x14ac:dyDescent="0.2">
      <c r="A4" s="2256" t="s">
        <v>387</v>
      </c>
      <c r="B4" s="2257"/>
      <c r="C4" s="2257"/>
      <c r="D4" s="2257"/>
      <c r="E4" s="2203"/>
      <c r="F4" s="767"/>
      <c r="G4" s="768"/>
      <c r="H4" s="769"/>
      <c r="I4" s="768"/>
      <c r="J4" s="770"/>
      <c r="K4" s="770"/>
    </row>
    <row r="5" spans="1:11" x14ac:dyDescent="0.2">
      <c r="A5" s="2234" t="s">
        <v>1129</v>
      </c>
      <c r="B5" s="2235"/>
      <c r="C5" s="2235"/>
      <c r="D5" s="2235"/>
      <c r="E5" s="2236"/>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34" t="s">
        <v>1917</v>
      </c>
      <c r="B10" s="2235"/>
      <c r="C10" s="2235"/>
      <c r="D10" s="2235"/>
      <c r="E10" s="2237"/>
      <c r="F10" s="784" t="s">
        <v>917</v>
      </c>
      <c r="G10" s="783"/>
      <c r="H10" s="785"/>
      <c r="I10" s="765"/>
      <c r="J10" s="766"/>
      <c r="K10" s="766"/>
    </row>
    <row r="11" spans="1:11" x14ac:dyDescent="0.2">
      <c r="A11" s="2234" t="s">
        <v>162</v>
      </c>
      <c r="B11" s="2235"/>
      <c r="C11" s="2235"/>
      <c r="D11" s="2235"/>
      <c r="E11" s="2236"/>
      <c r="F11" s="771" t="s">
        <v>907</v>
      </c>
      <c r="G11" s="772"/>
      <c r="H11" s="765"/>
      <c r="I11" s="765"/>
      <c r="J11" s="766"/>
      <c r="K11" s="774"/>
    </row>
    <row r="12" spans="1:11" ht="13.5" thickBot="1" x14ac:dyDescent="0.25">
      <c r="A12" s="2261" t="s">
        <v>961</v>
      </c>
      <c r="B12" s="2262"/>
      <c r="C12" s="2262"/>
      <c r="D12" s="2262"/>
      <c r="E12" s="2263"/>
      <c r="F12" s="1779"/>
      <c r="G12" s="1780">
        <f>SUM(G5:G11)</f>
        <v>0</v>
      </c>
      <c r="H12" s="1780">
        <f>SUM(H5:H11)</f>
        <v>0</v>
      </c>
      <c r="I12" s="1780">
        <f>SUM(I5:I11)</f>
        <v>0</v>
      </c>
      <c r="J12" s="1780">
        <f>SUM(J5:J11)</f>
        <v>0</v>
      </c>
      <c r="K12" s="1780">
        <f>SUM(K5:K11)</f>
        <v>0</v>
      </c>
    </row>
    <row r="13" spans="1:11" ht="13.5" thickTop="1" x14ac:dyDescent="0.2">
      <c r="A13" s="2258" t="s">
        <v>388</v>
      </c>
      <c r="B13" s="2259"/>
      <c r="C13" s="2259"/>
      <c r="D13" s="2259"/>
      <c r="E13" s="2260"/>
      <c r="F13" s="786"/>
      <c r="G13" s="787"/>
      <c r="H13" s="788"/>
      <c r="I13" s="789"/>
      <c r="J13" s="789"/>
      <c r="K13" s="789"/>
    </row>
    <row r="14" spans="1:11" x14ac:dyDescent="0.2">
      <c r="A14" s="2241" t="s">
        <v>476</v>
      </c>
      <c r="B14" s="2241"/>
      <c r="C14" s="2241"/>
      <c r="D14" s="2241"/>
      <c r="E14" s="2242"/>
      <c r="F14" s="790" t="s">
        <v>909</v>
      </c>
      <c r="G14" s="783"/>
      <c r="H14" s="765"/>
      <c r="I14" s="772"/>
      <c r="J14" s="774"/>
      <c r="K14" s="766"/>
    </row>
    <row r="15" spans="1:11" x14ac:dyDescent="0.2">
      <c r="A15" s="2235" t="s">
        <v>4</v>
      </c>
      <c r="B15" s="2235"/>
      <c r="C15" s="2235"/>
      <c r="D15" s="2235"/>
      <c r="E15" s="2236"/>
      <c r="F15" s="790" t="s">
        <v>910</v>
      </c>
      <c r="G15" s="772"/>
      <c r="H15" s="765"/>
      <c r="I15" s="765"/>
      <c r="J15" s="766"/>
      <c r="K15" s="766"/>
    </row>
    <row r="16" spans="1:11" x14ac:dyDescent="0.2">
      <c r="A16" s="2235" t="s">
        <v>316</v>
      </c>
      <c r="B16" s="2235"/>
      <c r="C16" s="2235"/>
      <c r="D16" s="2235"/>
      <c r="E16" s="2236"/>
      <c r="F16" s="790" t="s">
        <v>980</v>
      </c>
      <c r="G16" s="773"/>
      <c r="H16" s="768"/>
      <c r="I16" s="768"/>
      <c r="J16" s="770"/>
      <c r="K16" s="770"/>
    </row>
    <row r="17" spans="1:11" x14ac:dyDescent="0.2">
      <c r="A17" s="2266" t="s">
        <v>992</v>
      </c>
      <c r="B17" s="2266"/>
      <c r="C17" s="2266"/>
      <c r="D17" s="2266"/>
      <c r="E17" s="2267"/>
      <c r="F17" s="791"/>
      <c r="G17" s="792"/>
      <c r="H17" s="793"/>
      <c r="I17" s="793"/>
      <c r="J17" s="794"/>
      <c r="K17" s="795"/>
    </row>
    <row r="18" spans="1:11" x14ac:dyDescent="0.2">
      <c r="A18" s="2245" t="s">
        <v>386</v>
      </c>
      <c r="B18" s="2246"/>
      <c r="C18" s="2246"/>
      <c r="D18" s="2246"/>
      <c r="E18" s="2247"/>
      <c r="F18" s="790" t="s">
        <v>989</v>
      </c>
      <c r="G18" s="783"/>
      <c r="H18" s="783"/>
      <c r="I18" s="783"/>
      <c r="J18" s="766"/>
      <c r="K18" s="796"/>
    </row>
    <row r="19" spans="1:11" ht="21.75" customHeight="1" x14ac:dyDescent="0.2">
      <c r="A19" s="2243" t="s">
        <v>1913</v>
      </c>
      <c r="B19" s="2243"/>
      <c r="C19" s="2243"/>
      <c r="D19" s="2243"/>
      <c r="E19" s="2244"/>
      <c r="F19" s="790" t="s">
        <v>990</v>
      </c>
      <c r="G19" s="783"/>
      <c r="H19" s="783"/>
      <c r="I19" s="783"/>
      <c r="J19" s="766"/>
      <c r="K19" s="796"/>
    </row>
    <row r="20" spans="1:11" x14ac:dyDescent="0.2">
      <c r="A20" s="2245" t="s">
        <v>1918</v>
      </c>
      <c r="B20" s="2246"/>
      <c r="C20" s="2246"/>
      <c r="D20" s="2246"/>
      <c r="E20" s="2247"/>
      <c r="F20" s="790" t="s">
        <v>991</v>
      </c>
      <c r="G20" s="783"/>
      <c r="H20" s="783"/>
      <c r="I20" s="783"/>
      <c r="J20" s="766"/>
      <c r="K20" s="796"/>
    </row>
    <row r="21" spans="1:11" ht="13.5" thickBot="1" x14ac:dyDescent="0.25">
      <c r="A21" s="2264" t="s">
        <v>659</v>
      </c>
      <c r="B21" s="2264"/>
      <c r="C21" s="2264"/>
      <c r="D21" s="2264"/>
      <c r="E21" s="2264"/>
      <c r="F21" s="1781"/>
      <c r="G21" s="793"/>
      <c r="H21" s="797"/>
      <c r="I21" s="797"/>
      <c r="J21" s="1782">
        <f>SUM(J18:J20)</f>
        <v>0</v>
      </c>
      <c r="K21" s="794"/>
    </row>
    <row r="22" spans="1:11" ht="13.5" thickTop="1" x14ac:dyDescent="0.2">
      <c r="A22" s="2235" t="s">
        <v>1919</v>
      </c>
      <c r="B22" s="2235"/>
      <c r="C22" s="2235"/>
      <c r="D22" s="2235"/>
      <c r="E22" s="2236"/>
      <c r="F22" s="790" t="s">
        <v>917</v>
      </c>
      <c r="G22" s="783"/>
      <c r="H22" s="765"/>
      <c r="I22" s="765"/>
      <c r="J22" s="798"/>
      <c r="K22" s="766"/>
    </row>
    <row r="23" spans="1:11" ht="13.5" thickBot="1" x14ac:dyDescent="0.25">
      <c r="A23" s="2265" t="s">
        <v>962</v>
      </c>
      <c r="B23" s="2264"/>
      <c r="C23" s="2264"/>
      <c r="D23" s="2264"/>
      <c r="E23" s="2264"/>
      <c r="F23" s="1783"/>
      <c r="G23" s="1780">
        <f>SUM(G14:G16,G21,G22)</f>
        <v>0</v>
      </c>
      <c r="H23" s="1780">
        <f>SUM(H14:H16,H21,H22)</f>
        <v>0</v>
      </c>
      <c r="I23" s="1780">
        <f>SUM(I14:I16,I21,I22)</f>
        <v>0</v>
      </c>
      <c r="J23" s="1780">
        <f>SUM(J14:J16,J21,J22)</f>
        <v>0</v>
      </c>
      <c r="K23" s="1780">
        <f>SUM(K14:K16,K21,K22)</f>
        <v>0</v>
      </c>
    </row>
    <row r="24" spans="1:11" ht="14.25" thickTop="1" thickBot="1" x14ac:dyDescent="0.25">
      <c r="A24" s="2265" t="s">
        <v>2021</v>
      </c>
      <c r="B24" s="2264"/>
      <c r="C24" s="2264"/>
      <c r="D24" s="2264"/>
      <c r="E24" s="2264"/>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2031</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38"/>
      <c r="I31" s="2239"/>
      <c r="J31" s="2239"/>
      <c r="K31" s="2239"/>
    </row>
    <row r="32" spans="1:11" x14ac:dyDescent="0.2">
      <c r="A32" s="810"/>
      <c r="B32" s="237"/>
      <c r="C32" s="237"/>
      <c r="D32" s="237"/>
      <c r="E32" s="806"/>
      <c r="F32" s="812" t="s">
        <v>561</v>
      </c>
      <c r="G32" s="765"/>
      <c r="H32" s="2240"/>
      <c r="I32" s="2239"/>
      <c r="J32" s="2239"/>
      <c r="K32" s="2239"/>
    </row>
    <row r="33" spans="1:11" ht="1.5" customHeight="1" x14ac:dyDescent="0.2">
      <c r="A33" s="813" t="s">
        <v>1231</v>
      </c>
      <c r="B33" s="364"/>
      <c r="C33" s="364"/>
      <c r="D33" s="364"/>
      <c r="E33" s="364"/>
      <c r="F33" s="364"/>
      <c r="G33" s="814"/>
      <c r="H33" s="2240"/>
      <c r="I33" s="2239"/>
      <c r="J33" s="2239"/>
      <c r="K33" s="2239"/>
    </row>
    <row r="34" spans="1:11" x14ac:dyDescent="0.2">
      <c r="A34" s="815" t="s">
        <v>1920</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5" t="s">
        <v>562</v>
      </c>
      <c r="B41" s="2248"/>
      <c r="C41" s="2248"/>
      <c r="D41" s="2248"/>
      <c r="E41" s="2248"/>
      <c r="F41" s="2249"/>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1914</v>
      </c>
      <c r="B46" s="408" t="s">
        <v>1774</v>
      </c>
    </row>
    <row r="47" spans="1:11" s="824" customFormat="1" ht="12.75" customHeight="1" x14ac:dyDescent="0.2">
      <c r="A47" s="822"/>
      <c r="B47" s="823" t="s">
        <v>1775</v>
      </c>
      <c r="E47" s="823"/>
      <c r="K47" s="825"/>
    </row>
    <row r="48" spans="1:11" ht="12.75" customHeight="1" x14ac:dyDescent="0.2">
      <c r="A48" s="1554" t="s">
        <v>1915</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0" t="s">
        <v>2030</v>
      </c>
      <c r="B1" s="2271"/>
      <c r="C1" s="2272"/>
      <c r="D1" s="827"/>
      <c r="E1" s="828"/>
      <c r="F1" s="828"/>
      <c r="G1" s="829"/>
      <c r="H1" s="830"/>
      <c r="I1" s="831"/>
      <c r="J1" s="2268"/>
      <c r="K1" s="2269"/>
      <c r="L1" s="2269"/>
    </row>
    <row r="2" spans="1:14" ht="69.75" customHeight="1" x14ac:dyDescent="0.2">
      <c r="A2" s="832" t="s">
        <v>1777</v>
      </c>
      <c r="B2" s="833" t="s">
        <v>396</v>
      </c>
      <c r="C2" s="834" t="s">
        <v>2025</v>
      </c>
      <c r="D2" s="834" t="s">
        <v>2022</v>
      </c>
      <c r="E2" s="834" t="s">
        <v>2023</v>
      </c>
      <c r="F2" s="834" t="s">
        <v>2024</v>
      </c>
      <c r="G2" s="834" t="s">
        <v>626</v>
      </c>
      <c r="H2" s="834" t="s">
        <v>2026</v>
      </c>
      <c r="I2" s="834" t="s">
        <v>2027</v>
      </c>
      <c r="J2" s="834" t="s">
        <v>2042</v>
      </c>
      <c r="K2" s="834" t="s">
        <v>2028</v>
      </c>
      <c r="L2" s="834" t="s">
        <v>2029</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c r="D5" s="842"/>
      <c r="E5" s="842"/>
      <c r="F5" s="1782">
        <f>(C5+D5)-E5</f>
        <v>0</v>
      </c>
      <c r="G5" s="838"/>
      <c r="H5" s="843"/>
      <c r="I5" s="843"/>
      <c r="J5" s="843"/>
      <c r="K5" s="794"/>
      <c r="L5" s="1791">
        <f>F5-K5</f>
        <v>0</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c r="D8" s="845"/>
      <c r="E8" s="845"/>
      <c r="F8" s="1782">
        <f>(C8+D8)-E8</f>
        <v>0</v>
      </c>
      <c r="G8" s="844">
        <v>50</v>
      </c>
      <c r="H8" s="766"/>
      <c r="I8" s="766"/>
      <c r="J8" s="766"/>
      <c r="K8" s="1791">
        <f>(H8+I8)-J8</f>
        <v>0</v>
      </c>
      <c r="L8" s="1791">
        <f>F8-K8</f>
        <v>0</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214123</v>
      </c>
      <c r="D10" s="847"/>
      <c r="E10" s="847"/>
      <c r="F10" s="1786">
        <f>(C10+D10)-E10</f>
        <v>214123</v>
      </c>
      <c r="G10" s="844">
        <v>20</v>
      </c>
      <c r="H10" s="848">
        <v>106534</v>
      </c>
      <c r="I10" s="848">
        <v>10706</v>
      </c>
      <c r="J10" s="848"/>
      <c r="K10" s="1791">
        <f>(H10+I10)-J10</f>
        <v>117240</v>
      </c>
      <c r="L10" s="1791">
        <f>F10-K10</f>
        <v>96883</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113609</v>
      </c>
      <c r="D12" s="845"/>
      <c r="E12" s="845"/>
      <c r="F12" s="1782">
        <f>(C12+D12)-E12</f>
        <v>113609</v>
      </c>
      <c r="G12" s="844">
        <v>10</v>
      </c>
      <c r="H12" s="766">
        <v>78049</v>
      </c>
      <c r="I12" s="766">
        <v>8056</v>
      </c>
      <c r="J12" s="766"/>
      <c r="K12" s="1791">
        <f>(H12+I12)-J12</f>
        <v>86105</v>
      </c>
      <c r="L12" s="1791">
        <f>F12-K12</f>
        <v>27504</v>
      </c>
    </row>
    <row r="13" spans="1:14" ht="14.25" thickTop="1" thickBot="1" x14ac:dyDescent="0.25">
      <c r="A13" s="849" t="s">
        <v>1184</v>
      </c>
      <c r="B13" s="841">
        <v>252</v>
      </c>
      <c r="C13" s="845">
        <v>229213</v>
      </c>
      <c r="D13" s="845"/>
      <c r="E13" s="845"/>
      <c r="F13" s="1782">
        <f>(C13+D13)-E13</f>
        <v>229213</v>
      </c>
      <c r="G13" s="844">
        <v>5</v>
      </c>
      <c r="H13" s="766">
        <v>229213</v>
      </c>
      <c r="I13" s="766"/>
      <c r="J13" s="766"/>
      <c r="K13" s="1791">
        <f>(H13+I13)-J13</f>
        <v>229213</v>
      </c>
      <c r="L13" s="1791">
        <f>F13-K13</f>
        <v>0</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556945</v>
      </c>
      <c r="D16" s="1782">
        <f>SUM(D3,D5:D6,D8:D10,D12:D15)</f>
        <v>0</v>
      </c>
      <c r="E16" s="1782">
        <f>SUM(E3,E5:E6,E8:E10,E12:E15)</f>
        <v>0</v>
      </c>
      <c r="F16" s="1782">
        <f>SUM(F3,F5:F6,F8:F10,F12:F15)</f>
        <v>556945</v>
      </c>
      <c r="G16" s="844"/>
      <c r="H16" s="1782">
        <f>SUM(H3,H6,H8:H10,H12:H14,)</f>
        <v>413796</v>
      </c>
      <c r="I16" s="1782">
        <f>SUM(I3,I6,I8:I10,I12:I14,)</f>
        <v>18762</v>
      </c>
      <c r="J16" s="1782">
        <f>SUM(J3,J6,J8:J10,J12:J14,)</f>
        <v>0</v>
      </c>
      <c r="K16" s="1782">
        <f>(H16+I16)-J16</f>
        <v>432558</v>
      </c>
      <c r="L16" s="1782">
        <f>F16-K16</f>
        <v>124387</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9184</v>
      </c>
      <c r="G17" s="838">
        <v>10</v>
      </c>
      <c r="H17" s="770"/>
      <c r="I17" s="1791">
        <f>F17/G17</f>
        <v>918.4</v>
      </c>
      <c r="J17" s="770"/>
      <c r="K17" s="796"/>
      <c r="L17" s="796"/>
    </row>
    <row r="18" spans="1:12" ht="14.25" thickTop="1" thickBot="1" x14ac:dyDescent="0.25">
      <c r="A18" s="1789" t="s">
        <v>706</v>
      </c>
      <c r="B18" s="1790"/>
      <c r="C18" s="772"/>
      <c r="D18" s="772"/>
      <c r="E18" s="772"/>
      <c r="F18" s="851"/>
      <c r="G18" s="852"/>
      <c r="H18" s="774"/>
      <c r="I18" s="1782">
        <f>SUM(I16,I17)</f>
        <v>19680.400000000001</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pane="bottomLeft"/>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6" t="s">
        <v>1699</v>
      </c>
      <c r="B1" s="2277"/>
      <c r="C1" s="2277"/>
      <c r="D1" s="2277"/>
      <c r="E1" s="2277"/>
      <c r="F1" s="2278"/>
      <c r="G1" s="856"/>
    </row>
    <row r="2" spans="1:7" ht="15" customHeight="1" thickBot="1" x14ac:dyDescent="0.25">
      <c r="A2" s="2279" t="s">
        <v>498</v>
      </c>
      <c r="B2" s="2280"/>
      <c r="C2" s="2280"/>
      <c r="D2" s="2280"/>
      <c r="E2" s="2280"/>
      <c r="F2" s="2281"/>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2"/>
      <c r="B5" s="2283"/>
      <c r="C5" s="2283"/>
      <c r="D5" s="2283"/>
      <c r="E5" s="2283"/>
      <c r="F5" s="2283"/>
    </row>
    <row r="6" spans="1:7" ht="13.5" customHeight="1" thickBot="1" x14ac:dyDescent="0.25">
      <c r="A6" s="2273" t="s">
        <v>1166</v>
      </c>
      <c r="B6" s="2274"/>
      <c r="C6" s="2274"/>
      <c r="D6" s="2274"/>
      <c r="E6" s="2274"/>
      <c r="F6" s="2275"/>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4834151</v>
      </c>
      <c r="G8" s="866"/>
    </row>
    <row r="9" spans="1:7" x14ac:dyDescent="0.2">
      <c r="A9" s="870" t="s">
        <v>480</v>
      </c>
      <c r="B9" s="871" t="s">
        <v>1985</v>
      </c>
      <c r="C9" s="872"/>
      <c r="D9" s="870" t="s">
        <v>522</v>
      </c>
      <c r="E9" s="869"/>
      <c r="F9" s="1935">
        <f>'Expenditures 15-22'!K151</f>
        <v>0</v>
      </c>
      <c r="G9" s="873"/>
    </row>
    <row r="10" spans="1:7" x14ac:dyDescent="0.2">
      <c r="A10" s="870" t="s">
        <v>520</v>
      </c>
      <c r="B10" s="871" t="s">
        <v>1986</v>
      </c>
      <c r="C10" s="872"/>
      <c r="D10" s="870" t="s">
        <v>522</v>
      </c>
      <c r="E10" s="869"/>
      <c r="F10" s="1935">
        <f>'Expenditures 15-22'!K174</f>
        <v>0</v>
      </c>
      <c r="G10" s="873"/>
    </row>
    <row r="11" spans="1:7" x14ac:dyDescent="0.2">
      <c r="A11" s="870" t="s">
        <v>481</v>
      </c>
      <c r="B11" s="871" t="s">
        <v>1987</v>
      </c>
      <c r="C11" s="872"/>
      <c r="D11" s="870" t="s">
        <v>522</v>
      </c>
      <c r="E11" s="869"/>
      <c r="F11" s="1935">
        <f>'Expenditures 15-22'!K210</f>
        <v>0</v>
      </c>
      <c r="G11" s="873"/>
    </row>
    <row r="12" spans="1:7" x14ac:dyDescent="0.2">
      <c r="A12" s="870" t="s">
        <v>482</v>
      </c>
      <c r="B12" s="871" t="s">
        <v>1988</v>
      </c>
      <c r="C12" s="872"/>
      <c r="D12" s="870" t="s">
        <v>522</v>
      </c>
      <c r="E12" s="869"/>
      <c r="F12" s="1935">
        <f>'Expenditures 15-22'!K295</f>
        <v>0</v>
      </c>
      <c r="G12" s="873"/>
    </row>
    <row r="13" spans="1:7" x14ac:dyDescent="0.2">
      <c r="A13" s="870" t="s">
        <v>108</v>
      </c>
      <c r="B13" s="871" t="s">
        <v>1989</v>
      </c>
      <c r="C13" s="872"/>
      <c r="D13" s="870" t="s">
        <v>522</v>
      </c>
      <c r="E13" s="869"/>
      <c r="F13" s="1935">
        <f>'Expenditures 15-22'!K342</f>
        <v>0</v>
      </c>
      <c r="G13" s="874"/>
    </row>
    <row r="14" spans="1:7" ht="12" customHeight="1" thickBot="1" x14ac:dyDescent="0.25">
      <c r="A14" s="1792"/>
      <c r="B14" s="1793"/>
      <c r="C14" s="1794"/>
      <c r="D14" s="1795" t="s">
        <v>522</v>
      </c>
      <c r="E14" s="1796" t="s">
        <v>1015</v>
      </c>
      <c r="F14" s="1797">
        <f>SUM(F8:F13)</f>
        <v>4834151</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1204</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93</v>
      </c>
      <c r="G52" s="866"/>
    </row>
    <row r="53" spans="1:7" x14ac:dyDescent="0.2">
      <c r="A53" s="870" t="s">
        <v>479</v>
      </c>
      <c r="B53" s="870" t="s">
        <v>1551</v>
      </c>
      <c r="C53" s="890">
        <f>'Expenditures 15-22'!B102</f>
        <v>4000</v>
      </c>
      <c r="D53" s="889" t="str">
        <f>'Expenditures 15-22'!A102</f>
        <v>Total Payments to Other Govt Units</v>
      </c>
      <c r="E53" s="869"/>
      <c r="F53" s="1939">
        <f>'Expenditures 15-22'!K102</f>
        <v>0</v>
      </c>
      <c r="G53" s="866"/>
    </row>
    <row r="54" spans="1:7" x14ac:dyDescent="0.2">
      <c r="A54" s="870" t="s">
        <v>479</v>
      </c>
      <c r="B54" s="870" t="s">
        <v>1552</v>
      </c>
      <c r="C54" s="890" t="s">
        <v>1039</v>
      </c>
      <c r="D54" s="886" t="s">
        <v>1157</v>
      </c>
      <c r="E54" s="869"/>
      <c r="F54" s="1939">
        <f>'Expenditures 15-22'!G114</f>
        <v>0</v>
      </c>
      <c r="G54" s="866"/>
    </row>
    <row r="55" spans="1:7" x14ac:dyDescent="0.2">
      <c r="A55" s="870" t="s">
        <v>479</v>
      </c>
      <c r="B55" s="870" t="s">
        <v>1553</v>
      </c>
      <c r="C55" s="890" t="s">
        <v>1039</v>
      </c>
      <c r="D55" s="886" t="s">
        <v>309</v>
      </c>
      <c r="E55" s="869"/>
      <c r="F55" s="1939">
        <f>'Expenditures 15-22'!I114</f>
        <v>9184</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1990</v>
      </c>
      <c r="C57" s="890">
        <f>'Expenditures 15-22'!B139</f>
        <v>4000</v>
      </c>
      <c r="D57" s="888" t="str">
        <f>'Expenditures 15-22'!A139</f>
        <v>Total Payments to Other Govt Units</v>
      </c>
      <c r="E57" s="869"/>
      <c r="F57" s="1939">
        <f>'Expenditures 15-22'!K139</f>
        <v>0</v>
      </c>
      <c r="G57" s="866"/>
    </row>
    <row r="58" spans="1:7" x14ac:dyDescent="0.2">
      <c r="A58" s="870" t="s">
        <v>480</v>
      </c>
      <c r="B58" s="870" t="s">
        <v>1991</v>
      </c>
      <c r="C58" s="887" t="s">
        <v>1039</v>
      </c>
      <c r="D58" s="886" t="s">
        <v>1157</v>
      </c>
      <c r="E58" s="869"/>
      <c r="F58" s="1941">
        <f>'Expenditures 15-22'!G151</f>
        <v>0</v>
      </c>
      <c r="G58" s="866"/>
    </row>
    <row r="59" spans="1:7" x14ac:dyDescent="0.2">
      <c r="A59" s="894" t="s">
        <v>480</v>
      </c>
      <c r="B59" s="857" t="s">
        <v>1992</v>
      </c>
      <c r="C59" s="895" t="s">
        <v>1039</v>
      </c>
      <c r="D59" s="857" t="s">
        <v>309</v>
      </c>
      <c r="F59" s="1942">
        <f>'Expenditures 15-22'!I151</f>
        <v>0</v>
      </c>
      <c r="G59" s="866"/>
    </row>
    <row r="60" spans="1:7" x14ac:dyDescent="0.2">
      <c r="A60" s="894" t="s">
        <v>520</v>
      </c>
      <c r="B60" s="857" t="s">
        <v>1993</v>
      </c>
      <c r="C60" s="895">
        <v>4000</v>
      </c>
      <c r="D60" s="857" t="s">
        <v>330</v>
      </c>
      <c r="F60" s="1940">
        <f>'Expenditures 15-22'!K160</f>
        <v>0</v>
      </c>
      <c r="G60" s="866"/>
    </row>
    <row r="61" spans="1:7" x14ac:dyDescent="0.2">
      <c r="A61" s="896" t="s">
        <v>520</v>
      </c>
      <c r="B61" s="896" t="s">
        <v>1994</v>
      </c>
      <c r="C61" s="897" t="str">
        <f>'Expenditures 15-22'!B170</f>
        <v>5300</v>
      </c>
      <c r="D61" s="898" t="s">
        <v>329</v>
      </c>
      <c r="E61" s="880"/>
      <c r="F61" s="1939">
        <f>'Expenditures 15-22'!K170</f>
        <v>0</v>
      </c>
      <c r="G61" s="866"/>
    </row>
    <row r="62" spans="1:7" x14ac:dyDescent="0.2">
      <c r="A62" s="870" t="s">
        <v>481</v>
      </c>
      <c r="B62" s="870" t="s">
        <v>1995</v>
      </c>
      <c r="C62" s="887">
        <f>'Expenditures 15-22'!B185</f>
        <v>3000</v>
      </c>
      <c r="D62" s="877" t="s">
        <v>469</v>
      </c>
      <c r="E62" s="869"/>
      <c r="F62" s="1939">
        <f>'Expenditures 15-22'!K185-SUM('Expenditures 15-22'!G185,'Expenditures 15-22'!I185)</f>
        <v>0</v>
      </c>
      <c r="G62" s="866"/>
    </row>
    <row r="63" spans="1:7" x14ac:dyDescent="0.2">
      <c r="A63" s="870" t="s">
        <v>481</v>
      </c>
      <c r="B63" s="870" t="s">
        <v>1996</v>
      </c>
      <c r="C63" s="887" t="str">
        <f>'Expenditures 15-22'!B196</f>
        <v>4000</v>
      </c>
      <c r="D63" s="888" t="str">
        <f>'Expenditures 15-22'!A196</f>
        <v>Total Payments to Other Govt Units</v>
      </c>
      <c r="E63" s="869"/>
      <c r="F63" s="1939">
        <f>'Expenditures 15-22'!K196</f>
        <v>0</v>
      </c>
      <c r="G63" s="866"/>
    </row>
    <row r="64" spans="1:7" x14ac:dyDescent="0.2">
      <c r="A64" s="896" t="s">
        <v>481</v>
      </c>
      <c r="B64" s="896" t="s">
        <v>1997</v>
      </c>
      <c r="C64" s="897" t="str">
        <f>'Expenditures 15-22'!B206</f>
        <v>5300</v>
      </c>
      <c r="D64" s="893" t="s">
        <v>329</v>
      </c>
      <c r="E64" s="869"/>
      <c r="F64" s="1939">
        <f>'Expenditures 15-22'!K206</f>
        <v>0</v>
      </c>
      <c r="G64" s="866"/>
    </row>
    <row r="65" spans="1:8" x14ac:dyDescent="0.2">
      <c r="A65" s="870" t="s">
        <v>481</v>
      </c>
      <c r="B65" s="870" t="s">
        <v>1998</v>
      </c>
      <c r="C65" s="887" t="s">
        <v>1039</v>
      </c>
      <c r="D65" s="886" t="s">
        <v>1157</v>
      </c>
      <c r="E65" s="869"/>
      <c r="F65" s="1939">
        <f>'Expenditures 15-22'!G210</f>
        <v>0</v>
      </c>
      <c r="G65" s="866"/>
    </row>
    <row r="66" spans="1:8" x14ac:dyDescent="0.2">
      <c r="A66" s="870" t="s">
        <v>481</v>
      </c>
      <c r="B66" s="870" t="s">
        <v>1999</v>
      </c>
      <c r="C66" s="887" t="s">
        <v>1039</v>
      </c>
      <c r="D66" s="886" t="s">
        <v>309</v>
      </c>
      <c r="E66" s="869"/>
      <c r="F66" s="1939">
        <f>'Expenditures 15-22'!I210</f>
        <v>0</v>
      </c>
      <c r="G66" s="866"/>
    </row>
    <row r="67" spans="1:8" x14ac:dyDescent="0.2">
      <c r="A67" s="870" t="s">
        <v>482</v>
      </c>
      <c r="B67" s="870" t="s">
        <v>2000</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2001</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2002</v>
      </c>
      <c r="C70" s="887">
        <f>'Expenditures 15-22'!B221</f>
        <v>1300</v>
      </c>
      <c r="D70" s="888" t="str">
        <f>'Expenditures 15-22'!A221</f>
        <v>Adult/Continuing Education Programs</v>
      </c>
      <c r="E70" s="869"/>
      <c r="F70" s="1939">
        <f>'Expenditures 15-22'!K221</f>
        <v>0</v>
      </c>
      <c r="G70" s="866"/>
    </row>
    <row r="71" spans="1:8" x14ac:dyDescent="0.2">
      <c r="A71" s="870" t="s">
        <v>482</v>
      </c>
      <c r="B71" s="870" t="s">
        <v>2003</v>
      </c>
      <c r="C71" s="887">
        <f>'Expenditures 15-22'!B224</f>
        <v>1600</v>
      </c>
      <c r="D71" s="888" t="str">
        <f>'Expenditures 15-22'!A224</f>
        <v>Summer School Programs</v>
      </c>
      <c r="E71" s="869"/>
      <c r="F71" s="1939">
        <f>'Expenditures 15-22'!K224</f>
        <v>0</v>
      </c>
      <c r="G71" s="866"/>
    </row>
    <row r="72" spans="1:8" x14ac:dyDescent="0.2">
      <c r="A72" s="870" t="s">
        <v>482</v>
      </c>
      <c r="B72" s="870" t="s">
        <v>2004</v>
      </c>
      <c r="C72" s="887">
        <f>'Expenditures 15-22'!B280</f>
        <v>3000</v>
      </c>
      <c r="D72" s="877" t="s">
        <v>469</v>
      </c>
      <c r="E72" s="869"/>
      <c r="F72" s="1939">
        <f>'Expenditures 15-22'!K280</f>
        <v>0</v>
      </c>
      <c r="G72" s="866"/>
    </row>
    <row r="73" spans="1:8" x14ac:dyDescent="0.2">
      <c r="A73" s="870" t="s">
        <v>482</v>
      </c>
      <c r="B73" s="870" t="s">
        <v>2005</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2006</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2007</v>
      </c>
      <c r="E76" s="1796" t="s">
        <v>1015</v>
      </c>
      <c r="F76" s="1800">
        <f>SUM(F18:F74)</f>
        <v>10481</v>
      </c>
      <c r="G76" s="866"/>
    </row>
    <row r="77" spans="1:8" s="894" customFormat="1" ht="12" customHeight="1" thickTop="1" thickBot="1" x14ac:dyDescent="0.25">
      <c r="A77" s="1801"/>
      <c r="B77" s="1798"/>
      <c r="C77" s="1794"/>
      <c r="D77" s="1799" t="s">
        <v>2008</v>
      </c>
      <c r="E77" s="1796"/>
      <c r="F77" s="1802">
        <f>(F14-F76)</f>
        <v>4823670</v>
      </c>
      <c r="G77" s="870"/>
    </row>
    <row r="78" spans="1:8" s="894" customFormat="1" ht="12" customHeight="1" thickTop="1" x14ac:dyDescent="0.2">
      <c r="A78" s="1803"/>
      <c r="B78" s="1798"/>
      <c r="C78" s="1794"/>
      <c r="D78" s="1799" t="s">
        <v>2054</v>
      </c>
      <c r="E78" s="1796"/>
      <c r="F78" s="899">
        <v>0</v>
      </c>
      <c r="G78" s="900"/>
      <c r="H78" s="870"/>
    </row>
    <row r="79" spans="1:8" s="894" customFormat="1" ht="12" customHeight="1" thickBot="1" x14ac:dyDescent="0.25">
      <c r="A79" s="1804"/>
      <c r="B79" s="1798"/>
      <c r="C79" s="1794"/>
      <c r="D79" s="1799" t="s">
        <v>2009</v>
      </c>
      <c r="E79" s="1796" t="s">
        <v>1015</v>
      </c>
      <c r="F79" s="1805" t="str">
        <f>IF(F78&gt;0,F77/F78," Complete Line 78")</f>
        <v xml:space="preserve"> Complete Line 78</v>
      </c>
      <c r="G79" s="870"/>
    </row>
    <row r="80" spans="1:8" s="894" customFormat="1" ht="8.25" customHeight="1" thickTop="1" x14ac:dyDescent="0.2">
      <c r="A80" s="901"/>
      <c r="B80" s="870"/>
      <c r="C80" s="872"/>
      <c r="D80" s="902"/>
      <c r="E80" s="869"/>
      <c r="F80" s="903"/>
      <c r="G80" s="870"/>
    </row>
    <row r="81" spans="1:7" s="894" customFormat="1" ht="12" thickBot="1" x14ac:dyDescent="0.25">
      <c r="A81" s="2273" t="s">
        <v>1167</v>
      </c>
      <c r="B81" s="2274"/>
      <c r="C81" s="2274"/>
      <c r="D81" s="2274"/>
      <c r="E81" s="2274"/>
      <c r="F81" s="2275"/>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339</v>
      </c>
      <c r="G94" s="913"/>
    </row>
    <row r="95" spans="1:7" x14ac:dyDescent="0.2">
      <c r="A95" s="909" t="s">
        <v>142</v>
      </c>
      <c r="B95" s="909" t="s">
        <v>177</v>
      </c>
      <c r="C95" s="911">
        <v>1700</v>
      </c>
      <c r="D95" s="919" t="str">
        <f>'Revenues 9-14'!A82</f>
        <v>Total District/School Activity Income</v>
      </c>
      <c r="E95" s="907"/>
      <c r="F95" s="1811">
        <f>SUM('Revenues 9-14'!C82,'Revenues 9-14'!D82)</f>
        <v>0</v>
      </c>
      <c r="G95" s="913"/>
    </row>
    <row r="96" spans="1:7" x14ac:dyDescent="0.2">
      <c r="A96" s="909" t="s">
        <v>479</v>
      </c>
      <c r="B96" s="909" t="s">
        <v>178</v>
      </c>
      <c r="C96" s="911">
        <f>'Revenues 9-14'!B84</f>
        <v>1811</v>
      </c>
      <c r="D96" s="912" t="str">
        <f>'Revenues 9-14'!A84</f>
        <v>Rentals - Regular Textbooks</v>
      </c>
      <c r="E96" s="907"/>
      <c r="F96" s="1811">
        <f>'Revenues 9-14'!C84</f>
        <v>0</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3500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294833</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175774</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0</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368</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0</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57958</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23638</v>
      </c>
      <c r="G129" s="931"/>
    </row>
    <row r="130" spans="1:7" x14ac:dyDescent="0.2">
      <c r="A130" s="928" t="s">
        <v>689</v>
      </c>
      <c r="B130" s="928" t="s">
        <v>804</v>
      </c>
      <c r="C130" s="933">
        <v>4300</v>
      </c>
      <c r="D130" s="934" t="str">
        <f>'Revenues 9-14'!A211</f>
        <v>Total Title I</v>
      </c>
      <c r="E130" s="907"/>
      <c r="F130" s="1811">
        <f>SUM('Revenues 9-14'!C211,'Revenues 9-14'!D211,'Revenues 9-14'!F211,'Revenues 9-14'!G211)</f>
        <v>0</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2072636</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38451</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215842</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76540</v>
      </c>
      <c r="G174" s="928"/>
    </row>
    <row r="175" spans="1:7" x14ac:dyDescent="0.2">
      <c r="A175" s="1944" t="s">
        <v>5</v>
      </c>
      <c r="B175" s="1945" t="s">
        <v>2053</v>
      </c>
      <c r="C175" s="1946">
        <v>3100</v>
      </c>
      <c r="D175" s="1947" t="s">
        <v>2056</v>
      </c>
      <c r="E175" s="907"/>
      <c r="F175" s="1931"/>
      <c r="G175" s="928"/>
    </row>
    <row r="176" spans="1:7" x14ac:dyDescent="0.2">
      <c r="A176" s="1944" t="s">
        <v>685</v>
      </c>
      <c r="B176" s="1945" t="s">
        <v>2053</v>
      </c>
      <c r="C176" s="1946">
        <v>3300</v>
      </c>
      <c r="D176" s="1947" t="s">
        <v>2057</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2010</v>
      </c>
      <c r="E178" s="1809" t="s">
        <v>1015</v>
      </c>
      <c r="F178" s="1810">
        <f>SUM(F84:F136,F161:F176)</f>
        <v>2959879</v>
      </c>
    </row>
    <row r="179" spans="1:7" ht="12" customHeight="1" x14ac:dyDescent="0.2">
      <c r="A179" s="1792"/>
      <c r="B179" s="1806"/>
      <c r="C179" s="1807"/>
      <c r="D179" s="1808" t="s">
        <v>2011</v>
      </c>
      <c r="E179" s="1809"/>
      <c r="F179" s="1811">
        <f>'PCTC-OEPP 27-28'!F77-F178</f>
        <v>1863791</v>
      </c>
    </row>
    <row r="180" spans="1:7" ht="12" customHeight="1" x14ac:dyDescent="0.2">
      <c r="A180" s="1792"/>
      <c r="B180" s="1806"/>
      <c r="C180" s="1807"/>
      <c r="D180" s="1808" t="s">
        <v>1921</v>
      </c>
      <c r="E180" s="1809"/>
      <c r="F180" s="1811">
        <f>'Cap Outlay Deprec 26'!I18</f>
        <v>19680.400000000001</v>
      </c>
    </row>
    <row r="181" spans="1:7" ht="12" customHeight="1" x14ac:dyDescent="0.2">
      <c r="A181" s="1792"/>
      <c r="B181" s="1806"/>
      <c r="C181" s="1807"/>
      <c r="D181" s="1808" t="s">
        <v>2012</v>
      </c>
      <c r="E181" s="1809"/>
      <c r="F181" s="1811">
        <f>F179+F180</f>
        <v>1883471.4</v>
      </c>
    </row>
    <row r="182" spans="1:7" ht="12" customHeight="1" x14ac:dyDescent="0.2">
      <c r="A182" s="1792"/>
      <c r="B182" s="1812"/>
      <c r="C182" s="1807"/>
      <c r="D182" s="1808" t="str">
        <f>D78</f>
        <v>9 Month ADA from District Average Daily Attendance/Prior General State Aid Inquiry 2017-2018</v>
      </c>
      <c r="E182" s="1809"/>
      <c r="F182" s="1813">
        <f>'PCTC-OEPP 27-28'!F78</f>
        <v>0</v>
      </c>
      <c r="G182" s="931"/>
    </row>
    <row r="183" spans="1:7" ht="12" customHeight="1" thickBot="1" x14ac:dyDescent="0.25">
      <c r="A183" s="1792"/>
      <c r="B183" s="1812"/>
      <c r="C183" s="1807"/>
      <c r="D183" s="1808" t="s">
        <v>2013</v>
      </c>
      <c r="E183" s="1809" t="s">
        <v>1626</v>
      </c>
      <c r="F183" s="1814" t="e">
        <f>F181/F182</f>
        <v>#DIV/0!</v>
      </c>
      <c r="G183" s="857">
        <v>6323</v>
      </c>
    </row>
    <row r="184" spans="1:7" ht="12" thickTop="1" x14ac:dyDescent="0.2">
      <c r="B184" s="931"/>
      <c r="C184" s="950"/>
      <c r="D184" s="931"/>
      <c r="E184" s="950"/>
      <c r="F184" s="931"/>
      <c r="G184" s="952">
        <v>6326</v>
      </c>
    </row>
    <row r="185" spans="1:7" ht="12.2" customHeight="1" x14ac:dyDescent="0.2">
      <c r="A185" s="931" t="s">
        <v>2055</v>
      </c>
      <c r="B185" s="931"/>
      <c r="C185" s="950"/>
      <c r="D185" s="931"/>
      <c r="E185" s="950"/>
      <c r="F185" s="931"/>
      <c r="G185" s="931"/>
    </row>
    <row r="186" spans="1:7" s="1948" customFormat="1" ht="12.2" customHeight="1" x14ac:dyDescent="0.2">
      <c r="A186" s="1948" t="s">
        <v>2060</v>
      </c>
      <c r="B186" s="1949"/>
      <c r="C186" s="1950"/>
      <c r="D186" s="1949"/>
      <c r="E186" s="1950"/>
      <c r="F186" s="1949"/>
      <c r="G186" s="1949"/>
    </row>
    <row r="187" spans="1:7" s="1948" customFormat="1" ht="12.2" customHeight="1" x14ac:dyDescent="0.2">
      <c r="A187" s="1951" t="s">
        <v>2061</v>
      </c>
      <c r="C187" s="1950"/>
      <c r="D187" s="1949"/>
      <c r="E187" s="1950"/>
      <c r="F187" s="1949"/>
      <c r="G187" s="1949"/>
    </row>
    <row r="188" spans="1:7" ht="12" customHeight="1" x14ac:dyDescent="0.2">
      <c r="C188" s="950"/>
      <c r="D188" s="931"/>
      <c r="E188" s="950"/>
      <c r="F188" s="931"/>
      <c r="G188" s="931"/>
    </row>
    <row r="189" spans="1:7" x14ac:dyDescent="0.2">
      <c r="A189" s="1952" t="s">
        <v>2059</v>
      </c>
      <c r="B189" s="1953" t="s">
        <v>2058</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pane="bottomLeft"/>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1937</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7" t="s">
        <v>1922</v>
      </c>
      <c r="B4" s="2288"/>
      <c r="C4" s="2288"/>
      <c r="D4" s="2288"/>
      <c r="E4" s="2288"/>
      <c r="F4" s="2288"/>
      <c r="G4" s="2289"/>
    </row>
    <row r="5" spans="1:7" x14ac:dyDescent="0.25">
      <c r="A5" s="2290"/>
      <c r="B5" s="2291"/>
      <c r="C5" s="2291"/>
      <c r="D5" s="2291"/>
      <c r="E5" s="2291"/>
      <c r="F5" s="2291"/>
      <c r="G5" s="2292"/>
    </row>
    <row r="6" spans="1:7" ht="18.75" x14ac:dyDescent="0.25">
      <c r="A6" s="1556" t="s">
        <v>1923</v>
      </c>
      <c r="B6" s="1557"/>
      <c r="C6" s="1557"/>
      <c r="D6" s="1557"/>
      <c r="E6" s="1557"/>
      <c r="F6" s="1557"/>
      <c r="G6" s="1558"/>
    </row>
    <row r="7" spans="1:7" ht="30.75" customHeight="1" x14ac:dyDescent="0.25">
      <c r="A7" s="2293" t="s">
        <v>2070</v>
      </c>
      <c r="B7" s="2294"/>
      <c r="C7" s="2294"/>
      <c r="D7" s="2294"/>
      <c r="E7" s="2294"/>
      <c r="F7" s="2294"/>
      <c r="G7" s="2295"/>
    </row>
    <row r="8" spans="1:7" ht="15.75" customHeight="1" x14ac:dyDescent="0.25">
      <c r="A8" s="2296" t="s">
        <v>2019</v>
      </c>
      <c r="B8" s="2297"/>
      <c r="C8" s="2297"/>
      <c r="D8" s="2297"/>
      <c r="E8" s="2297"/>
      <c r="F8" s="2297"/>
      <c r="G8" s="2298"/>
    </row>
    <row r="9" spans="1:7" ht="35.25" customHeight="1" x14ac:dyDescent="0.25">
      <c r="A9" s="2293" t="s">
        <v>2073</v>
      </c>
      <c r="B9" s="2294"/>
      <c r="C9" s="2294"/>
      <c r="D9" s="2294"/>
      <c r="E9" s="2294"/>
      <c r="F9" s="2294"/>
      <c r="G9" s="2295"/>
    </row>
    <row r="10" spans="1:7" ht="15" customHeight="1" x14ac:dyDescent="0.25">
      <c r="A10" s="1559" t="s">
        <v>1924</v>
      </c>
      <c r="B10" s="1560"/>
      <c r="C10" s="1560"/>
      <c r="D10" s="1560"/>
      <c r="E10" s="1560"/>
      <c r="F10" s="1560"/>
      <c r="G10" s="1561"/>
    </row>
    <row r="11" spans="1:7" ht="17.25" customHeight="1" x14ac:dyDescent="0.25">
      <c r="A11" s="2293" t="s">
        <v>2072</v>
      </c>
      <c r="B11" s="2294"/>
      <c r="C11" s="2294"/>
      <c r="D11" s="2294"/>
      <c r="E11" s="2294"/>
      <c r="F11" s="2294"/>
      <c r="G11" s="2295"/>
    </row>
    <row r="12" spans="1:7" ht="15" customHeight="1" x14ac:dyDescent="0.25">
      <c r="A12" s="1559" t="s">
        <v>1929</v>
      </c>
      <c r="B12" s="1560"/>
      <c r="C12" s="1560"/>
      <c r="D12" s="1560"/>
      <c r="E12" s="1560"/>
      <c r="F12" s="1560"/>
      <c r="G12" s="1561"/>
    </row>
    <row r="13" spans="1:7" ht="32.25" customHeight="1" x14ac:dyDescent="0.25">
      <c r="A13" s="2284" t="s">
        <v>1930</v>
      </c>
      <c r="B13" s="2285"/>
      <c r="C13" s="2285"/>
      <c r="D13" s="2285"/>
      <c r="E13" s="2285"/>
      <c r="F13" s="2285"/>
      <c r="G13" s="2286"/>
    </row>
    <row r="14" spans="1:7" x14ac:dyDescent="0.25">
      <c r="A14" s="1683" t="s">
        <v>1938</v>
      </c>
      <c r="B14" s="1684"/>
      <c r="C14" s="1684"/>
      <c r="D14" s="1684"/>
      <c r="E14" s="1684"/>
      <c r="F14" s="1684"/>
      <c r="G14" s="1685"/>
    </row>
    <row r="15" spans="1:7" ht="61.5" customHeight="1" x14ac:dyDescent="0.25">
      <c r="A15" s="1568" t="s">
        <v>1931</v>
      </c>
      <c r="B15" s="1568" t="s">
        <v>1932</v>
      </c>
      <c r="C15" s="1568" t="s">
        <v>1933</v>
      </c>
      <c r="D15" s="1569" t="s">
        <v>1934</v>
      </c>
      <c r="E15" s="1569" t="s">
        <v>1925</v>
      </c>
      <c r="F15" s="1569" t="s">
        <v>1935</v>
      </c>
      <c r="G15" s="1569" t="s">
        <v>1936</v>
      </c>
    </row>
    <row r="16" spans="1:7" x14ac:dyDescent="0.25">
      <c r="A16" s="1670" t="s">
        <v>1939</v>
      </c>
      <c r="B16" s="1671" t="s">
        <v>1928</v>
      </c>
      <c r="C16" s="1672" t="s">
        <v>1926</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t="s">
        <v>2092</v>
      </c>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9" t="s">
        <v>1778</v>
      </c>
      <c r="B5" s="2300"/>
      <c r="C5" s="2300"/>
      <c r="D5" s="2300"/>
      <c r="E5" s="2300"/>
      <c r="F5" s="2300"/>
      <c r="G5" s="2301"/>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2071</v>
      </c>
      <c r="B10" s="972"/>
      <c r="C10" s="977"/>
      <c r="D10" s="973"/>
      <c r="E10" s="974">
        <v>33086</v>
      </c>
      <c r="F10" s="975"/>
      <c r="G10" s="976"/>
      <c r="H10" s="162"/>
      <c r="I10" s="162"/>
    </row>
    <row r="11" spans="1:9" s="669" customFormat="1" ht="22.5" customHeight="1" x14ac:dyDescent="0.2">
      <c r="A11" s="2304" t="s">
        <v>1941</v>
      </c>
      <c r="B11" s="2305"/>
      <c r="C11" s="2305"/>
      <c r="D11" s="2306"/>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1496128</v>
      </c>
      <c r="F19" s="1822"/>
      <c r="G19" s="1824">
        <f>'Expenditures 15-22'!K33-SUM('Expenditures 15-22'!G33,'Expenditures 15-22'!I33)+'Expenditures 15-22'!D229</f>
        <v>1496128</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2083319</v>
      </c>
      <c r="F21" s="1825"/>
      <c r="G21" s="1828">
        <f>'Expenditures 15-22'!K42-SUM('Expenditures 15-22'!G42,'Expenditures 15-22'!I42)+'Expenditures 15-22'!K120-SUM('Expenditures 15-22'!G120,'Expenditures 15-22'!I120)+'Expenditures 15-22'!K180-SUM('Expenditures 15-22'!G180,'Expenditures 15-22'!I180)+'Expenditures 15-22'!D238</f>
        <v>2083319</v>
      </c>
      <c r="H21" s="988"/>
      <c r="I21" s="162"/>
    </row>
    <row r="22" spans="1:9" s="669" customFormat="1" ht="12" customHeight="1" x14ac:dyDescent="0.2">
      <c r="A22" s="995" t="s">
        <v>585</v>
      </c>
      <c r="B22" s="996"/>
      <c r="C22" s="994">
        <v>2200</v>
      </c>
      <c r="D22" s="1825"/>
      <c r="E22" s="1827">
        <f>'Expenditures 15-22'!K47-SUM('Expenditures 15-22'!G47,'Expenditures 15-22'!I47)+'Expenditures 15-22'!D243</f>
        <v>116147</v>
      </c>
      <c r="F22" s="1825"/>
      <c r="G22" s="1828">
        <f>'Expenditures 15-22'!K47-SUM('Expenditures 15-22'!G47,'Expenditures 15-22'!I47)+'Expenditures 15-22'!D243</f>
        <v>116147</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622890</v>
      </c>
      <c r="F23" s="1825"/>
      <c r="G23" s="1827">
        <f>'Expenditures 15-22'!K53-SUM('Expenditures 15-22'!G53,'Expenditures 15-22'!I53)+'Expenditures 15-22'!D257+'Expenditures 15-22'!K330-SUM('Expenditures 15-22'!G330,'Expenditures 15-22'!I330)</f>
        <v>622890</v>
      </c>
      <c r="H23" s="988"/>
      <c r="I23" s="162"/>
    </row>
    <row r="24" spans="1:9" s="669" customFormat="1" ht="12" customHeight="1" x14ac:dyDescent="0.2">
      <c r="A24" s="995" t="s">
        <v>587</v>
      </c>
      <c r="B24" s="996"/>
      <c r="C24" s="994">
        <v>2400</v>
      </c>
      <c r="D24" s="1825"/>
      <c r="E24" s="1827">
        <f>'Expenditures 15-22'!K57-SUM('Expenditures 15-22'!G57,'Expenditures 15-22'!I57)+'Expenditures 15-22'!D261</f>
        <v>0</v>
      </c>
      <c r="F24" s="1825"/>
      <c r="G24" s="1828">
        <f>'Expenditures 15-22'!K57-SUM('Expenditures 15-22'!G57,'Expenditures 15-22'!I57)+'Expenditures 15-22'!D261</f>
        <v>0</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46697</v>
      </c>
      <c r="E27" s="1827">
        <f>E8</f>
        <v>0</v>
      </c>
      <c r="F27" s="1827">
        <f>'Expenditures 15-22'!K60-SUM('Expenditures 15-22'!G60,'Expenditures 15-22'!I60)+'Expenditures 15-22'!D264-E8</f>
        <v>46697</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414562</v>
      </c>
      <c r="F28" s="1829">
        <f>'Expenditures 15-22'!K61-SUM('Expenditures 15-22'!G61,'Expenditures 15-22'!I61)+'Expenditures 15-22'!K124-SUM('Expenditures 15-22'!G124,'Expenditures 15-22'!I124)+'Expenditures 15-22'!D266-E9</f>
        <v>414562</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10897</v>
      </c>
      <c r="F29" s="1825"/>
      <c r="G29" s="1828">
        <f>'Expenditures 15-22'!K62-SUM('Expenditures 15-22'!G62,'Expenditures 15-22'!I62)+'Expenditures 15-22'!K125-SUM('Expenditures 15-22'!G125,'Expenditures 15-22'!I125)+'Expenditures 15-22'!K182-SUM('Expenditures 15-22'!G182,'Expenditures 15-22'!I182)+'Expenditures 15-22'!D267</f>
        <v>10897</v>
      </c>
      <c r="H29" s="986"/>
    </row>
    <row r="30" spans="1:9" ht="12" customHeight="1" x14ac:dyDescent="0.2">
      <c r="A30" s="995" t="s">
        <v>102</v>
      </c>
      <c r="B30" s="998"/>
      <c r="C30" s="994">
        <v>2560</v>
      </c>
      <c r="D30" s="1825"/>
      <c r="E30" s="1827">
        <f>'Expenditures 15-22'!K63-SUM('Expenditures 15-22'!G63,'Expenditures 15-22'!I63)+'Expenditures 15-22'!D268-E10</f>
        <v>0</v>
      </c>
      <c r="F30" s="1825"/>
      <c r="G30" s="1827">
        <f>'Expenditures 15-22'!K63-SUM('Expenditures 15-22'!G63,'Expenditures 15-22'!I63)+'Expenditures 15-22'!D268-E10</f>
        <v>0</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878</v>
      </c>
      <c r="F35" s="1825"/>
      <c r="G35" s="1827">
        <f>'Expenditures 15-22'!K69-SUM('Expenditures 15-22'!G69,'Expenditures 15-22'!I69)+'Expenditures 15-22'!D274</f>
        <v>878</v>
      </c>
    </row>
    <row r="36" spans="1:7" ht="12" customHeight="1" x14ac:dyDescent="0.2">
      <c r="A36" s="995" t="s">
        <v>423</v>
      </c>
      <c r="B36" s="998"/>
      <c r="C36" s="994">
        <v>2640</v>
      </c>
      <c r="D36" s="1827">
        <f>'Expenditures 15-22'!K70-SUM('Expenditures 15-22'!G70,'Expenditures 15-22'!I70)+'Expenditures 15-22'!D275-E13</f>
        <v>270</v>
      </c>
      <c r="E36" s="1827">
        <f>E13</f>
        <v>0</v>
      </c>
      <c r="F36" s="1827">
        <f>'Expenditures 15-22'!K70-SUM('Expenditures 15-22'!G70,'Expenditures 15-22'!I70)+'Expenditures 15-22'!D275-E13</f>
        <v>270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93</v>
      </c>
      <c r="F39" s="1825"/>
      <c r="G39" s="1827">
        <f>'Expenditures 15-22'!K75-SUM('Expenditures 15-22'!G75,'Expenditures 15-22'!I75)+'Expenditures 15-22'!K130-SUM('Expenditures 15-22'!G130,'Expenditures 15-22'!I130)+'Expenditures 15-22'!K185-SUM('Expenditures 15-22'!G185,'Expenditures 15-22'!I185)+'Expenditures 15-22'!D280</f>
        <v>93</v>
      </c>
    </row>
    <row r="40" spans="1:7" ht="12" customHeight="1" x14ac:dyDescent="0.2">
      <c r="A40" s="991" t="s">
        <v>1927</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46967</v>
      </c>
      <c r="E41" s="1829">
        <f>SUM(E19:E40)</f>
        <v>4744914</v>
      </c>
      <c r="F41" s="1829">
        <f>SUM(F19:F39)</f>
        <v>461529</v>
      </c>
      <c r="G41" s="1829">
        <f>SUM(G19:G40)</f>
        <v>4330352</v>
      </c>
    </row>
    <row r="42" spans="1:7" x14ac:dyDescent="0.2">
      <c r="A42" s="988"/>
      <c r="B42" s="162"/>
      <c r="C42" s="1002"/>
      <c r="D42" s="2302" t="s">
        <v>543</v>
      </c>
      <c r="E42" s="2303"/>
      <c r="F42" s="1003" t="s">
        <v>544</v>
      </c>
      <c r="G42" s="1004"/>
    </row>
    <row r="43" spans="1:7" ht="12" customHeight="1" x14ac:dyDescent="0.2">
      <c r="A43" s="988"/>
      <c r="B43" s="162"/>
      <c r="C43" s="1002"/>
      <c r="D43" s="1830" t="s">
        <v>493</v>
      </c>
      <c r="E43" s="1831">
        <f>D41</f>
        <v>46967</v>
      </c>
      <c r="F43" s="1830" t="s">
        <v>495</v>
      </c>
      <c r="G43" s="1831">
        <f>F41</f>
        <v>461529</v>
      </c>
    </row>
    <row r="44" spans="1:7" ht="12" customHeight="1" x14ac:dyDescent="0.2">
      <c r="A44" s="988"/>
      <c r="B44" s="162"/>
      <c r="C44" s="1002"/>
      <c r="D44" s="1830" t="s">
        <v>494</v>
      </c>
      <c r="E44" s="1831">
        <f>E41</f>
        <v>4744914</v>
      </c>
      <c r="F44" s="1830" t="s">
        <v>494</v>
      </c>
      <c r="G44" s="1831">
        <f>G41</f>
        <v>4330352</v>
      </c>
    </row>
    <row r="45" spans="1:7" ht="12" customHeight="1" x14ac:dyDescent="0.2">
      <c r="A45" s="988"/>
      <c r="B45" s="162"/>
      <c r="C45" s="162"/>
      <c r="D45" s="1832" t="s">
        <v>1063</v>
      </c>
      <c r="E45" s="1833">
        <f>(E43/E44)</f>
        <v>9.8983880424387046E-3</v>
      </c>
      <c r="F45" s="1832" t="s">
        <v>1063</v>
      </c>
      <c r="G45" s="1833">
        <f>(G43/G44)</f>
        <v>0.10658001936101269</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21" t="s">
        <v>1446</v>
      </c>
      <c r="B1" s="2321"/>
      <c r="C1" s="2321"/>
      <c r="D1" s="2321"/>
      <c r="E1" s="2321"/>
      <c r="F1" s="2321"/>
    </row>
    <row r="2" spans="1:10" x14ac:dyDescent="0.2">
      <c r="A2" s="1912" t="s">
        <v>2043</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22" t="s">
        <v>1627</v>
      </c>
      <c r="B5" s="2323"/>
      <c r="C5" s="2324"/>
      <c r="D5" s="2324"/>
      <c r="E5" s="2324"/>
      <c r="F5" s="2324"/>
    </row>
    <row r="6" spans="1:10" ht="12" customHeight="1" x14ac:dyDescent="0.25">
      <c r="A6" s="1875"/>
      <c r="B6" s="1876"/>
      <c r="C6" s="2325" t="str">
        <f>COVER!A17</f>
        <v>Vermilion Assoc for SpEd</v>
      </c>
      <c r="D6" s="2325"/>
      <c r="E6" s="2325"/>
      <c r="F6" s="1877"/>
    </row>
    <row r="7" spans="1:10" ht="11.25" customHeight="1" thickBot="1" x14ac:dyDescent="0.3">
      <c r="A7" s="1875"/>
      <c r="B7" s="1876"/>
      <c r="C7" s="2326">
        <f>COVER!A13</f>
        <v>54092801060</v>
      </c>
      <c r="D7" s="2326"/>
      <c r="E7" s="2326"/>
      <c r="F7" s="1877"/>
    </row>
    <row r="8" spans="1:10" ht="25.5" customHeight="1" thickBot="1" x14ac:dyDescent="0.25">
      <c r="A8" s="1918" t="s">
        <v>2020</v>
      </c>
      <c r="B8" s="1878" t="s">
        <v>2093</v>
      </c>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c r="D26" s="1890"/>
      <c r="E26" s="1893"/>
      <c r="F26" s="1892"/>
      <c r="H26" s="1903">
        <f t="shared" si="0"/>
        <v>0</v>
      </c>
      <c r="I26" s="1903">
        <f t="shared" si="1"/>
        <v>0</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0</v>
      </c>
      <c r="I34" s="1903">
        <f>SUM(I11:I32)</f>
        <v>0</v>
      </c>
      <c r="J34" s="1903">
        <f>SUM(J11:J32)</f>
        <v>0</v>
      </c>
      <c r="K34" s="1903">
        <f>SUM(H34:J34)</f>
        <v>0</v>
      </c>
    </row>
    <row r="35" spans="1:11" ht="12" customHeight="1" x14ac:dyDescent="0.2">
      <c r="A35" s="1896" t="s">
        <v>1459</v>
      </c>
      <c r="B35" s="1897"/>
      <c r="C35" s="2327"/>
      <c r="D35" s="2327"/>
      <c r="E35" s="2327"/>
      <c r="F35" s="2328"/>
    </row>
    <row r="36" spans="1:11" ht="12" customHeight="1" x14ac:dyDescent="0.2">
      <c r="A36" s="2310"/>
      <c r="B36" s="2311"/>
      <c r="C36" s="2311"/>
      <c r="D36" s="2311"/>
      <c r="E36" s="2311"/>
      <c r="F36" s="2312"/>
    </row>
    <row r="37" spans="1:11" ht="12" customHeight="1" x14ac:dyDescent="0.2">
      <c r="A37" s="2310"/>
      <c r="B37" s="2311"/>
      <c r="C37" s="2311"/>
      <c r="D37" s="2311"/>
      <c r="E37" s="2311"/>
      <c r="F37" s="2312"/>
    </row>
    <row r="38" spans="1:11" ht="12" customHeight="1" x14ac:dyDescent="0.2">
      <c r="A38" s="2313"/>
      <c r="B38" s="2314"/>
      <c r="C38" s="2314"/>
      <c r="D38" s="2314"/>
      <c r="E38" s="2314"/>
      <c r="F38" s="2315"/>
    </row>
    <row r="39" spans="1:11" ht="4.5" hidden="1" customHeight="1" x14ac:dyDescent="0.2">
      <c r="A39" s="1898"/>
      <c r="B39" s="1898"/>
      <c r="C39" s="1898"/>
      <c r="D39" s="1898"/>
      <c r="E39" s="1898"/>
      <c r="F39" s="1898"/>
    </row>
    <row r="40" spans="1:11" s="1895" customFormat="1" ht="12" customHeight="1" x14ac:dyDescent="0.25">
      <c r="A40" s="1899" t="s">
        <v>1458</v>
      </c>
      <c r="B40" s="1900"/>
      <c r="C40" s="2316"/>
      <c r="D40" s="2316"/>
      <c r="E40" s="2316"/>
      <c r="F40" s="2317"/>
      <c r="H40" s="1904"/>
      <c r="I40" s="1904"/>
      <c r="J40" s="1904"/>
      <c r="K40" s="1904"/>
    </row>
    <row r="41" spans="1:11" s="1895" customFormat="1" ht="12" customHeight="1" x14ac:dyDescent="0.25">
      <c r="A41" s="2318"/>
      <c r="B41" s="2319"/>
      <c r="C41" s="2319"/>
      <c r="D41" s="2319"/>
      <c r="E41" s="2319"/>
      <c r="F41" s="2320"/>
      <c r="H41" s="1904"/>
      <c r="I41" s="1904"/>
      <c r="J41" s="1904"/>
      <c r="K41" s="1904"/>
    </row>
    <row r="42" spans="1:11" s="1895" customFormat="1" ht="12" customHeight="1" x14ac:dyDescent="0.25">
      <c r="A42" s="2318"/>
      <c r="B42" s="2319"/>
      <c r="C42" s="2319"/>
      <c r="D42" s="2319"/>
      <c r="E42" s="2319"/>
      <c r="F42" s="2320"/>
      <c r="H42" s="1904"/>
      <c r="I42" s="1904"/>
      <c r="J42" s="1904"/>
      <c r="K42" s="1904"/>
    </row>
    <row r="43" spans="1:11" s="1895" customFormat="1" ht="15" x14ac:dyDescent="0.25">
      <c r="A43" s="2307"/>
      <c r="B43" s="2308"/>
      <c r="C43" s="2308"/>
      <c r="D43" s="2308"/>
      <c r="E43" s="2308"/>
      <c r="F43" s="2309"/>
      <c r="H43" s="1904"/>
      <c r="I43" s="1904"/>
      <c r="J43" s="1904"/>
      <c r="K43" s="1904"/>
    </row>
    <row r="44" spans="1:11" s="1895" customFormat="1" ht="12" hidden="1" customHeight="1" x14ac:dyDescent="0.25">
      <c r="A44" s="2307"/>
      <c r="B44" s="2308"/>
      <c r="C44" s="2308"/>
      <c r="D44" s="2308"/>
      <c r="E44" s="2308"/>
      <c r="F44" s="2309"/>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4" t="str">
        <f>COVER!A17</f>
        <v>Vermilion Assoc for SpEd</v>
      </c>
      <c r="J6" s="2335"/>
      <c r="Q6" s="1686"/>
    </row>
    <row r="7" spans="1:17" x14ac:dyDescent="0.2">
      <c r="A7" s="2336" t="s">
        <v>924</v>
      </c>
      <c r="B7" s="2337"/>
      <c r="C7" s="2337"/>
      <c r="D7" s="2337"/>
      <c r="E7" s="2338"/>
      <c r="F7" s="1018"/>
      <c r="G7" s="1010"/>
      <c r="H7" s="1017" t="s">
        <v>390</v>
      </c>
      <c r="I7" s="2339">
        <f>COVER!A13</f>
        <v>54092801060</v>
      </c>
      <c r="J7" s="2339"/>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0" t="s">
        <v>502</v>
      </c>
      <c r="B11" s="2341"/>
      <c r="C11" s="2342"/>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622890</v>
      </c>
      <c r="F12" s="1040"/>
      <c r="G12" s="1834">
        <f t="shared" ref="G12:G18" si="0">SUM(E12:F12)</f>
        <v>622890</v>
      </c>
      <c r="H12" s="1041"/>
      <c r="I12" s="1040"/>
      <c r="J12" s="1834">
        <f t="shared" ref="J12:J18" si="1">SUM(H12:I12)</f>
        <v>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3" t="s">
        <v>7</v>
      </c>
      <c r="C18" s="2344"/>
      <c r="D18" s="2345"/>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622890</v>
      </c>
      <c r="F19" s="1836">
        <f t="shared" si="2"/>
        <v>0</v>
      </c>
      <c r="G19" s="1836">
        <f t="shared" si="2"/>
        <v>622890</v>
      </c>
      <c r="H19" s="1836">
        <f t="shared" si="2"/>
        <v>0</v>
      </c>
      <c r="I19" s="1836">
        <f t="shared" si="2"/>
        <v>0</v>
      </c>
      <c r="J19" s="1836">
        <f t="shared" si="2"/>
        <v>0</v>
      </c>
    </row>
    <row r="20" spans="1:10" ht="13.5" thickTop="1" x14ac:dyDescent="0.2">
      <c r="A20" s="1036">
        <v>9</v>
      </c>
      <c r="B20" s="2346" t="s">
        <v>1703</v>
      </c>
      <c r="C20" s="2346"/>
      <c r="D20" s="2347"/>
      <c r="E20" s="1047"/>
      <c r="F20" s="1047"/>
      <c r="G20" s="1047"/>
      <c r="H20" s="1047"/>
      <c r="I20" s="1047"/>
      <c r="J20" s="1837" t="str">
        <f>IF(AND(G19&gt;0,J19&gt;0),(((J19-G19)/G19)),"Enter Budget Data")</f>
        <v>Enter Budget Data</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2"/>
      <c r="D26" s="2352"/>
      <c r="E26" s="1051"/>
      <c r="F26" s="2351"/>
      <c r="G26" s="2351"/>
    </row>
    <row r="27" spans="1:10" x14ac:dyDescent="0.2">
      <c r="B27" s="1048"/>
      <c r="C27" s="1052" t="s">
        <v>1093</v>
      </c>
      <c r="D27" s="1053"/>
      <c r="E27" s="1054"/>
      <c r="F27" s="2348" t="s">
        <v>1589</v>
      </c>
      <c r="G27" s="2348"/>
    </row>
    <row r="28" spans="1:10" ht="28.5" customHeight="1" x14ac:dyDescent="0.2">
      <c r="B28" s="1048"/>
      <c r="C28" s="2350"/>
      <c r="D28" s="2350"/>
      <c r="E28" s="1055"/>
      <c r="F28" s="2350"/>
      <c r="G28" s="2350"/>
    </row>
    <row r="29" spans="1:10" x14ac:dyDescent="0.2">
      <c r="B29" s="1048"/>
      <c r="C29" s="1056" t="s">
        <v>1642</v>
      </c>
      <c r="E29" s="1057"/>
      <c r="F29" s="2349" t="s">
        <v>1590</v>
      </c>
      <c r="G29" s="2349"/>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1" t="s">
        <v>134</v>
      </c>
      <c r="D33" s="2332"/>
      <c r="E33" s="2332"/>
      <c r="F33" s="2332"/>
      <c r="G33" s="2332"/>
      <c r="H33" s="2332"/>
      <c r="I33" s="2332"/>
    </row>
    <row r="34" spans="1:10" ht="10.35" customHeight="1" x14ac:dyDescent="0.2">
      <c r="C34" s="2332"/>
      <c r="D34" s="2332"/>
      <c r="E34" s="2332"/>
      <c r="F34" s="2332"/>
      <c r="G34" s="2332"/>
      <c r="H34" s="2332"/>
      <c r="I34" s="2332"/>
    </row>
    <row r="35" spans="1:10" ht="7.5" customHeight="1" x14ac:dyDescent="0.2">
      <c r="C35" s="1063"/>
    </row>
    <row r="36" spans="1:10" ht="13.5" customHeight="1" x14ac:dyDescent="0.2">
      <c r="B36" s="1062"/>
      <c r="C36" s="2333" t="s">
        <v>1940</v>
      </c>
      <c r="D36" s="2332"/>
      <c r="E36" s="2332"/>
      <c r="F36" s="2332"/>
      <c r="G36" s="2332"/>
      <c r="H36" s="2332"/>
      <c r="I36" s="2332"/>
      <c r="J36" s="1064"/>
    </row>
    <row r="37" spans="1:10" ht="22.5" customHeight="1" x14ac:dyDescent="0.2">
      <c r="C37" s="2332"/>
      <c r="D37" s="2332"/>
      <c r="E37" s="2332"/>
      <c r="F37" s="2332"/>
      <c r="G37" s="2332"/>
      <c r="H37" s="2332"/>
      <c r="I37" s="2332"/>
      <c r="J37" s="1064"/>
    </row>
    <row r="38" spans="1:10" ht="7.5" customHeight="1" x14ac:dyDescent="0.2">
      <c r="C38" s="1063"/>
      <c r="D38" s="1065"/>
      <c r="E38" s="1066"/>
      <c r="F38" s="1067"/>
      <c r="G38" s="1066"/>
    </row>
    <row r="39" spans="1:10" ht="13.5" customHeight="1" x14ac:dyDescent="0.2">
      <c r="B39" s="1062"/>
      <c r="C39" s="2329" t="s">
        <v>937</v>
      </c>
      <c r="D39" s="2330"/>
      <c r="E39" s="2330"/>
      <c r="F39" s="2330"/>
      <c r="G39" s="2330"/>
      <c r="H39" s="2330"/>
      <c r="I39" s="2330"/>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59"/>
  <sheetViews>
    <sheetView showGridLines="0" zoomScale="110" zoomScaleNormal="110" workbookViewId="0"/>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2094</v>
      </c>
    </row>
    <row r="6" spans="1:2" x14ac:dyDescent="0.2">
      <c r="A6" s="1069"/>
      <c r="B6" s="329" t="s">
        <v>2095</v>
      </c>
    </row>
    <row r="7" spans="1:2" x14ac:dyDescent="0.2">
      <c r="A7" s="1069"/>
      <c r="B7" s="329" t="s">
        <v>2098</v>
      </c>
    </row>
    <row r="8" spans="1:2" x14ac:dyDescent="0.2">
      <c r="A8" s="1069"/>
    </row>
    <row r="9" spans="1:2" x14ac:dyDescent="0.2">
      <c r="A9" s="1069">
        <v>2</v>
      </c>
      <c r="B9" s="329" t="s">
        <v>2096</v>
      </c>
    </row>
    <row r="10" spans="1:2" x14ac:dyDescent="0.2">
      <c r="A10" s="1069"/>
      <c r="B10" s="329" t="s">
        <v>2095</v>
      </c>
    </row>
    <row r="11" spans="1:2" x14ac:dyDescent="0.2">
      <c r="A11" s="1069"/>
      <c r="B11" s="329" t="s">
        <v>2099</v>
      </c>
    </row>
    <row r="12" spans="1:2" x14ac:dyDescent="0.2">
      <c r="A12" s="1069"/>
    </row>
    <row r="13" spans="1:2" x14ac:dyDescent="0.2">
      <c r="A13" s="1069">
        <v>3</v>
      </c>
      <c r="B13" s="329" t="s">
        <v>2097</v>
      </c>
    </row>
    <row r="14" spans="1:2" x14ac:dyDescent="0.2">
      <c r="A14" s="1069"/>
      <c r="B14" s="329" t="s">
        <v>2095</v>
      </c>
    </row>
    <row r="15" spans="1:2" x14ac:dyDescent="0.2">
      <c r="A15" s="1069"/>
      <c r="B15" s="329" t="s">
        <v>2100</v>
      </c>
    </row>
    <row r="16" spans="1:2" x14ac:dyDescent="0.2">
      <c r="A16" s="1069"/>
    </row>
    <row r="17" spans="1:2" x14ac:dyDescent="0.2">
      <c r="A17" s="1069">
        <v>4</v>
      </c>
      <c r="B17" s="329" t="s">
        <v>2101</v>
      </c>
    </row>
    <row r="18" spans="1:2" x14ac:dyDescent="0.2">
      <c r="A18" s="1070"/>
      <c r="B18" s="329" t="s">
        <v>2102</v>
      </c>
    </row>
    <row r="19" spans="1:2" x14ac:dyDescent="0.2">
      <c r="A19" s="1070"/>
    </row>
    <row r="20" spans="1:2" x14ac:dyDescent="0.2">
      <c r="A20" s="1070"/>
    </row>
    <row r="21" spans="1:2" x14ac:dyDescent="0.2">
      <c r="A21" s="1070"/>
    </row>
    <row r="22" spans="1:2" x14ac:dyDescent="0.2">
      <c r="A22" s="1070"/>
    </row>
    <row r="23" spans="1:2" x14ac:dyDescent="0.2">
      <c r="A23" s="1070"/>
    </row>
    <row r="24" spans="1:2" x14ac:dyDescent="0.2">
      <c r="A24" s="1070"/>
    </row>
    <row r="25" spans="1:2" x14ac:dyDescent="0.2">
      <c r="A25" s="1070"/>
    </row>
    <row r="26" spans="1:2" x14ac:dyDescent="0.2">
      <c r="A26" s="1070"/>
    </row>
    <row r="27" spans="1:2" x14ac:dyDescent="0.2">
      <c r="A27" s="1070"/>
    </row>
    <row r="28" spans="1:2" x14ac:dyDescent="0.2">
      <c r="A28" s="1070"/>
    </row>
    <row r="29" spans="1:2" x14ac:dyDescent="0.2">
      <c r="A29" s="1070"/>
    </row>
    <row r="30" spans="1:2" x14ac:dyDescent="0.2">
      <c r="A30" s="1070"/>
    </row>
    <row r="31" spans="1:2" x14ac:dyDescent="0.2">
      <c r="A31" s="1070"/>
    </row>
    <row r="32" spans="1:2"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c r="B58" s="258" t="str">
        <f>COVER!A17</f>
        <v>Vermilion Assoc for SpEd</v>
      </c>
    </row>
    <row r="59" spans="1:2" x14ac:dyDescent="0.2">
      <c r="B59" s="1071">
        <f>COVER!A13</f>
        <v>54092801060</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1967</v>
      </c>
      <c r="C4" s="162" t="s">
        <v>1231</v>
      </c>
      <c r="D4" s="169" t="s">
        <v>10</v>
      </c>
      <c r="E4" s="170" t="s">
        <v>22</v>
      </c>
    </row>
    <row r="5" spans="1:5" x14ac:dyDescent="0.2">
      <c r="A5" s="168" t="s">
        <v>1969</v>
      </c>
      <c r="C5" s="162" t="s">
        <v>1231</v>
      </c>
      <c r="D5" s="169" t="s">
        <v>10</v>
      </c>
      <c r="E5" s="170" t="s">
        <v>22</v>
      </c>
    </row>
    <row r="6" spans="1:5" x14ac:dyDescent="0.2">
      <c r="A6" s="168" t="s">
        <v>1968</v>
      </c>
      <c r="C6" s="162" t="s">
        <v>1231</v>
      </c>
      <c r="D6" s="167" t="s">
        <v>11</v>
      </c>
      <c r="E6" s="170" t="s">
        <v>998</v>
      </c>
    </row>
    <row r="7" spans="1:5" x14ac:dyDescent="0.2">
      <c r="A7" s="168" t="s">
        <v>1970</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1971</v>
      </c>
      <c r="C11" s="162" t="s">
        <v>1231</v>
      </c>
      <c r="D11" s="169" t="s">
        <v>14</v>
      </c>
      <c r="E11" s="170" t="s">
        <v>1218</v>
      </c>
    </row>
    <row r="12" spans="1:5" x14ac:dyDescent="0.2">
      <c r="B12" s="169" t="s">
        <v>1972</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1973</v>
      </c>
      <c r="C15" s="162" t="s">
        <v>1231</v>
      </c>
      <c r="D15" s="169" t="s">
        <v>17</v>
      </c>
      <c r="E15" s="170" t="s">
        <v>657</v>
      </c>
    </row>
    <row r="16" spans="1:5" x14ac:dyDescent="0.2">
      <c r="A16" s="172"/>
      <c r="B16" s="162" t="s">
        <v>1974</v>
      </c>
      <c r="C16" s="162" t="s">
        <v>1231</v>
      </c>
      <c r="D16" s="169" t="s">
        <v>702</v>
      </c>
      <c r="E16" s="170" t="s">
        <v>1100</v>
      </c>
    </row>
    <row r="17" spans="1:5" x14ac:dyDescent="0.2">
      <c r="B17" s="167" t="s">
        <v>1045</v>
      </c>
      <c r="C17" s="162" t="s">
        <v>1231</v>
      </c>
    </row>
    <row r="18" spans="1:5" x14ac:dyDescent="0.2">
      <c r="B18" s="167" t="s">
        <v>1980</v>
      </c>
      <c r="D18" s="169" t="s">
        <v>18</v>
      </c>
      <c r="E18" s="170" t="s">
        <v>1101</v>
      </c>
    </row>
    <row r="19" spans="1:5" x14ac:dyDescent="0.2">
      <c r="A19" s="168" t="s">
        <v>1161</v>
      </c>
      <c r="C19" s="162" t="s">
        <v>1231</v>
      </c>
      <c r="D19" s="169"/>
      <c r="E19" s="171"/>
    </row>
    <row r="20" spans="1:5" x14ac:dyDescent="0.2">
      <c r="B20" s="167" t="s">
        <v>1975</v>
      </c>
      <c r="C20" s="162" t="s">
        <v>1231</v>
      </c>
      <c r="D20" s="169" t="s">
        <v>19</v>
      </c>
      <c r="E20" s="170" t="s">
        <v>53</v>
      </c>
    </row>
    <row r="21" spans="1:5" x14ac:dyDescent="0.2">
      <c r="B21" s="167" t="s">
        <v>1976</v>
      </c>
      <c r="C21" s="162" t="s">
        <v>1231</v>
      </c>
      <c r="D21" s="169" t="s">
        <v>20</v>
      </c>
      <c r="E21" s="170" t="s">
        <v>1708</v>
      </c>
    </row>
    <row r="22" spans="1:5" x14ac:dyDescent="0.2">
      <c r="A22" s="168"/>
      <c r="B22" s="162" t="s">
        <v>1964</v>
      </c>
      <c r="C22" s="162" t="s">
        <v>1231</v>
      </c>
      <c r="D22" s="167" t="s">
        <v>1966</v>
      </c>
      <c r="E22" s="1859" t="s">
        <v>1709</v>
      </c>
    </row>
    <row r="23" spans="1:5" x14ac:dyDescent="0.2">
      <c r="A23" s="168"/>
      <c r="B23" s="162" t="s">
        <v>1965</v>
      </c>
      <c r="D23" s="167" t="s">
        <v>658</v>
      </c>
      <c r="E23" s="1859" t="s">
        <v>1016</v>
      </c>
    </row>
    <row r="24" spans="1:5" x14ac:dyDescent="0.2">
      <c r="A24" s="168" t="s">
        <v>1707</v>
      </c>
      <c r="C24" s="162" t="s">
        <v>1231</v>
      </c>
      <c r="D24" s="167" t="s">
        <v>1460</v>
      </c>
      <c r="E24" s="170" t="s">
        <v>1017</v>
      </c>
    </row>
    <row r="25" spans="1:5" x14ac:dyDescent="0.2">
      <c r="A25" s="168" t="s">
        <v>1977</v>
      </c>
      <c r="C25" s="162" t="s">
        <v>1231</v>
      </c>
      <c r="D25" s="169" t="s">
        <v>21</v>
      </c>
      <c r="E25" s="170" t="s">
        <v>1102</v>
      </c>
    </row>
    <row r="26" spans="1:5" x14ac:dyDescent="0.2">
      <c r="A26" s="168" t="s">
        <v>1978</v>
      </c>
      <c r="C26" s="162" t="s">
        <v>1231</v>
      </c>
      <c r="D26" s="169" t="s">
        <v>584</v>
      </c>
      <c r="E26" s="170" t="s">
        <v>1103</v>
      </c>
    </row>
    <row r="27" spans="1:5" x14ac:dyDescent="0.2">
      <c r="A27" s="168" t="s">
        <v>1979</v>
      </c>
      <c r="C27" s="162" t="s">
        <v>1231</v>
      </c>
      <c r="D27" s="169" t="s">
        <v>578</v>
      </c>
      <c r="E27" s="170" t="s">
        <v>704</v>
      </c>
    </row>
    <row r="28" spans="1:5" x14ac:dyDescent="0.2">
      <c r="A28" s="168" t="s">
        <v>1981</v>
      </c>
      <c r="D28" s="169" t="s">
        <v>705</v>
      </c>
      <c r="E28" s="170" t="s">
        <v>1433</v>
      </c>
    </row>
    <row r="29" spans="1:5" x14ac:dyDescent="0.2">
      <c r="A29" s="168" t="s">
        <v>1982</v>
      </c>
      <c r="D29" s="169" t="s">
        <v>1461</v>
      </c>
      <c r="E29" s="170" t="s">
        <v>1442</v>
      </c>
    </row>
    <row r="30" spans="1:5" x14ac:dyDescent="0.2">
      <c r="A30" s="173" t="s">
        <v>1983</v>
      </c>
      <c r="C30" s="162" t="s">
        <v>1231</v>
      </c>
      <c r="D30" s="169" t="s">
        <v>42</v>
      </c>
      <c r="E30" s="170" t="s">
        <v>1039</v>
      </c>
    </row>
    <row r="31" spans="1:5" x14ac:dyDescent="0.2">
      <c r="A31" s="168" t="s">
        <v>1602</v>
      </c>
      <c r="C31" s="162" t="s">
        <v>1231</v>
      </c>
      <c r="D31" s="167"/>
      <c r="E31" s="171"/>
    </row>
    <row r="32" spans="1:5" x14ac:dyDescent="0.2">
      <c r="B32" s="167" t="s">
        <v>1984</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0" t="s">
        <v>1125</v>
      </c>
      <c r="B35" s="2070"/>
      <c r="C35" s="2070"/>
      <c r="D35" s="2070"/>
      <c r="E35" s="207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7" t="s">
        <v>715</v>
      </c>
      <c r="B40" s="2067"/>
      <c r="C40" s="2067"/>
      <c r="D40" s="2067"/>
      <c r="E40" s="2067"/>
    </row>
    <row r="41" spans="1:5" x14ac:dyDescent="0.2">
      <c r="A41" s="2068" t="s">
        <v>1706</v>
      </c>
      <c r="B41" s="2068"/>
      <c r="C41" s="2068"/>
      <c r="D41" s="2068"/>
      <c r="E41" s="2068"/>
    </row>
    <row r="42" spans="1:5" ht="12.75" customHeight="1" x14ac:dyDescent="0.2">
      <c r="A42" s="2069" t="s">
        <v>1080</v>
      </c>
      <c r="B42" s="2069"/>
      <c r="C42" s="2069"/>
      <c r="D42" s="2069"/>
      <c r="E42" s="2069"/>
    </row>
    <row r="43" spans="1:5" ht="6.75" customHeight="1" x14ac:dyDescent="0.2">
      <c r="A43" s="167"/>
      <c r="B43" s="176"/>
    </row>
    <row r="44" spans="1:5" x14ac:dyDescent="0.2">
      <c r="A44" s="185" t="s">
        <v>1040</v>
      </c>
      <c r="B44" s="186" t="s">
        <v>2014</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1871</v>
      </c>
    </row>
    <row r="52" spans="1:3" x14ac:dyDescent="0.2">
      <c r="A52" s="190"/>
      <c r="B52" s="188" t="s">
        <v>1891</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1872</v>
      </c>
    </row>
    <row r="57" spans="1:3" x14ac:dyDescent="0.2">
      <c r="A57" s="193"/>
      <c r="B57" s="190" t="s">
        <v>1874</v>
      </c>
    </row>
    <row r="58" spans="1:3" x14ac:dyDescent="0.2">
      <c r="A58" s="194"/>
      <c r="B58" s="190" t="s">
        <v>1875</v>
      </c>
    </row>
    <row r="59" spans="1:3" x14ac:dyDescent="0.2">
      <c r="A59" s="195"/>
      <c r="B59" s="1507" t="s">
        <v>1876</v>
      </c>
    </row>
    <row r="60" spans="1:3" x14ac:dyDescent="0.2">
      <c r="A60" s="196"/>
      <c r="B60" s="1507" t="s">
        <v>1877</v>
      </c>
    </row>
    <row r="61" spans="1:3" ht="6" customHeight="1" x14ac:dyDescent="0.2">
      <c r="A61" s="197"/>
      <c r="B61" s="189"/>
    </row>
    <row r="62" spans="1:3" x14ac:dyDescent="0.2">
      <c r="A62" s="169" t="s">
        <v>1714</v>
      </c>
      <c r="B62" s="198" t="s">
        <v>1873</v>
      </c>
    </row>
    <row r="63" spans="1:3" x14ac:dyDescent="0.2">
      <c r="A63" s="188"/>
      <c r="B63" s="169" t="s">
        <v>1888</v>
      </c>
    </row>
    <row r="64" spans="1:3" x14ac:dyDescent="0.2">
      <c r="A64" s="195"/>
      <c r="B64" s="1509" t="s">
        <v>1878</v>
      </c>
    </row>
    <row r="65" spans="1:9" x14ac:dyDescent="0.2">
      <c r="A65" s="188"/>
      <c r="B65" s="169" t="s">
        <v>1889</v>
      </c>
    </row>
    <row r="66" spans="1:9" x14ac:dyDescent="0.2">
      <c r="A66" s="190"/>
      <c r="B66" s="190" t="s">
        <v>1879</v>
      </c>
    </row>
    <row r="67" spans="1:9" ht="12" customHeight="1" x14ac:dyDescent="0.2">
      <c r="A67" s="188"/>
      <c r="B67" s="169" t="s">
        <v>1890</v>
      </c>
    </row>
    <row r="68" spans="1:9" x14ac:dyDescent="0.2">
      <c r="A68" s="189"/>
      <c r="B68" s="190" t="s">
        <v>1880</v>
      </c>
    </row>
    <row r="69" spans="1:9" x14ac:dyDescent="0.2">
      <c r="A69" s="190"/>
      <c r="B69" s="188" t="s">
        <v>1881</v>
      </c>
    </row>
    <row r="70" spans="1:9" ht="13.5" customHeight="1" x14ac:dyDescent="0.2">
      <c r="A70" s="190"/>
      <c r="B70" s="188" t="s">
        <v>1882</v>
      </c>
    </row>
    <row r="71" spans="1:9" ht="12" customHeight="1" x14ac:dyDescent="0.2">
      <c r="A71" s="192"/>
      <c r="B71" s="1508" t="s">
        <v>1717</v>
      </c>
    </row>
    <row r="72" spans="1:9" ht="9" customHeight="1" x14ac:dyDescent="0.2">
      <c r="A72" s="192"/>
      <c r="B72" s="199"/>
    </row>
    <row r="73" spans="1:9" x14ac:dyDescent="0.2">
      <c r="A73" s="189" t="s">
        <v>1718</v>
      </c>
      <c r="B73" s="169" t="s">
        <v>1884</v>
      </c>
    </row>
    <row r="74" spans="1:9" x14ac:dyDescent="0.2">
      <c r="A74" s="189"/>
      <c r="B74" s="169" t="s">
        <v>1883</v>
      </c>
    </row>
    <row r="75" spans="1:9" ht="8.25" customHeight="1" x14ac:dyDescent="0.2">
      <c r="A75" s="189"/>
      <c r="B75" s="189"/>
    </row>
    <row r="76" spans="1:9" ht="12.2" customHeight="1" x14ac:dyDescent="0.2">
      <c r="A76" s="189" t="s">
        <v>1719</v>
      </c>
      <c r="B76" s="198" t="s">
        <v>1885</v>
      </c>
    </row>
    <row r="77" spans="1:9" ht="12.2" customHeight="1" x14ac:dyDescent="0.2">
      <c r="A77" s="190"/>
      <c r="B77" s="169" t="s">
        <v>1720</v>
      </c>
      <c r="C77" s="179"/>
      <c r="D77" s="180"/>
      <c r="E77" s="181"/>
      <c r="F77" s="181"/>
      <c r="G77" s="181"/>
      <c r="H77" s="181"/>
      <c r="I77" s="181"/>
    </row>
    <row r="78" spans="1:9" ht="11.25" customHeight="1" x14ac:dyDescent="0.2">
      <c r="A78" s="190"/>
      <c r="B78" s="190" t="s">
        <v>1887</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3" t="s">
        <v>1784</v>
      </c>
      <c r="B18" s="2353"/>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1" r:id="rId4">
          <objectPr defaultSize="0" r:id="rId5">
            <anchor moveWithCells="1">
              <from>
                <xdr:col>1</xdr:col>
                <xdr:colOff>1219200</xdr:colOff>
                <xdr:row>3</xdr:row>
                <xdr:rowOff>66675</xdr:rowOff>
              </from>
              <to>
                <xdr:col>1</xdr:col>
                <xdr:colOff>2133600</xdr:colOff>
                <xdr:row>7</xdr:row>
                <xdr:rowOff>104775</xdr:rowOff>
              </to>
            </anchor>
          </objectPr>
        </oleObject>
      </mc:Choice>
      <mc:Fallback>
        <oleObject progId="AcroExch.Document.DC"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4" t="s">
        <v>1790</v>
      </c>
      <c r="B1" s="2355"/>
      <c r="C1" s="2355"/>
      <c r="D1" s="2355"/>
      <c r="E1" s="2355"/>
      <c r="F1" s="2356"/>
    </row>
    <row r="2" spans="1:8" ht="45" customHeight="1" x14ac:dyDescent="0.2">
      <c r="A2" s="2364" t="s">
        <v>1791</v>
      </c>
      <c r="B2" s="2365"/>
      <c r="C2" s="2365"/>
      <c r="D2" s="2365"/>
      <c r="E2" s="2365"/>
      <c r="F2" s="2366"/>
      <c r="G2" s="1075"/>
      <c r="H2" s="1075"/>
    </row>
    <row r="3" spans="1:8" ht="57" customHeight="1" x14ac:dyDescent="0.2">
      <c r="A3" s="2367" t="s">
        <v>1786</v>
      </c>
      <c r="B3" s="2368"/>
      <c r="C3" s="2368"/>
      <c r="D3" s="2368"/>
      <c r="E3" s="2368"/>
      <c r="F3" s="2369"/>
      <c r="G3" s="1075"/>
      <c r="H3" s="1075"/>
    </row>
    <row r="4" spans="1:8" ht="14.25" customHeight="1" x14ac:dyDescent="0.2">
      <c r="A4" s="2373" t="s">
        <v>2051</v>
      </c>
      <c r="B4" s="2374"/>
      <c r="C4" s="2374"/>
      <c r="D4" s="2374"/>
      <c r="E4" s="2374"/>
      <c r="F4" s="2375"/>
      <c r="G4" s="1075"/>
      <c r="H4" s="1075"/>
    </row>
    <row r="5" spans="1:8" ht="14.25" customHeight="1" x14ac:dyDescent="0.2">
      <c r="A5" s="2376" t="s">
        <v>2052</v>
      </c>
      <c r="B5" s="2377"/>
      <c r="C5" s="2377"/>
      <c r="D5" s="2377"/>
      <c r="E5" s="2377"/>
      <c r="F5" s="2378"/>
      <c r="G5" s="1075"/>
      <c r="H5" s="1075"/>
    </row>
    <row r="6" spans="1:8" s="1076" customFormat="1" ht="41.25" customHeight="1" x14ac:dyDescent="0.2">
      <c r="A6" s="2370" t="s">
        <v>1792</v>
      </c>
      <c r="B6" s="2371"/>
      <c r="C6" s="2371"/>
      <c r="D6" s="2371"/>
      <c r="E6" s="2371"/>
      <c r="F6" s="2372"/>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5682986</v>
      </c>
      <c r="C8" s="1838">
        <f>'Acct Summary 7-8'!D8</f>
        <v>0</v>
      </c>
      <c r="D8" s="1838">
        <f>'Acct Summary 7-8'!F8</f>
        <v>0</v>
      </c>
      <c r="E8" s="1838">
        <f>'Acct Summary 7-8'!I8</f>
        <v>0</v>
      </c>
      <c r="F8" s="1838">
        <f>SUM(B8:E8)</f>
        <v>5682986</v>
      </c>
    </row>
    <row r="9" spans="1:8" s="1080" customFormat="1" ht="14.25" customHeight="1" thickBot="1" x14ac:dyDescent="0.25">
      <c r="A9" s="1079" t="s">
        <v>1436</v>
      </c>
      <c r="B9" s="1839">
        <f>'Acct Summary 7-8'!C17</f>
        <v>4834151</v>
      </c>
      <c r="C9" s="1839">
        <f>'Acct Summary 7-8'!D17</f>
        <v>0</v>
      </c>
      <c r="D9" s="1839">
        <f>'Acct Summary 7-8'!F17</f>
        <v>0</v>
      </c>
      <c r="E9" s="1838"/>
      <c r="F9" s="1838">
        <f>SUM(B9:E9)</f>
        <v>4834151</v>
      </c>
    </row>
    <row r="10" spans="1:8" s="1080" customFormat="1" ht="14.25" thickTop="1" thickBot="1" x14ac:dyDescent="0.25">
      <c r="A10" s="1081" t="s">
        <v>1437</v>
      </c>
      <c r="B10" s="1840">
        <f>(B8-B9)</f>
        <v>848835</v>
      </c>
      <c r="C10" s="1840">
        <f>(C8-C9)</f>
        <v>0</v>
      </c>
      <c r="D10" s="1840">
        <f>(D8-D9)</f>
        <v>0</v>
      </c>
      <c r="E10" s="1839">
        <f>(E8-E9)</f>
        <v>0</v>
      </c>
      <c r="F10" s="1841">
        <f>SUM(F8-F9)</f>
        <v>848835</v>
      </c>
    </row>
    <row r="11" spans="1:8" s="1080" customFormat="1" ht="14.25" thickTop="1" thickBot="1" x14ac:dyDescent="0.25">
      <c r="A11" s="1082" t="s">
        <v>1785</v>
      </c>
      <c r="B11" s="1842">
        <f>'Acct Summary 7-8'!C81</f>
        <v>3542162</v>
      </c>
      <c r="C11" s="1842">
        <f>'Acct Summary 7-8'!D81</f>
        <v>0</v>
      </c>
      <c r="D11" s="1842">
        <f>'Acct Summary 7-8'!F81</f>
        <v>0</v>
      </c>
      <c r="E11" s="1842">
        <f>'Acct Summary 7-8'!I81</f>
        <v>0</v>
      </c>
      <c r="F11" s="1843">
        <f>SUM(B11:E11)</f>
        <v>3542162</v>
      </c>
    </row>
    <row r="12" spans="1:8" ht="16.5" customHeight="1" thickTop="1" x14ac:dyDescent="0.2">
      <c r="A12" s="1083"/>
      <c r="B12" s="1084"/>
      <c r="C12" s="2358" t="str">
        <f>IF(AND(F10&lt;0,F11&gt;=0,ABS(F10*3)&gt;ABS(F11)),A16,IF(AND(F10&lt;0,F11&gt;0,ABS(F10*3)&lt;=ABS(F11)),A17,IF(AND(F10&lt;0,F11&lt;0),A16,IF(F11=0,A19,A18))))</f>
        <v>Balanced - no deficit reduction plan is required.</v>
      </c>
      <c r="D12" s="2359"/>
      <c r="E12" s="2359"/>
      <c r="F12" s="2360"/>
    </row>
    <row r="13" spans="1:8" ht="19.5" customHeight="1" x14ac:dyDescent="0.2">
      <c r="A13" s="1085"/>
      <c r="B13" s="1086"/>
      <c r="C13" s="2358"/>
      <c r="D13" s="2359"/>
      <c r="E13" s="2359"/>
      <c r="F13" s="2360"/>
      <c r="H13" s="1075"/>
    </row>
    <row r="14" spans="1:8" ht="19.5" customHeight="1" x14ac:dyDescent="0.2">
      <c r="A14" s="1085"/>
      <c r="B14" s="1086"/>
      <c r="C14" s="2358"/>
      <c r="D14" s="2359"/>
      <c r="E14" s="2359"/>
      <c r="F14" s="2360"/>
      <c r="H14" s="1075"/>
    </row>
    <row r="15" spans="1:8" ht="17.25" customHeight="1" x14ac:dyDescent="0.2">
      <c r="A15" s="1085"/>
      <c r="B15" s="1086"/>
      <c r="C15" s="2361"/>
      <c r="D15" s="2362"/>
      <c r="E15" s="2362"/>
      <c r="F15" s="2363"/>
      <c r="H15" s="1075"/>
    </row>
    <row r="16" spans="1:8" s="310" customFormat="1" ht="51.75" hidden="1" customHeight="1" x14ac:dyDescent="0.2">
      <c r="A16" s="2357" t="s">
        <v>1787</v>
      </c>
      <c r="B16" s="2357"/>
      <c r="C16" s="2357"/>
      <c r="D16" s="2357"/>
      <c r="E16" s="2357"/>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79" t="s">
        <v>686</v>
      </c>
      <c r="B3" s="2380"/>
      <c r="C3" s="2380"/>
      <c r="D3" s="2381"/>
    </row>
    <row r="4" spans="1:4" x14ac:dyDescent="0.2">
      <c r="A4" s="1153" t="s">
        <v>1793</v>
      </c>
      <c r="B4" s="1154"/>
      <c r="C4" s="1155"/>
      <c r="D4" s="1156"/>
    </row>
    <row r="5" spans="1:4" ht="21" customHeight="1" x14ac:dyDescent="0.2">
      <c r="A5" s="1149"/>
      <c r="B5" s="1150">
        <v>1</v>
      </c>
      <c r="C5" s="1151" t="s">
        <v>1942</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0" t="s">
        <v>1584</v>
      </c>
      <c r="D7" s="2391"/>
    </row>
    <row r="8" spans="1:4" s="669" customFormat="1" ht="12.75" x14ac:dyDescent="0.2">
      <c r="A8" s="1139"/>
      <c r="B8" s="1094"/>
      <c r="C8" s="1097" t="s">
        <v>1583</v>
      </c>
      <c r="D8" s="1098"/>
    </row>
    <row r="9" spans="1:4" s="669" customFormat="1" ht="14.25" customHeight="1" x14ac:dyDescent="0.2">
      <c r="A9" s="1139"/>
      <c r="B9" s="1094">
        <f>B7+1</f>
        <v>4</v>
      </c>
      <c r="C9" s="1095" t="s">
        <v>2044</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2" t="s">
        <v>1065</v>
      </c>
      <c r="B15" s="2383"/>
      <c r="C15" s="2383"/>
      <c r="D15" s="2384"/>
    </row>
    <row r="16" spans="1:4" s="669" customFormat="1" ht="24" customHeight="1" x14ac:dyDescent="0.2">
      <c r="A16" s="2385" t="s">
        <v>684</v>
      </c>
      <c r="B16" s="2386"/>
      <c r="C16" s="2386"/>
      <c r="D16" s="2387"/>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4" t="s">
        <v>332</v>
      </c>
      <c r="D21" s="2395"/>
    </row>
    <row r="22" spans="1:10" ht="12.75" x14ac:dyDescent="0.2">
      <c r="A22" s="1140"/>
      <c r="B22" s="1141">
        <v>2</v>
      </c>
      <c r="C22" s="2392" t="s">
        <v>1605</v>
      </c>
      <c r="D22" s="2393"/>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NO FINDINGS WERE ISSUED</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6" t="s">
        <v>557</v>
      </c>
      <c r="D43" s="2397"/>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8" t="s">
        <v>817</v>
      </c>
      <c r="D56" s="2389"/>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2045</v>
      </c>
      <c r="D66" s="1126"/>
    </row>
    <row r="67" spans="1:4" x14ac:dyDescent="0.2">
      <c r="A67" s="1120"/>
      <c r="B67" s="1141"/>
      <c r="C67" s="1148" t="s">
        <v>1079</v>
      </c>
      <c r="D67" s="1126"/>
    </row>
    <row r="68" spans="1:4" x14ac:dyDescent="0.2">
      <c r="A68" s="1101"/>
      <c r="B68" s="1111"/>
      <c r="C68" s="1103" t="s">
        <v>2046</v>
      </c>
      <c r="D68" s="1125" t="str">
        <f>IF('Short-Term Long-Term Debt 24'!F49=SUM(,'Acct Summary 7-8'!C33:K33),"OK","ERROR!")</f>
        <v>OK</v>
      </c>
    </row>
    <row r="69" spans="1:4" x14ac:dyDescent="0.2">
      <c r="A69" s="1101"/>
      <c r="B69" s="1111"/>
      <c r="C69" s="1103" t="s">
        <v>2047</v>
      </c>
      <c r="D69" s="1125" t="str">
        <f>IF('Expenditures 15-22'!H170&lt;&gt;'Short-Term Long-Term Debt 24'!H49,"ERROR!","OK")</f>
        <v>OK</v>
      </c>
    </row>
    <row r="70" spans="1:4" x14ac:dyDescent="0.2">
      <c r="A70" s="1099"/>
      <c r="B70" s="1121">
        <f>B66+1</f>
        <v>9</v>
      </c>
      <c r="C70" s="2388" t="s">
        <v>1797</v>
      </c>
      <c r="D70" s="2389"/>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2048</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2049</v>
      </c>
      <c r="D78" s="1125" t="str">
        <f>IF(ISNUMBER('Acct Summary 7-8'!C9),"OK","ENTRY IS REQUIRED!")</f>
        <v>OK</v>
      </c>
    </row>
    <row r="79" spans="1:4" x14ac:dyDescent="0.2">
      <c r="A79" s="1120"/>
      <c r="B79" s="1121">
        <f>B74+1+1</f>
        <v>12</v>
      </c>
      <c r="C79" s="1131" t="s">
        <v>2015</v>
      </c>
      <c r="D79" s="1132" t="str">
        <f>IF(OR(COVER!$B$6="X",'PCTC-OEPP 27-28'!F78&gt;0),"OK","PLEASE ENTER 9 MO ADA.")</f>
        <v>OK</v>
      </c>
    </row>
    <row r="80" spans="1:4" x14ac:dyDescent="0.2">
      <c r="A80" s="1099"/>
      <c r="B80" s="1121">
        <v>13</v>
      </c>
      <c r="C80" s="1131" t="s">
        <v>2050</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54092801060</v>
      </c>
    </row>
    <row r="3" spans="1:2" x14ac:dyDescent="0.2">
      <c r="A3" t="s">
        <v>1013</v>
      </c>
      <c r="B3" s="138" t="str">
        <f>COVER!A15</f>
        <v>VERMILION</v>
      </c>
    </row>
    <row r="4" spans="1:2" x14ac:dyDescent="0.2">
      <c r="A4" t="s">
        <v>1064</v>
      </c>
      <c r="B4" s="138" t="str">
        <f>COVER!A17</f>
        <v>Vermilion Assoc for SpEd</v>
      </c>
    </row>
    <row r="5" spans="1:2" x14ac:dyDescent="0.2">
      <c r="A5" t="s">
        <v>728</v>
      </c>
      <c r="B5" s="138" t="str">
        <f>COVER!A38</f>
        <v>Kristin Dunker</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Yes</v>
      </c>
    </row>
    <row r="13" spans="1:2" x14ac:dyDescent="0.2">
      <c r="A13" s="1" t="s">
        <v>1625</v>
      </c>
      <c r="B13" s="138" t="str">
        <f>IF(COVER!J30="x","Yes",IF(COVER!L30="x","No",0))</f>
        <v>Yes</v>
      </c>
    </row>
    <row r="14" spans="1:2" x14ac:dyDescent="0.2">
      <c r="A14" t="s">
        <v>497</v>
      </c>
      <c r="B14" s="138" t="str">
        <f>IF(COVER!J31="x","Yes",IF(COVER!L31="x","No",0))</f>
        <v>No</v>
      </c>
    </row>
    <row r="15" spans="1:2" x14ac:dyDescent="0.2">
      <c r="A15" t="s">
        <v>598</v>
      </c>
      <c r="B15" s="138" t="str">
        <f>COVER!T23</f>
        <v>065.018319</v>
      </c>
    </row>
    <row r="16" spans="1:2" x14ac:dyDescent="0.2">
      <c r="A16" t="s">
        <v>442</v>
      </c>
      <c r="B16" s="138" t="str">
        <f>COVER!T13</f>
        <v>RUSSELL LEIGH &amp; ASSOICATES</v>
      </c>
    </row>
    <row r="17" spans="1:2" x14ac:dyDescent="0.2">
      <c r="A17" t="s">
        <v>939</v>
      </c>
      <c r="B17" s="138" t="str">
        <f>COVER!T15</f>
        <v>RUSS LEIGH</v>
      </c>
    </row>
    <row r="18" spans="1:2" x14ac:dyDescent="0.2">
      <c r="A18" t="s">
        <v>1212</v>
      </c>
      <c r="B18" s="138" t="str">
        <f>COVER!T17</f>
        <v>228 E MAIN ST</v>
      </c>
    </row>
    <row r="19" spans="1:2" x14ac:dyDescent="0.2">
      <c r="A19" t="s">
        <v>941</v>
      </c>
      <c r="B19" s="138" t="str">
        <f>COVER!T25</f>
        <v>admin@russleigh.com</v>
      </c>
    </row>
    <row r="20" spans="1:2" x14ac:dyDescent="0.2">
      <c r="A20" t="s">
        <v>942</v>
      </c>
      <c r="B20" s="138" t="str">
        <f>COVER!T19</f>
        <v>HOOPESTON</v>
      </c>
    </row>
    <row r="21" spans="1:2" x14ac:dyDescent="0.2">
      <c r="A21" t="s">
        <v>500</v>
      </c>
      <c r="B21" s="138" t="str">
        <f>COVER!X19</f>
        <v>IL</v>
      </c>
    </row>
    <row r="22" spans="1:2" x14ac:dyDescent="0.2">
      <c r="A22" t="s">
        <v>943</v>
      </c>
      <c r="B22" s="138">
        <f>COVER!Z19</f>
        <v>60942</v>
      </c>
    </row>
    <row r="23" spans="1:2" x14ac:dyDescent="0.2">
      <c r="A23" t="s">
        <v>1214</v>
      </c>
      <c r="B23" s="138" t="str">
        <f>COVER!T21</f>
        <v>217-283-9336</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Yes</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3543012</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850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850</v>
      </c>
      <c r="C91" s="2" t="s">
        <v>594</v>
      </c>
      <c r="D91" s="2" t="str">
        <f t="shared" si="0"/>
        <v>Error?</v>
      </c>
    </row>
    <row r="92" spans="1:4" x14ac:dyDescent="0.2">
      <c r="A92" s="5">
        <v>31</v>
      </c>
      <c r="B92" s="138">
        <f>'Assets-Liab 5-6'!C39</f>
        <v>3542162</v>
      </c>
      <c r="D92" s="2" t="str">
        <f t="shared" si="0"/>
        <v>Error?</v>
      </c>
    </row>
    <row r="93" spans="1:4" x14ac:dyDescent="0.2">
      <c r="A93" s="5">
        <v>32</v>
      </c>
      <c r="B93" s="138">
        <f>'Assets-Liab 5-6'!C41</f>
        <v>3543012</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214123</v>
      </c>
      <c r="D274" s="2" t="str">
        <f t="shared" si="3"/>
        <v>Error?</v>
      </c>
    </row>
    <row r="275" spans="1:4" x14ac:dyDescent="0.2">
      <c r="A275" s="5">
        <v>214</v>
      </c>
      <c r="B275" s="138">
        <f>'Assets-Liab 5-6'!M18</f>
        <v>0</v>
      </c>
      <c r="D275" s="2" t="str">
        <f t="shared" si="3"/>
        <v>Error?</v>
      </c>
    </row>
    <row r="276" spans="1:4" x14ac:dyDescent="0.2">
      <c r="A276" s="5">
        <v>215</v>
      </c>
      <c r="B276" s="138">
        <f>'Assets-Liab 5-6'!M19</f>
        <v>342822</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556945</v>
      </c>
      <c r="C279" s="2" t="s">
        <v>594</v>
      </c>
      <c r="D279" s="2" t="str">
        <f t="shared" si="3"/>
        <v>Error?</v>
      </c>
    </row>
    <row r="280" spans="1:4" x14ac:dyDescent="0.2">
      <c r="A280" s="5">
        <v>219</v>
      </c>
      <c r="B280" s="138">
        <f>'Assets-Liab 5-6'!M40</f>
        <v>556945</v>
      </c>
      <c r="D280" s="2" t="str">
        <f t="shared" si="3"/>
        <v>Error?</v>
      </c>
    </row>
    <row r="281" spans="1:4" x14ac:dyDescent="0.2">
      <c r="A281" s="5">
        <v>220</v>
      </c>
      <c r="B281" s="138">
        <f>'Assets-Liab 5-6'!M41</f>
        <v>556945</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83323</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1065893</v>
      </c>
      <c r="C720" s="2" t="s">
        <v>594</v>
      </c>
      <c r="D720" s="2" t="str">
        <f t="shared" si="10"/>
        <v>Error?</v>
      </c>
    </row>
    <row r="721" spans="1:4" x14ac:dyDescent="0.2">
      <c r="A721" s="5">
        <v>660</v>
      </c>
      <c r="B721" s="138">
        <f>'Expenditures 15-22'!C36</f>
        <v>495237</v>
      </c>
      <c r="D721" s="2" t="str">
        <f t="shared" si="10"/>
        <v>Error?</v>
      </c>
    </row>
    <row r="722" spans="1:4" x14ac:dyDescent="0.2">
      <c r="A722" s="5">
        <v>661</v>
      </c>
      <c r="B722" s="138">
        <f>'Expenditures 15-22'!C37</f>
        <v>0</v>
      </c>
      <c r="D722" s="2" t="str">
        <f t="shared" si="10"/>
        <v>Error?</v>
      </c>
    </row>
    <row r="723" spans="1:4" x14ac:dyDescent="0.2">
      <c r="A723" s="5">
        <v>662</v>
      </c>
      <c r="B723" s="138">
        <f>'Expenditures 15-22'!C38</f>
        <v>270575</v>
      </c>
      <c r="D723" s="2" t="str">
        <f t="shared" si="10"/>
        <v>Error?</v>
      </c>
    </row>
    <row r="724" spans="1:4" x14ac:dyDescent="0.2">
      <c r="A724" s="5">
        <v>663</v>
      </c>
      <c r="B724" s="138">
        <f>'Expenditures 15-22'!C39</f>
        <v>301377</v>
      </c>
      <c r="D724" s="2" t="str">
        <f t="shared" si="10"/>
        <v>Error?</v>
      </c>
    </row>
    <row r="725" spans="1:4" x14ac:dyDescent="0.2">
      <c r="A725" s="5">
        <v>664</v>
      </c>
      <c r="B725" s="138">
        <f>'Expenditures 15-22'!C40</f>
        <v>284586</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1351775</v>
      </c>
      <c r="C727" s="2" t="s">
        <v>594</v>
      </c>
      <c r="D727" s="2" t="str">
        <f t="shared" si="10"/>
        <v>Error?</v>
      </c>
    </row>
    <row r="728" spans="1:4" x14ac:dyDescent="0.2">
      <c r="A728" s="5">
        <v>667</v>
      </c>
      <c r="B728" s="138">
        <f>'Expenditures 15-22'!C44</f>
        <v>1270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1270</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362854</v>
      </c>
      <c r="D733" s="2" t="str">
        <f t="shared" si="10"/>
        <v>Error?</v>
      </c>
    </row>
    <row r="734" spans="1:4" x14ac:dyDescent="0.2">
      <c r="A734" s="5">
        <v>673</v>
      </c>
      <c r="B734" s="138">
        <f>'Expenditures 15-22'!C53</f>
        <v>362854</v>
      </c>
      <c r="C734" s="2" t="s">
        <v>594</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37913</v>
      </c>
      <c r="D739" s="2" t="str">
        <f t="shared" si="10"/>
        <v>Error?</v>
      </c>
    </row>
    <row r="740" spans="1:4" x14ac:dyDescent="0.2">
      <c r="A740" s="5">
        <v>679</v>
      </c>
      <c r="B740" s="138">
        <f>'Expenditures 15-22'!C61</f>
        <v>89293</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127206</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1843105</v>
      </c>
      <c r="C755" s="2" t="s">
        <v>594</v>
      </c>
      <c r="D755" s="2" t="str">
        <f t="shared" si="10"/>
        <v>Error?</v>
      </c>
    </row>
    <row r="756" spans="1:4" x14ac:dyDescent="0.2">
      <c r="A756" s="5">
        <v>695</v>
      </c>
      <c r="B756" s="138">
        <f>'Expenditures 15-22'!C75</f>
        <v>82</v>
      </c>
      <c r="D756" s="2" t="str">
        <f t="shared" si="10"/>
        <v>Error?</v>
      </c>
    </row>
    <row r="757" spans="1:4" x14ac:dyDescent="0.2">
      <c r="A757" s="5">
        <v>696</v>
      </c>
      <c r="B757" s="138">
        <f>'Expenditures 15-22'!C114</f>
        <v>2909080</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18757</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306483</v>
      </c>
      <c r="C778" s="2" t="s">
        <v>594</v>
      </c>
      <c r="D778" s="2" t="str">
        <f t="shared" si="11"/>
        <v>Error?</v>
      </c>
    </row>
    <row r="779" spans="1:4" x14ac:dyDescent="0.2">
      <c r="A779" s="5">
        <v>718</v>
      </c>
      <c r="B779" s="138">
        <f>'Expenditures 15-22'!D36</f>
        <v>120547</v>
      </c>
      <c r="D779" s="2" t="str">
        <f t="shared" si="11"/>
        <v>Error?</v>
      </c>
    </row>
    <row r="780" spans="1:4" x14ac:dyDescent="0.2">
      <c r="A780" s="5">
        <v>719</v>
      </c>
      <c r="B780" s="138">
        <f>'Expenditures 15-22'!D37</f>
        <v>0</v>
      </c>
      <c r="D780" s="2" t="str">
        <f t="shared" si="11"/>
        <v>Error?</v>
      </c>
    </row>
    <row r="781" spans="1:4" x14ac:dyDescent="0.2">
      <c r="A781" s="5">
        <v>720</v>
      </c>
      <c r="B781" s="138">
        <f>'Expenditures 15-22'!D38</f>
        <v>86501</v>
      </c>
      <c r="D781" s="2" t="str">
        <f t="shared" si="11"/>
        <v>Error?</v>
      </c>
    </row>
    <row r="782" spans="1:4" x14ac:dyDescent="0.2">
      <c r="A782" s="5">
        <v>721</v>
      </c>
      <c r="B782" s="138">
        <f>'Expenditures 15-22'!D39</f>
        <v>62532</v>
      </c>
      <c r="D782" s="2" t="str">
        <f t="shared" si="11"/>
        <v>Error?</v>
      </c>
    </row>
    <row r="783" spans="1:4" x14ac:dyDescent="0.2">
      <c r="A783" s="5">
        <v>722</v>
      </c>
      <c r="B783" s="138">
        <f>'Expenditures 15-22'!D40</f>
        <v>72738</v>
      </c>
      <c r="D783" s="2" t="str">
        <f t="shared" si="11"/>
        <v>Error?</v>
      </c>
    </row>
    <row r="784" spans="1:4" x14ac:dyDescent="0.2">
      <c r="A784" s="5">
        <v>723</v>
      </c>
      <c r="B784" s="138">
        <f>'Expenditures 15-22'!D41</f>
        <v>0</v>
      </c>
      <c r="D784" s="2" t="str">
        <f t="shared" si="11"/>
        <v>Error?</v>
      </c>
    </row>
    <row r="785" spans="1:4" x14ac:dyDescent="0.2">
      <c r="A785" s="5">
        <v>724</v>
      </c>
      <c r="B785" s="138">
        <f>'Expenditures 15-22'!D42</f>
        <v>342318</v>
      </c>
      <c r="C785" s="2" t="s">
        <v>594</v>
      </c>
      <c r="D785" s="2" t="str">
        <f t="shared" si="11"/>
        <v>Error?</v>
      </c>
    </row>
    <row r="786" spans="1:4" x14ac:dyDescent="0.2">
      <c r="A786" s="5">
        <v>725</v>
      </c>
      <c r="B786" s="138">
        <f>'Expenditures 15-22'!D44</f>
        <v>248</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248</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105668</v>
      </c>
      <c r="D791" s="2" t="str">
        <f t="shared" si="11"/>
        <v>Error?</v>
      </c>
    </row>
    <row r="792" spans="1:4" x14ac:dyDescent="0.2">
      <c r="A792" s="5">
        <v>731</v>
      </c>
      <c r="B792" s="138">
        <f>'Expenditures 15-22'!D53</f>
        <v>105668</v>
      </c>
      <c r="C792" s="2" t="s">
        <v>594</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7809</v>
      </c>
      <c r="D797" s="2" t="str">
        <f t="shared" si="11"/>
        <v>Error?</v>
      </c>
    </row>
    <row r="798" spans="1:4" x14ac:dyDescent="0.2">
      <c r="A798" s="5">
        <v>737</v>
      </c>
      <c r="B798" s="138">
        <f>'Expenditures 15-22'!D61</f>
        <v>26423</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34232</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482466</v>
      </c>
      <c r="C813" s="2" t="s">
        <v>594</v>
      </c>
      <c r="D813" s="2" t="str">
        <f t="shared" si="11"/>
        <v>Error?</v>
      </c>
    </row>
    <row r="814" spans="1:4" x14ac:dyDescent="0.2">
      <c r="A814" s="5">
        <v>753</v>
      </c>
      <c r="B814" s="138">
        <f>'Expenditures 15-22'!D75</f>
        <v>11</v>
      </c>
      <c r="D814" s="2" t="str">
        <f t="shared" si="11"/>
        <v>Error?</v>
      </c>
    </row>
    <row r="815" spans="1:4" x14ac:dyDescent="0.2">
      <c r="A815" s="5">
        <v>754</v>
      </c>
      <c r="B815" s="138">
        <f>'Expenditures 15-22'!D114</f>
        <v>788960</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7422</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56582</v>
      </c>
      <c r="C836" s="2" t="s">
        <v>594</v>
      </c>
      <c r="D836" s="2" t="str">
        <f t="shared" si="12"/>
        <v>Error?</v>
      </c>
    </row>
    <row r="837" spans="1:4" x14ac:dyDescent="0.2">
      <c r="A837" s="5">
        <v>776</v>
      </c>
      <c r="B837" s="138">
        <f>'Expenditures 15-22'!E36</f>
        <v>18326</v>
      </c>
      <c r="D837" s="2" t="str">
        <f t="shared" si="12"/>
        <v>Error?</v>
      </c>
    </row>
    <row r="838" spans="1:4" x14ac:dyDescent="0.2">
      <c r="A838" s="5">
        <v>777</v>
      </c>
      <c r="B838" s="138">
        <f>'Expenditures 15-22'!E37</f>
        <v>0</v>
      </c>
      <c r="D838" s="2" t="str">
        <f t="shared" si="12"/>
        <v>Error?</v>
      </c>
    </row>
    <row r="839" spans="1:4" x14ac:dyDescent="0.2">
      <c r="A839" s="5">
        <v>778</v>
      </c>
      <c r="B839" s="138">
        <f>'Expenditures 15-22'!E38</f>
        <v>12009</v>
      </c>
      <c r="D839" s="2" t="str">
        <f t="shared" si="12"/>
        <v>Error?</v>
      </c>
    </row>
    <row r="840" spans="1:4" x14ac:dyDescent="0.2">
      <c r="A840" s="5">
        <v>779</v>
      </c>
      <c r="B840" s="138">
        <f>'Expenditures 15-22'!E39</f>
        <v>103067</v>
      </c>
      <c r="D840" s="2" t="str">
        <f t="shared" si="12"/>
        <v>Error?</v>
      </c>
    </row>
    <row r="841" spans="1:4" x14ac:dyDescent="0.2">
      <c r="A841" s="5">
        <v>780</v>
      </c>
      <c r="B841" s="138">
        <f>'Expenditures 15-22'!E40</f>
        <v>240108</v>
      </c>
      <c r="D841" s="2" t="str">
        <f t="shared" si="12"/>
        <v>Error?</v>
      </c>
    </row>
    <row r="842" spans="1:4" x14ac:dyDescent="0.2">
      <c r="A842" s="5">
        <v>781</v>
      </c>
      <c r="B842" s="138">
        <f>'Expenditures 15-22'!E41</f>
        <v>0</v>
      </c>
      <c r="D842" s="2" t="str">
        <f t="shared" si="12"/>
        <v>Error?</v>
      </c>
    </row>
    <row r="843" spans="1:4" x14ac:dyDescent="0.2">
      <c r="A843" s="5">
        <v>782</v>
      </c>
      <c r="B843" s="138">
        <f>'Expenditures 15-22'!E42</f>
        <v>373510</v>
      </c>
      <c r="C843" s="2" t="s">
        <v>594</v>
      </c>
      <c r="D843" s="2" t="str">
        <f t="shared" si="12"/>
        <v>Error?</v>
      </c>
    </row>
    <row r="844" spans="1:4" x14ac:dyDescent="0.2">
      <c r="A844" s="5">
        <v>783</v>
      </c>
      <c r="B844" s="138">
        <f>'Expenditures 15-22'!E44</f>
        <v>94249</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94249</v>
      </c>
      <c r="C847" s="2" t="s">
        <v>594</v>
      </c>
      <c r="D847" s="2" t="str">
        <f t="shared" si="12"/>
        <v>Error?</v>
      </c>
    </row>
    <row r="848" spans="1:4" x14ac:dyDescent="0.2">
      <c r="A848" s="5">
        <v>787</v>
      </c>
      <c r="B848" s="138">
        <f>'Expenditures 15-22'!E49</f>
        <v>0</v>
      </c>
      <c r="D848" s="2" t="str">
        <f t="shared" si="12"/>
        <v>Error?</v>
      </c>
    </row>
    <row r="849" spans="1:4" x14ac:dyDescent="0.2">
      <c r="A849" s="5">
        <v>788</v>
      </c>
      <c r="B849" s="138">
        <f>'Expenditures 15-22'!E50</f>
        <v>130290</v>
      </c>
      <c r="D849" s="2" t="str">
        <f t="shared" si="12"/>
        <v>Error?</v>
      </c>
    </row>
    <row r="850" spans="1:4" x14ac:dyDescent="0.2">
      <c r="A850" s="5">
        <v>789</v>
      </c>
      <c r="B850" s="138">
        <f>'Expenditures 15-22'!E53</f>
        <v>130290</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442</v>
      </c>
      <c r="D855" s="2" t="str">
        <f t="shared" si="12"/>
        <v>Error?</v>
      </c>
    </row>
    <row r="856" spans="1:4" x14ac:dyDescent="0.2">
      <c r="A856" s="5">
        <v>795</v>
      </c>
      <c r="B856" s="138">
        <f>'Expenditures 15-22'!E61</f>
        <v>209570</v>
      </c>
      <c r="D856" s="2" t="str">
        <f t="shared" si="12"/>
        <v>Error?</v>
      </c>
    </row>
    <row r="857" spans="1:4" x14ac:dyDescent="0.2">
      <c r="A857" s="5">
        <v>796</v>
      </c>
      <c r="B857" s="138">
        <f>'Expenditures 15-22'!E62</f>
        <v>10897</v>
      </c>
      <c r="D857" s="2" t="str">
        <f t="shared" si="12"/>
        <v>Error?</v>
      </c>
    </row>
    <row r="858" spans="1:4" x14ac:dyDescent="0.2">
      <c r="A858" s="5">
        <v>797</v>
      </c>
      <c r="B858" s="138">
        <f>'Expenditures 15-22'!E63</f>
        <v>31851</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252760</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850809</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907391</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8339</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67170</v>
      </c>
      <c r="C894" s="2" t="s">
        <v>594</v>
      </c>
      <c r="D894" s="2" t="str">
        <f t="shared" si="12"/>
        <v>Error?</v>
      </c>
    </row>
    <row r="895" spans="1:4" x14ac:dyDescent="0.2">
      <c r="A895" s="5">
        <v>834</v>
      </c>
      <c r="B895" s="138">
        <f>'Expenditures 15-22'!F36</f>
        <v>4257</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2872</v>
      </c>
      <c r="D897" s="2" t="str">
        <f t="shared" si="13"/>
        <v>Error?</v>
      </c>
    </row>
    <row r="898" spans="1:4" x14ac:dyDescent="0.2">
      <c r="A898" s="5">
        <v>837</v>
      </c>
      <c r="B898" s="138">
        <f>'Expenditures 15-22'!F39</f>
        <v>4390</v>
      </c>
      <c r="D898" s="2" t="str">
        <f t="shared" si="13"/>
        <v>Error?</v>
      </c>
    </row>
    <row r="899" spans="1:4" x14ac:dyDescent="0.2">
      <c r="A899" s="5">
        <v>838</v>
      </c>
      <c r="B899" s="138">
        <f>'Expenditures 15-22'!F40</f>
        <v>4197</v>
      </c>
      <c r="D899" s="2" t="str">
        <f t="shared" si="13"/>
        <v>Error?</v>
      </c>
    </row>
    <row r="900" spans="1:4" x14ac:dyDescent="0.2">
      <c r="A900" s="5">
        <v>839</v>
      </c>
      <c r="B900" s="138">
        <f>'Expenditures 15-22'!F41</f>
        <v>0</v>
      </c>
      <c r="D900" s="2" t="str">
        <f t="shared" si="13"/>
        <v>Error?</v>
      </c>
    </row>
    <row r="901" spans="1:4" x14ac:dyDescent="0.2">
      <c r="A901" s="5">
        <v>840</v>
      </c>
      <c r="B901" s="138">
        <f>'Expenditures 15-22'!F42</f>
        <v>15716</v>
      </c>
      <c r="C901" s="2" t="s">
        <v>594</v>
      </c>
      <c r="D901" s="2" t="str">
        <f t="shared" si="13"/>
        <v>Error?</v>
      </c>
    </row>
    <row r="902" spans="1:4" x14ac:dyDescent="0.2">
      <c r="A902" s="5">
        <v>841</v>
      </c>
      <c r="B902" s="138">
        <f>'Expenditures 15-22'!F44</f>
        <v>20380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20380</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5304</v>
      </c>
      <c r="D907" s="2" t="str">
        <f t="shared" si="13"/>
        <v>Error?</v>
      </c>
    </row>
    <row r="908" spans="1:4" x14ac:dyDescent="0.2">
      <c r="A908" s="5">
        <v>847</v>
      </c>
      <c r="B908" s="138">
        <f>'Expenditures 15-22'!F53</f>
        <v>5304</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533</v>
      </c>
      <c r="D913" s="2" t="str">
        <f t="shared" si="13"/>
        <v>Error?</v>
      </c>
    </row>
    <row r="914" spans="1:4" x14ac:dyDescent="0.2">
      <c r="A914" s="5">
        <v>853</v>
      </c>
      <c r="B914" s="138">
        <f>'Expenditures 15-22'!F61</f>
        <v>89276</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1235</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91044</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878</v>
      </c>
      <c r="D922" s="2" t="str">
        <f t="shared" si="13"/>
        <v>Error?</v>
      </c>
    </row>
    <row r="923" spans="1:4" x14ac:dyDescent="0.2">
      <c r="A923" s="5">
        <v>862</v>
      </c>
      <c r="B923" s="138">
        <f>'Expenditures 15-22'!F70</f>
        <v>270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1148</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133592</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200762</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0</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18774</v>
      </c>
      <c r="D1023" s="2" t="str">
        <f t="shared" ref="D1023:D1086" si="15">IF(ISBLANK(B1023),"OK",IF(A1023-B1023=0,"OK","Error?"))</f>
        <v>Error?</v>
      </c>
    </row>
    <row r="1024" spans="1:4" x14ac:dyDescent="0.2">
      <c r="A1024" s="5">
        <v>963</v>
      </c>
      <c r="B1024" s="138">
        <f>'Expenditures 15-22'!H53</f>
        <v>18774</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18774</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18774</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117841</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1496128</v>
      </c>
      <c r="C1108" s="2" t="s">
        <v>594</v>
      </c>
      <c r="D1108" s="2" t="str">
        <f t="shared" si="16"/>
        <v>Error?</v>
      </c>
    </row>
    <row r="1109" spans="1:4" x14ac:dyDescent="0.2">
      <c r="A1109" s="5">
        <v>1048</v>
      </c>
      <c r="B1109" s="138">
        <f>'Expenditures 15-22'!K36</f>
        <v>639707</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372481</v>
      </c>
      <c r="C1111" s="2" t="s">
        <v>594</v>
      </c>
      <c r="D1111" s="2" t="str">
        <f t="shared" si="16"/>
        <v>Error?</v>
      </c>
    </row>
    <row r="1112" spans="1:4" x14ac:dyDescent="0.2">
      <c r="A1112" s="5">
        <v>1051</v>
      </c>
      <c r="B1112" s="138">
        <f>'Expenditures 15-22'!K39</f>
        <v>473340</v>
      </c>
      <c r="C1112" s="2" t="s">
        <v>594</v>
      </c>
      <c r="D1112" s="2" t="str">
        <f t="shared" si="16"/>
        <v>Error?</v>
      </c>
    </row>
    <row r="1113" spans="1:4" x14ac:dyDescent="0.2">
      <c r="A1113" s="5">
        <v>1052</v>
      </c>
      <c r="B1113" s="138">
        <f>'Expenditures 15-22'!K40</f>
        <v>604965</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2090493</v>
      </c>
      <c r="C1115" s="2" t="s">
        <v>594</v>
      </c>
      <c r="D1115" s="2" t="str">
        <f t="shared" si="16"/>
        <v>Error?</v>
      </c>
    </row>
    <row r="1116" spans="1:4" x14ac:dyDescent="0.2">
      <c r="A1116" s="5">
        <v>1055</v>
      </c>
      <c r="B1116" s="138">
        <f>'Expenditures 15-22'!K44</f>
        <v>118157</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118157</v>
      </c>
      <c r="C1119" s="2" t="s">
        <v>594</v>
      </c>
      <c r="D1119" s="2" t="str">
        <f t="shared" si="16"/>
        <v>Error?</v>
      </c>
    </row>
    <row r="1120" spans="1:4" x14ac:dyDescent="0.2">
      <c r="A1120" s="5">
        <v>1059</v>
      </c>
      <c r="B1120" s="138">
        <f>'Expenditures 15-22'!K49</f>
        <v>0</v>
      </c>
      <c r="C1120" s="2" t="s">
        <v>594</v>
      </c>
      <c r="D1120" s="2" t="str">
        <f t="shared" si="16"/>
        <v>Error?</v>
      </c>
    </row>
    <row r="1121" spans="1:4" x14ac:dyDescent="0.2">
      <c r="A1121" s="5">
        <v>1060</v>
      </c>
      <c r="B1121" s="138">
        <f>'Expenditures 15-22'!K50</f>
        <v>622890</v>
      </c>
      <c r="C1121" s="2" t="s">
        <v>594</v>
      </c>
      <c r="D1121" s="2" t="str">
        <f t="shared" si="16"/>
        <v>Error?</v>
      </c>
    </row>
    <row r="1122" spans="1:4" x14ac:dyDescent="0.2">
      <c r="A1122" s="5">
        <v>1061</v>
      </c>
      <c r="B1122" s="138">
        <f>'Expenditures 15-22'!K53</f>
        <v>622890</v>
      </c>
      <c r="C1122" s="2" t="s">
        <v>594</v>
      </c>
      <c r="D1122" s="2" t="str">
        <f t="shared" si="16"/>
        <v>Error?</v>
      </c>
    </row>
    <row r="1123" spans="1:4" x14ac:dyDescent="0.2">
      <c r="A1123" s="5">
        <v>1062</v>
      </c>
      <c r="B1123" s="138">
        <f>'Expenditures 15-22'!K55</f>
        <v>0</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0</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46697</v>
      </c>
      <c r="C1127" s="2" t="s">
        <v>594</v>
      </c>
      <c r="D1127" s="2" t="str">
        <f t="shared" si="16"/>
        <v>Error?</v>
      </c>
    </row>
    <row r="1128" spans="1:4" x14ac:dyDescent="0.2">
      <c r="A1128" s="5">
        <v>1067</v>
      </c>
      <c r="B1128" s="138">
        <f>'Expenditures 15-22'!K61</f>
        <v>414562</v>
      </c>
      <c r="C1128" s="2" t="s">
        <v>594</v>
      </c>
      <c r="D1128" s="2" t="str">
        <f t="shared" si="16"/>
        <v>Error?</v>
      </c>
    </row>
    <row r="1129" spans="1:4" x14ac:dyDescent="0.2">
      <c r="A1129" s="5">
        <v>1068</v>
      </c>
      <c r="B1129" s="138">
        <f>'Expenditures 15-22'!K62</f>
        <v>10897</v>
      </c>
      <c r="C1129" s="2" t="s">
        <v>594</v>
      </c>
      <c r="D1129" s="2" t="str">
        <f t="shared" si="16"/>
        <v>Error?</v>
      </c>
    </row>
    <row r="1130" spans="1:4" x14ac:dyDescent="0.2">
      <c r="A1130" s="5">
        <v>1069</v>
      </c>
      <c r="B1130" s="138">
        <f>'Expenditures 15-22'!K63</f>
        <v>33086</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505242</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878</v>
      </c>
      <c r="C1136" s="2" t="s">
        <v>594</v>
      </c>
      <c r="D1136" s="2" t="str">
        <f t="shared" si="16"/>
        <v>Error?</v>
      </c>
    </row>
    <row r="1137" spans="1:4" x14ac:dyDescent="0.2">
      <c r="A1137" s="5">
        <v>1076</v>
      </c>
      <c r="B1137" s="138">
        <f>'Expenditures 15-22'!K70</f>
        <v>270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1148</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3337930</v>
      </c>
      <c r="C1143" s="2" t="s">
        <v>594</v>
      </c>
      <c r="D1143" s="2" t="str">
        <f t="shared" si="16"/>
        <v>Error?</v>
      </c>
    </row>
    <row r="1144" spans="1:4" x14ac:dyDescent="0.2">
      <c r="A1144" s="5">
        <v>1083</v>
      </c>
      <c r="B1144" s="138">
        <f>'Expenditures 15-22'!K75</f>
        <v>93</v>
      </c>
      <c r="C1144" s="2" t="s">
        <v>594</v>
      </c>
      <c r="D1144" s="2" t="str">
        <f t="shared" si="16"/>
        <v>Error?</v>
      </c>
    </row>
    <row r="1145" spans="1:4" x14ac:dyDescent="0.2">
      <c r="A1145" s="5">
        <v>1084</v>
      </c>
      <c r="B1145" s="138">
        <f>'Expenditures 15-22'!K102</f>
        <v>0</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4834151</v>
      </c>
      <c r="C1152" s="2" t="s">
        <v>594</v>
      </c>
      <c r="D1152" s="2" t="str">
        <f t="shared" si="17"/>
        <v>Error?</v>
      </c>
    </row>
    <row r="1153" spans="1:4" x14ac:dyDescent="0.2">
      <c r="A1153" s="5">
        <v>1092</v>
      </c>
      <c r="B1153" s="138">
        <f>'Expenditures 15-22'!K115</f>
        <v>848835</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594</v>
      </c>
      <c r="D1241" s="2" t="str">
        <f t="shared" si="18"/>
        <v>Error?</v>
      </c>
    </row>
    <row r="1242" spans="1:4" x14ac:dyDescent="0.2">
      <c r="A1242" s="5">
        <v>1181</v>
      </c>
      <c r="B1242" s="138">
        <f>'Expenditures 15-22'!E151</f>
        <v>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594</v>
      </c>
      <c r="D1249" s="2" t="str">
        <f t="shared" si="18"/>
        <v>Error?</v>
      </c>
    </row>
    <row r="1250" spans="1:4" x14ac:dyDescent="0.2">
      <c r="A1250" s="5">
        <v>1189</v>
      </c>
      <c r="B1250" s="138">
        <f>'Expenditures 15-22'!F151</f>
        <v>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0</v>
      </c>
      <c r="C1288" s="2" t="s">
        <v>594</v>
      </c>
      <c r="D1288" s="2" t="str">
        <f t="shared" si="19"/>
        <v>Error?</v>
      </c>
    </row>
    <row r="1289" spans="1:4" x14ac:dyDescent="0.2">
      <c r="A1289" s="5">
        <v>1228</v>
      </c>
      <c r="B1289" s="138">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0</v>
      </c>
      <c r="C1388" s="2" t="s">
        <v>594</v>
      </c>
      <c r="D1388" s="2" t="str">
        <f t="shared" si="20"/>
        <v>Error?</v>
      </c>
    </row>
    <row r="1389" spans="1:4" x14ac:dyDescent="0.2">
      <c r="A1389" s="5">
        <v>1328</v>
      </c>
      <c r="B1389" s="138">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2693327</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3542162</v>
      </c>
      <c r="C1630" s="2" t="s">
        <v>594</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0</v>
      </c>
      <c r="D2009" s="2" t="str">
        <f t="shared" si="30"/>
        <v>Error?</v>
      </c>
    </row>
    <row r="2010" spans="1:4" x14ac:dyDescent="0.2">
      <c r="A2010" s="5">
        <v>1949</v>
      </c>
      <c r="B2010" s="138">
        <f>'Cap Outlay Deprec 26'!C10</f>
        <v>214123</v>
      </c>
      <c r="D2010" s="2" t="str">
        <f t="shared" si="30"/>
        <v>Error?</v>
      </c>
    </row>
    <row r="2011" spans="1:4" x14ac:dyDescent="0.2">
      <c r="A2011" s="5">
        <v>1950</v>
      </c>
      <c r="B2011" s="138">
        <f>'Cap Outlay Deprec 26'!C12</f>
        <v>113609</v>
      </c>
      <c r="D2011" s="2" t="str">
        <f t="shared" si="30"/>
        <v>Error?</v>
      </c>
    </row>
    <row r="2012" spans="1:4" x14ac:dyDescent="0.2">
      <c r="A2012" s="5">
        <v>1951</v>
      </c>
      <c r="B2012" s="138">
        <f>'Cap Outlay Deprec 26'!C13</f>
        <v>229213</v>
      </c>
      <c r="D2012" s="2" t="str">
        <f t="shared" si="30"/>
        <v>Error?</v>
      </c>
    </row>
    <row r="2013" spans="1:4" x14ac:dyDescent="0.2">
      <c r="A2013" s="5">
        <v>1952</v>
      </c>
      <c r="B2013" s="138">
        <f>'Cap Outlay Deprec 26'!C16</f>
        <v>556945</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0</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0</v>
      </c>
      <c r="C2026" s="2" t="s">
        <v>594</v>
      </c>
      <c r="D2026" s="2" t="str">
        <f t="shared" si="30"/>
        <v>Error?</v>
      </c>
    </row>
    <row r="2027" spans="1:4" x14ac:dyDescent="0.2">
      <c r="A2027" s="5">
        <v>1966</v>
      </c>
      <c r="B2027" s="138">
        <f>'Cap Outlay Deprec 26'!F8</f>
        <v>0</v>
      </c>
      <c r="C2027" s="2" t="s">
        <v>594</v>
      </c>
      <c r="D2027" s="2" t="str">
        <f t="shared" si="30"/>
        <v>Error?</v>
      </c>
    </row>
    <row r="2028" spans="1:4" x14ac:dyDescent="0.2">
      <c r="A2028" s="5">
        <v>1967</v>
      </c>
      <c r="B2028" s="138">
        <f>'Cap Outlay Deprec 26'!F10</f>
        <v>214123</v>
      </c>
      <c r="C2028" s="2" t="s">
        <v>594</v>
      </c>
      <c r="D2028" s="2" t="str">
        <f t="shared" si="30"/>
        <v>Error?</v>
      </c>
    </row>
    <row r="2029" spans="1:4" x14ac:dyDescent="0.2">
      <c r="A2029" s="5">
        <v>1968</v>
      </c>
      <c r="B2029" s="138">
        <f>'Cap Outlay Deprec 26'!F12</f>
        <v>113609</v>
      </c>
      <c r="C2029" s="2" t="s">
        <v>594</v>
      </c>
      <c r="D2029" s="2" t="str">
        <f t="shared" si="30"/>
        <v>Error?</v>
      </c>
    </row>
    <row r="2030" spans="1:4" x14ac:dyDescent="0.2">
      <c r="A2030" s="5">
        <v>1969</v>
      </c>
      <c r="B2030" s="138">
        <f>'Cap Outlay Deprec 26'!F13</f>
        <v>229213</v>
      </c>
      <c r="C2030" s="2" t="s">
        <v>594</v>
      </c>
      <c r="D2030" s="2" t="str">
        <f t="shared" si="30"/>
        <v>Error?</v>
      </c>
    </row>
    <row r="2031" spans="1:4" x14ac:dyDescent="0.2">
      <c r="A2031" s="5">
        <v>1970</v>
      </c>
      <c r="B2031" s="138">
        <f>'Cap Outlay Deprec 26'!F16</f>
        <v>556945</v>
      </c>
      <c r="C2031" s="2" t="s">
        <v>594</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106534</v>
      </c>
      <c r="D2034" s="2" t="str">
        <f t="shared" si="30"/>
        <v>Error?</v>
      </c>
    </row>
    <row r="2035" spans="1:4" x14ac:dyDescent="0.2">
      <c r="A2035" s="5">
        <v>1974</v>
      </c>
      <c r="B2035" s="138">
        <f>'Cap Outlay Deprec 26'!H12</f>
        <v>78049</v>
      </c>
      <c r="D2035" s="2" t="str">
        <f t="shared" si="30"/>
        <v>Error?</v>
      </c>
    </row>
    <row r="2036" spans="1:4" x14ac:dyDescent="0.2">
      <c r="A2036" s="5">
        <v>1975</v>
      </c>
      <c r="B2036" s="138">
        <f>'Cap Outlay Deprec 26'!H13</f>
        <v>229213</v>
      </c>
      <c r="D2036" s="2" t="str">
        <f t="shared" si="30"/>
        <v>Error?</v>
      </c>
    </row>
    <row r="2037" spans="1:4" x14ac:dyDescent="0.2">
      <c r="A2037" s="5">
        <v>1976</v>
      </c>
      <c r="B2037" s="138">
        <f>'Cap Outlay Deprec 26'!H16</f>
        <v>413796</v>
      </c>
      <c r="C2037" s="2" t="s">
        <v>594</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10706</v>
      </c>
      <c r="D2040" s="2" t="str">
        <f t="shared" si="30"/>
        <v>Error?</v>
      </c>
    </row>
    <row r="2041" spans="1:4" x14ac:dyDescent="0.2">
      <c r="A2041" s="5">
        <v>1980</v>
      </c>
      <c r="B2041" s="138">
        <f>'Cap Outlay Deprec 26'!I12</f>
        <v>8056</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18762</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0</v>
      </c>
      <c r="C2051" s="2" t="s">
        <v>594</v>
      </c>
      <c r="D2051" s="2" t="str">
        <f t="shared" si="31"/>
        <v>Error?</v>
      </c>
    </row>
    <row r="2052" spans="1:4" x14ac:dyDescent="0.2">
      <c r="A2052" s="5">
        <v>1991</v>
      </c>
      <c r="B2052" s="138">
        <f>'Cap Outlay Deprec 26'!K10</f>
        <v>117240</v>
      </c>
      <c r="C2052" s="2" t="s">
        <v>594</v>
      </c>
      <c r="D2052" s="2" t="str">
        <f t="shared" si="31"/>
        <v>Error?</v>
      </c>
    </row>
    <row r="2053" spans="1:4" x14ac:dyDescent="0.2">
      <c r="A2053" s="5">
        <v>1992</v>
      </c>
      <c r="B2053" s="138">
        <f>'Cap Outlay Deprec 26'!K12</f>
        <v>86105</v>
      </c>
      <c r="C2053" s="2" t="s">
        <v>594</v>
      </c>
      <c r="D2053" s="2" t="str">
        <f t="shared" si="31"/>
        <v>Error?</v>
      </c>
    </row>
    <row r="2054" spans="1:4" x14ac:dyDescent="0.2">
      <c r="A2054" s="5">
        <v>1993</v>
      </c>
      <c r="B2054" s="138">
        <f>'Cap Outlay Deprec 26'!K13</f>
        <v>229213</v>
      </c>
      <c r="C2054" s="2" t="s">
        <v>594</v>
      </c>
      <c r="D2054" s="2" t="str">
        <f t="shared" si="31"/>
        <v>Error?</v>
      </c>
    </row>
    <row r="2055" spans="1:4" x14ac:dyDescent="0.2">
      <c r="A2055" s="5">
        <v>1994</v>
      </c>
      <c r="B2055" s="138">
        <f>'Cap Outlay Deprec 26'!K16</f>
        <v>432558</v>
      </c>
      <c r="C2055" s="2" t="s">
        <v>594</v>
      </c>
      <c r="D2055" s="2" t="str">
        <f t="shared" si="31"/>
        <v>Error?</v>
      </c>
    </row>
    <row r="2056" spans="1:4" x14ac:dyDescent="0.2">
      <c r="A2056" s="5">
        <v>1995</v>
      </c>
      <c r="B2056" s="138">
        <f>'Cap Outlay Deprec 26'!L5</f>
        <v>0</v>
      </c>
      <c r="C2056" s="2" t="s">
        <v>594</v>
      </c>
      <c r="D2056" s="2" t="str">
        <f t="shared" si="31"/>
        <v>Error?</v>
      </c>
    </row>
    <row r="2057" spans="1:4" x14ac:dyDescent="0.2">
      <c r="A2057" s="5">
        <v>1996</v>
      </c>
      <c r="B2057" s="138">
        <f>'Cap Outlay Deprec 26'!L8</f>
        <v>0</v>
      </c>
      <c r="C2057" s="2" t="s">
        <v>594</v>
      </c>
      <c r="D2057" s="2" t="str">
        <f t="shared" si="31"/>
        <v>Error?</v>
      </c>
    </row>
    <row r="2058" spans="1:4" x14ac:dyDescent="0.2">
      <c r="A2058" s="5">
        <v>1997</v>
      </c>
      <c r="B2058" s="138">
        <f>'Cap Outlay Deprec 26'!L10</f>
        <v>96883</v>
      </c>
      <c r="C2058" s="2" t="s">
        <v>594</v>
      </c>
      <c r="D2058" s="2" t="str">
        <f t="shared" si="31"/>
        <v>Error?</v>
      </c>
    </row>
    <row r="2059" spans="1:4" x14ac:dyDescent="0.2">
      <c r="A2059" s="5">
        <v>1998</v>
      </c>
      <c r="B2059" s="138">
        <f>'Cap Outlay Deprec 26'!L12</f>
        <v>27504</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124387</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2576636</v>
      </c>
      <c r="C2551" s="2" t="s">
        <v>594</v>
      </c>
      <c r="D2551" s="2" t="str">
        <f t="shared" si="38"/>
        <v>Error?</v>
      </c>
    </row>
    <row r="2552" spans="1:4" x14ac:dyDescent="0.2">
      <c r="A2552" s="10">
        <v>2491</v>
      </c>
      <c r="D2552" s="2" t="str">
        <f t="shared" si="38"/>
        <v>OK</v>
      </c>
    </row>
    <row r="2553" spans="1:4" x14ac:dyDescent="0.2">
      <c r="A2553" s="5">
        <v>2492</v>
      </c>
      <c r="B2553" s="138">
        <f>'Acct Summary 7-8'!C6</f>
        <v>584568</v>
      </c>
      <c r="C2553" s="2" t="s">
        <v>594</v>
      </c>
      <c r="D2553" s="2" t="str">
        <f t="shared" si="38"/>
        <v>Error?</v>
      </c>
    </row>
    <row r="2554" spans="1:4" x14ac:dyDescent="0.2">
      <c r="A2554" s="5">
        <v>2493</v>
      </c>
      <c r="B2554" s="138">
        <f>'Acct Summary 7-8'!C7</f>
        <v>2521782</v>
      </c>
      <c r="C2554" s="2" t="s">
        <v>594</v>
      </c>
      <c r="D2554" s="2" t="str">
        <f t="shared" si="38"/>
        <v>Error?</v>
      </c>
    </row>
    <row r="2555" spans="1:4" x14ac:dyDescent="0.2">
      <c r="A2555" s="5">
        <v>2494</v>
      </c>
      <c r="B2555" s="138">
        <f>'Acct Summary 7-8'!C8</f>
        <v>5682986</v>
      </c>
      <c r="C2555" s="2" t="s">
        <v>594</v>
      </c>
      <c r="D2555" s="2" t="str">
        <f t="shared" si="38"/>
        <v>Error?</v>
      </c>
    </row>
    <row r="2556" spans="1:4" x14ac:dyDescent="0.2">
      <c r="A2556" s="5">
        <v>2495</v>
      </c>
      <c r="B2556" s="138">
        <f>'Acct Summary 7-8'!C12</f>
        <v>1496128</v>
      </c>
      <c r="C2556" s="2" t="s">
        <v>594</v>
      </c>
      <c r="D2556" s="2" t="str">
        <f t="shared" si="38"/>
        <v>Error?</v>
      </c>
    </row>
    <row r="2557" spans="1:4" x14ac:dyDescent="0.2">
      <c r="A2557" s="5">
        <v>2496</v>
      </c>
      <c r="B2557" s="138">
        <f>'Acct Summary 7-8'!C13</f>
        <v>3337930</v>
      </c>
      <c r="C2557" s="2" t="s">
        <v>594</v>
      </c>
      <c r="D2557" s="2" t="str">
        <f t="shared" si="38"/>
        <v>Error?</v>
      </c>
    </row>
    <row r="2558" spans="1:4" x14ac:dyDescent="0.2">
      <c r="A2558" s="5">
        <v>2497</v>
      </c>
      <c r="B2558" s="138">
        <f>'Acct Summary 7-8'!C14</f>
        <v>93</v>
      </c>
      <c r="C2558" s="2" t="s">
        <v>594</v>
      </c>
      <c r="D2558" s="2" t="str">
        <f t="shared" si="38"/>
        <v>Error?</v>
      </c>
    </row>
    <row r="2559" spans="1:4" x14ac:dyDescent="0.2">
      <c r="A2559" s="5">
        <v>2498</v>
      </c>
      <c r="B2559" s="138">
        <f>'Acct Summary 7-8'!C15</f>
        <v>0</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4834151</v>
      </c>
      <c r="C2561" s="2" t="s">
        <v>594</v>
      </c>
      <c r="D2561" s="2" t="str">
        <f t="shared" si="39"/>
        <v>Error?</v>
      </c>
    </row>
    <row r="2562" spans="1:4" x14ac:dyDescent="0.2">
      <c r="A2562" s="5">
        <v>2501</v>
      </c>
      <c r="B2562" s="138">
        <f>'Acct Summary 7-8'!C20</f>
        <v>848835</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0</v>
      </c>
      <c r="C2568" s="2" t="s">
        <v>594</v>
      </c>
      <c r="D2568" s="2" t="str">
        <f t="shared" si="39"/>
        <v>Error?</v>
      </c>
    </row>
    <row r="2569" spans="1:4" x14ac:dyDescent="0.2">
      <c r="A2569" s="5">
        <v>2508</v>
      </c>
      <c r="B2569" s="138">
        <f>'Acct Summary 7-8'!D13</f>
        <v>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0</v>
      </c>
      <c r="C2573" s="2" t="s">
        <v>594</v>
      </c>
      <c r="D2573" s="2" t="str">
        <f t="shared" si="39"/>
        <v>Error?</v>
      </c>
    </row>
    <row r="2574" spans="1:4" x14ac:dyDescent="0.2">
      <c r="A2574" s="5">
        <v>2513</v>
      </c>
      <c r="B2574" s="138">
        <f>'Acct Summary 7-8'!D20</f>
        <v>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0</v>
      </c>
      <c r="C2595" s="2" t="s">
        <v>594</v>
      </c>
      <c r="D2595" s="2" t="str">
        <f t="shared" si="39"/>
        <v>Error?</v>
      </c>
    </row>
    <row r="2596" spans="1:4" x14ac:dyDescent="0.2">
      <c r="A2596" s="5">
        <v>2535</v>
      </c>
      <c r="B2596" s="138">
        <f>'Acct Summary 7-8'!F13</f>
        <v>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0</v>
      </c>
      <c r="C2600" s="2" t="s">
        <v>594</v>
      </c>
      <c r="D2600" s="2" t="str">
        <f t="shared" si="39"/>
        <v>Error?</v>
      </c>
    </row>
    <row r="2601" spans="1:4" x14ac:dyDescent="0.2">
      <c r="A2601" s="5">
        <v>2540</v>
      </c>
      <c r="B2601" s="138">
        <f>'Acct Summary 7-8'!F20</f>
        <v>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594</v>
      </c>
      <c r="D2916" s="2" t="str">
        <f t="shared" si="44"/>
        <v>Error?</v>
      </c>
    </row>
    <row r="2917" spans="1:4" x14ac:dyDescent="0.2">
      <c r="A2917" s="5">
        <v>2856</v>
      </c>
      <c r="B2917" s="138">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848835</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813206</v>
      </c>
      <c r="D3366" s="2" t="str">
        <f t="shared" si="51"/>
        <v>Error?</v>
      </c>
    </row>
    <row r="3367" spans="1:4" x14ac:dyDescent="0.2">
      <c r="A3367" s="5">
        <v>3306</v>
      </c>
      <c r="B3367" s="138">
        <f>'Expenditures 15-22'!C19</f>
        <v>169364</v>
      </c>
      <c r="D3367" s="2" t="str">
        <f t="shared" si="51"/>
        <v>Error?</v>
      </c>
    </row>
    <row r="3368" spans="1:4" x14ac:dyDescent="0.2">
      <c r="A3368" s="5">
        <v>3307</v>
      </c>
      <c r="B3368" s="138">
        <f>'Expenditures 15-22'!D8</f>
        <v>254233</v>
      </c>
      <c r="D3368" s="2" t="str">
        <f t="shared" si="51"/>
        <v>Error?</v>
      </c>
    </row>
    <row r="3369" spans="1:4" x14ac:dyDescent="0.2">
      <c r="A3369" s="5">
        <v>3308</v>
      </c>
      <c r="B3369" s="138">
        <f>'Expenditures 15-22'!D19</f>
        <v>33493</v>
      </c>
      <c r="D3369" s="2" t="str">
        <f t="shared" si="51"/>
        <v>Error?</v>
      </c>
    </row>
    <row r="3370" spans="1:4" x14ac:dyDescent="0.2">
      <c r="A3370" s="5">
        <v>3309</v>
      </c>
      <c r="B3370" s="138">
        <f>'Expenditures 15-22'!E8</f>
        <v>44448</v>
      </c>
      <c r="D3370" s="2" t="str">
        <f t="shared" si="51"/>
        <v>Error?</v>
      </c>
    </row>
    <row r="3371" spans="1:4" x14ac:dyDescent="0.2">
      <c r="A3371" s="5">
        <v>3310</v>
      </c>
      <c r="B3371" s="138">
        <f>'Expenditures 15-22'!E19</f>
        <v>4513</v>
      </c>
      <c r="D3371" s="2" t="str">
        <f t="shared" si="51"/>
        <v>Error?</v>
      </c>
    </row>
    <row r="3372" spans="1:4" x14ac:dyDescent="0.2">
      <c r="A3372" s="5">
        <v>3311</v>
      </c>
      <c r="B3372" s="138">
        <f>'Expenditures 15-22'!F8</f>
        <v>26577</v>
      </c>
      <c r="D3372" s="2" t="str">
        <f t="shared" si="51"/>
        <v>Error?</v>
      </c>
    </row>
    <row r="3373" spans="1:4" x14ac:dyDescent="0.2">
      <c r="A3373" s="5">
        <v>3312</v>
      </c>
      <c r="B3373" s="138">
        <f>'Expenditures 15-22'!F19</f>
        <v>31249</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1138464</v>
      </c>
      <c r="C3380" s="2" t="s">
        <v>594</v>
      </c>
      <c r="D3380" s="2" t="str">
        <f t="shared" si="51"/>
        <v>Error?</v>
      </c>
    </row>
    <row r="3381" spans="1:4" x14ac:dyDescent="0.2">
      <c r="A3381" s="5">
        <v>3320</v>
      </c>
      <c r="B3381" s="138">
        <f>'Expenditures 15-22'!K19</f>
        <v>238619</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3543012</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33086</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1483984</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7166970</v>
      </c>
      <c r="C4122" s="2" t="s">
        <v>594</v>
      </c>
      <c r="D4122" s="2" t="str">
        <f t="shared" si="63"/>
        <v>Error?</v>
      </c>
    </row>
    <row r="4123" spans="1:4" x14ac:dyDescent="0.2">
      <c r="A4123" s="5">
        <v>4062</v>
      </c>
      <c r="B4123" s="138">
        <f>'Acct Summary 7-8'!D10</f>
        <v>0</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0</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1483984</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6318135</v>
      </c>
      <c r="C4136" s="2" t="s">
        <v>594</v>
      </c>
      <c r="D4136" s="2" t="str">
        <f t="shared" si="63"/>
        <v>Error?</v>
      </c>
    </row>
    <row r="4137" spans="1:4" x14ac:dyDescent="0.2">
      <c r="A4137" s="5">
        <v>4076</v>
      </c>
      <c r="B4137" s="138">
        <f>'Acct Summary 7-8'!D19</f>
        <v>0</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0</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3542162</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38451</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215842</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57958</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76540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2030734</v>
      </c>
      <c r="D5082" s="2" t="str">
        <f t="shared" si="78"/>
        <v>Error?</v>
      </c>
    </row>
    <row r="5083" spans="1:4" x14ac:dyDescent="0.2">
      <c r="A5083" s="5">
        <v>5022</v>
      </c>
      <c r="B5083" s="138">
        <f>'Revenues 9-14'!C34</f>
        <v>171699</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2202433</v>
      </c>
      <c r="C5087" s="2" t="s">
        <v>594</v>
      </c>
      <c r="D5087" s="2" t="str">
        <f t="shared" si="78"/>
        <v>Error?</v>
      </c>
    </row>
    <row r="5088" spans="1:4" x14ac:dyDescent="0.2">
      <c r="A5088" s="5">
        <v>5027</v>
      </c>
      <c r="B5088" s="138">
        <f>'Revenues 9-14'!C65</f>
        <v>30354</v>
      </c>
      <c r="D5088" s="2" t="str">
        <f t="shared" si="78"/>
        <v>Error?</v>
      </c>
    </row>
    <row r="5089" spans="1:4" x14ac:dyDescent="0.2">
      <c r="A5089" s="5">
        <v>5028</v>
      </c>
      <c r="B5089" s="138">
        <f>'Revenues 9-14'!C66</f>
        <v>0</v>
      </c>
      <c r="D5089" s="2" t="str">
        <f t="shared" si="78"/>
        <v>Error?</v>
      </c>
    </row>
    <row r="5090" spans="1:4" x14ac:dyDescent="0.2">
      <c r="A5090" s="5">
        <v>5029</v>
      </c>
      <c r="B5090" s="138">
        <f>'Revenues 9-14'!C67</f>
        <v>30354</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339</v>
      </c>
      <c r="D5094" s="2" t="str">
        <f t="shared" si="78"/>
        <v>Error?</v>
      </c>
    </row>
    <row r="5095" spans="1:4" x14ac:dyDescent="0.2">
      <c r="A5095" s="5">
        <v>5034</v>
      </c>
      <c r="B5095" s="138">
        <f>'Revenues 9-14'!C74</f>
        <v>0</v>
      </c>
      <c r="D5095" s="2" t="str">
        <f t="shared" si="78"/>
        <v>Error?</v>
      </c>
    </row>
    <row r="5096" spans="1:4" x14ac:dyDescent="0.2">
      <c r="A5096" s="5">
        <v>5035</v>
      </c>
      <c r="B5096" s="138">
        <f>'Revenues 9-14'!C75</f>
        <v>339</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3500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294833</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45177</v>
      </c>
      <c r="D5119" s="2" t="str">
        <f t="shared" ref="D5119:D5182" si="79">IF(ISBLANK(B5119),"OK",IF(A5119-B5119=0,"OK","Error?"))</f>
        <v>Error?</v>
      </c>
    </row>
    <row r="5120" spans="1:4" x14ac:dyDescent="0.2">
      <c r="A5120" s="5">
        <v>5059</v>
      </c>
      <c r="B5120" s="138">
        <f>'Revenues 9-14'!C108</f>
        <v>343510</v>
      </c>
      <c r="C5120" s="2" t="s">
        <v>594</v>
      </c>
      <c r="D5120" s="2" t="str">
        <f t="shared" si="79"/>
        <v>Error?</v>
      </c>
    </row>
    <row r="5121" spans="1:4" x14ac:dyDescent="0.2">
      <c r="A5121" s="5">
        <v>5060</v>
      </c>
      <c r="B5121" s="138">
        <f>'Revenues 9-14'!C109</f>
        <v>2576636</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350468</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350468</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175774</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175774</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368</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234100</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584568</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18590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5048</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23638</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94675</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2072636</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2167311</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2521782</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2521782</v>
      </c>
      <c r="C5326" s="2" t="s">
        <v>594</v>
      </c>
      <c r="D5326" s="2" t="str">
        <f t="shared" si="82"/>
        <v>Error?</v>
      </c>
    </row>
    <row r="5327" spans="1:4" x14ac:dyDescent="0.2">
      <c r="A5327" s="5">
        <v>5266</v>
      </c>
      <c r="B5327" s="138">
        <f>'Revenues 9-14'!C275</f>
        <v>5682986</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0</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0</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848835</v>
      </c>
      <c r="D6267" s="2" t="str">
        <f t="shared" si="96"/>
        <v>Error?</v>
      </c>
      <c r="E6267" s="2" t="s">
        <v>199</v>
      </c>
    </row>
    <row r="6268" spans="1:5" x14ac:dyDescent="0.2">
      <c r="A6268">
        <v>6207</v>
      </c>
      <c r="B6268" s="138">
        <f>'Acct Summary 7-8'!D82</f>
        <v>0</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0.23963754339863619</v>
      </c>
      <c r="D6276" s="2" t="str">
        <f t="shared" si="97"/>
        <v>Error?</v>
      </c>
      <c r="E6276" s="2" t="s">
        <v>199</v>
      </c>
    </row>
    <row r="6277" spans="1:5" x14ac:dyDescent="0.2">
      <c r="A6277">
        <v>6216</v>
      </c>
      <c r="B6277" s="138" t="e">
        <f>'Acct Summary 7-8'!D83</f>
        <v>#DIV/0!</v>
      </c>
      <c r="D6277" s="2" t="e">
        <f t="shared" si="97"/>
        <v>#DIV/0!</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t="e">
        <f>'Acct Summary 7-8'!G83</f>
        <v>#DIV/0!</v>
      </c>
      <c r="D6280" s="2" t="e">
        <f t="shared" si="97"/>
        <v>#DIV/0!</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1204</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1340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524</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1974</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3336</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7174</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2010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2010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9184</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9184</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199</v>
      </c>
      <c r="D7253" s="2" t="str">
        <f t="shared" si="112"/>
        <v>Error?</v>
      </c>
    </row>
    <row r="7254" spans="1:4" x14ac:dyDescent="0.2">
      <c r="A7254">
        <f t="shared" si="113"/>
        <v>7193</v>
      </c>
      <c r="B7254" s="138">
        <f>'Expenditures 15-22'!F9</f>
        <v>1005</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9184</v>
      </c>
      <c r="D7624" s="2" t="str">
        <f t="shared" si="124"/>
        <v>Error?</v>
      </c>
      <c r="E7624" s="2" t="s">
        <v>19</v>
      </c>
    </row>
    <row r="7625" spans="1:5" x14ac:dyDescent="0.2">
      <c r="A7625">
        <f t="shared" si="123"/>
        <v>7564</v>
      </c>
      <c r="B7625" s="138">
        <f>'Cap Outlay Deprec 26'!I17</f>
        <v>918.4</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19680.400000000001</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1963</v>
      </c>
    </row>
    <row r="7775" spans="1:5" x14ac:dyDescent="0.2">
      <c r="A7775">
        <v>7714</v>
      </c>
      <c r="B7775" s="138">
        <f>'Expenditures 15-22'!H133</f>
        <v>0</v>
      </c>
      <c r="D7775" s="2" t="str">
        <f t="shared" si="127"/>
        <v>Error?</v>
      </c>
      <c r="E7775" s="4" t="s">
        <v>1963</v>
      </c>
    </row>
    <row r="7776" spans="1:5" x14ac:dyDescent="0.2">
      <c r="A7776">
        <v>7715</v>
      </c>
      <c r="B7776" s="138">
        <f>'Expenditures 15-22'!K133</f>
        <v>0</v>
      </c>
      <c r="D7776" s="2" t="str">
        <f t="shared" si="127"/>
        <v>Error?</v>
      </c>
      <c r="E7776" s="4" t="s">
        <v>1963</v>
      </c>
    </row>
    <row r="7777" spans="1:5" x14ac:dyDescent="0.2">
      <c r="A7777">
        <v>7716</v>
      </c>
      <c r="B7777" s="138">
        <f>'Expenditures 15-22'!H157</f>
        <v>0</v>
      </c>
      <c r="D7777" s="2" t="str">
        <f t="shared" si="127"/>
        <v>Error?</v>
      </c>
      <c r="E7777" s="4" t="s">
        <v>1963</v>
      </c>
    </row>
    <row r="7778" spans="1:5" x14ac:dyDescent="0.2">
      <c r="A7778">
        <v>7717</v>
      </c>
      <c r="B7778" s="138">
        <f>'Expenditures 15-22'!K157</f>
        <v>0</v>
      </c>
      <c r="D7778" s="2" t="str">
        <f t="shared" si="127"/>
        <v>Error?</v>
      </c>
      <c r="E7778" s="4" t="s">
        <v>1963</v>
      </c>
    </row>
    <row r="7779" spans="1:5" x14ac:dyDescent="0.2">
      <c r="A7779">
        <v>7718</v>
      </c>
      <c r="B7779" s="138">
        <f>'Expenditures 15-22'!H158</f>
        <v>0</v>
      </c>
      <c r="D7779" s="2" t="str">
        <f t="shared" si="127"/>
        <v>Error?</v>
      </c>
      <c r="E7779" s="4" t="s">
        <v>1963</v>
      </c>
    </row>
    <row r="7780" spans="1:5" x14ac:dyDescent="0.2">
      <c r="A7780">
        <v>7719</v>
      </c>
      <c r="B7780" s="138">
        <f>'Expenditures 15-22'!K158</f>
        <v>0</v>
      </c>
      <c r="D7780" s="2" t="str">
        <f t="shared" si="127"/>
        <v>Error?</v>
      </c>
      <c r="E7780" s="4" t="s">
        <v>1963</v>
      </c>
    </row>
    <row r="7781" spans="1:5" x14ac:dyDescent="0.2">
      <c r="A7781">
        <v>7720</v>
      </c>
      <c r="B7781" s="138">
        <f>'Expenditures 15-22'!H159</f>
        <v>0</v>
      </c>
      <c r="D7781" s="2" t="str">
        <f t="shared" si="127"/>
        <v>Error?</v>
      </c>
      <c r="E7781" s="4" t="s">
        <v>1963</v>
      </c>
    </row>
    <row r="7782" spans="1:5" x14ac:dyDescent="0.2">
      <c r="A7782">
        <v>7721</v>
      </c>
      <c r="B7782" s="138">
        <f>'Expenditures 15-22'!K159</f>
        <v>0</v>
      </c>
      <c r="D7782" s="2" t="str">
        <f t="shared" si="127"/>
        <v>Error?</v>
      </c>
      <c r="E7782" s="4" t="s">
        <v>1963</v>
      </c>
    </row>
    <row r="7783" spans="1:5" x14ac:dyDescent="0.2">
      <c r="A7783">
        <v>7722</v>
      </c>
      <c r="B7783" s="138">
        <f>'Expenditures 15-22'!D282</f>
        <v>0</v>
      </c>
      <c r="D7783" s="2" t="str">
        <f t="shared" si="127"/>
        <v>Error?</v>
      </c>
      <c r="E7783" s="4" t="s">
        <v>1963</v>
      </c>
    </row>
    <row r="7784" spans="1:5" x14ac:dyDescent="0.2">
      <c r="A7784">
        <v>7723</v>
      </c>
      <c r="B7784" s="138">
        <f>'Expenditures 15-22'!K282</f>
        <v>0</v>
      </c>
      <c r="D7784" s="2" t="str">
        <f t="shared" si="127"/>
        <v>Error?</v>
      </c>
      <c r="E7784" s="4" t="s">
        <v>1963</v>
      </c>
    </row>
    <row r="7785" spans="1:5" x14ac:dyDescent="0.2">
      <c r="A7785">
        <v>7724</v>
      </c>
      <c r="B7785" s="138">
        <f>'Expenditures 15-22'!H332</f>
        <v>0</v>
      </c>
      <c r="D7785" s="2" t="str">
        <f t="shared" si="127"/>
        <v>Error?</v>
      </c>
      <c r="E7785" s="4" t="s">
        <v>1963</v>
      </c>
    </row>
    <row r="7786" spans="1:5" x14ac:dyDescent="0.2">
      <c r="A7786">
        <v>7725</v>
      </c>
      <c r="B7786" s="138">
        <f>'Expenditures 15-22'!K332</f>
        <v>0</v>
      </c>
      <c r="D7786" s="2" t="str">
        <f t="shared" si="127"/>
        <v>Error?</v>
      </c>
      <c r="E7786" s="4" t="s">
        <v>1963</v>
      </c>
    </row>
    <row r="7787" spans="1:5" x14ac:dyDescent="0.2">
      <c r="A7787">
        <v>7726</v>
      </c>
      <c r="B7787" s="138">
        <f>'Expenditures 15-22'!H333</f>
        <v>0</v>
      </c>
      <c r="D7787" s="2" t="str">
        <f t="shared" si="127"/>
        <v>Error?</v>
      </c>
      <c r="E7787" s="4" t="s">
        <v>1963</v>
      </c>
    </row>
    <row r="7788" spans="1:5" x14ac:dyDescent="0.2">
      <c r="A7788">
        <v>7727</v>
      </c>
      <c r="B7788" s="138">
        <f>'Expenditures 15-22'!K333</f>
        <v>0</v>
      </c>
      <c r="D7788" s="2" t="str">
        <f t="shared" si="127"/>
        <v>Error?</v>
      </c>
      <c r="E7788" s="4" t="s">
        <v>1963</v>
      </c>
    </row>
    <row r="7789" spans="1:5" x14ac:dyDescent="0.2">
      <c r="A7789">
        <v>7728</v>
      </c>
      <c r="B7789" s="138">
        <f>'Expenditures 15-22'!H334</f>
        <v>0</v>
      </c>
      <c r="D7789" s="2" t="str">
        <f t="shared" si="127"/>
        <v>Error?</v>
      </c>
      <c r="E7789" s="4" t="s">
        <v>1963</v>
      </c>
    </row>
    <row r="7790" spans="1:5" x14ac:dyDescent="0.2">
      <c r="A7790">
        <v>7729</v>
      </c>
      <c r="B7790" s="138">
        <f>'Expenditures 15-22'!K334</f>
        <v>0</v>
      </c>
      <c r="D7790" s="2" t="str">
        <f t="shared" si="127"/>
        <v>Error?</v>
      </c>
      <c r="E7790" s="4" t="s">
        <v>1963</v>
      </c>
    </row>
    <row r="7791" spans="1:5" x14ac:dyDescent="0.2">
      <c r="A7791">
        <v>7730</v>
      </c>
      <c r="B7791" s="138">
        <f>'Expenditures 15-22'!H354</f>
        <v>0</v>
      </c>
      <c r="D7791" s="2" t="str">
        <f t="shared" si="127"/>
        <v>Error?</v>
      </c>
      <c r="E7791" s="4" t="s">
        <v>1963</v>
      </c>
    </row>
    <row r="7792" spans="1:5" x14ac:dyDescent="0.2">
      <c r="A7792">
        <v>7731</v>
      </c>
      <c r="B7792" s="138">
        <f>'Expenditures 15-22'!K354</f>
        <v>0</v>
      </c>
      <c r="D7792" s="2" t="str">
        <f t="shared" si="127"/>
        <v>Error?</v>
      </c>
      <c r="E7792" s="4" t="s">
        <v>1963</v>
      </c>
    </row>
    <row r="7793" spans="1:5" x14ac:dyDescent="0.2">
      <c r="A7793">
        <v>7732</v>
      </c>
      <c r="B7793" s="138">
        <f>'Expenditures 15-22'!H355</f>
        <v>0</v>
      </c>
      <c r="D7793" s="2" t="str">
        <f t="shared" si="127"/>
        <v>Error?</v>
      </c>
      <c r="E7793" s="4" t="s">
        <v>1963</v>
      </c>
    </row>
    <row r="7794" spans="1:5" x14ac:dyDescent="0.2">
      <c r="A7794">
        <v>7733</v>
      </c>
      <c r="B7794" s="138">
        <f>'Expenditures 15-22'!K355</f>
        <v>0</v>
      </c>
      <c r="D7794" s="2" t="str">
        <f t="shared" si="127"/>
        <v>Error?</v>
      </c>
      <c r="E7794" s="4" t="s">
        <v>1963</v>
      </c>
    </row>
    <row r="7795" spans="1:5" x14ac:dyDescent="0.2">
      <c r="A7795">
        <v>7734</v>
      </c>
      <c r="B7795" s="138">
        <f>'Expenditures 15-22'!E138</f>
        <v>0</v>
      </c>
      <c r="D7795" s="2" t="str">
        <f t="shared" si="127"/>
        <v>Error?</v>
      </c>
      <c r="E7795" s="4" t="s">
        <v>1963</v>
      </c>
    </row>
    <row r="7796" spans="1:5" x14ac:dyDescent="0.2">
      <c r="A7796">
        <v>7735</v>
      </c>
      <c r="B7796" s="138">
        <f>'Acct Summary 7-8'!J15</f>
        <v>0</v>
      </c>
      <c r="D7796" s="2" t="str">
        <f t="shared" si="127"/>
        <v>Error?</v>
      </c>
      <c r="E7796" s="4" t="s">
        <v>1963</v>
      </c>
    </row>
    <row r="7797" spans="1:5" x14ac:dyDescent="0.2">
      <c r="A7797">
        <v>7736</v>
      </c>
      <c r="B7797" s="138">
        <f>'Contracts Paid in CY 29'!D141</f>
        <v>0</v>
      </c>
      <c r="D7797" s="2" t="str">
        <f t="shared" si="127"/>
        <v>Error?</v>
      </c>
      <c r="E7797" s="4" t="s">
        <v>2016</v>
      </c>
    </row>
    <row r="7798" spans="1:5" x14ac:dyDescent="0.2">
      <c r="A7798">
        <v>7737</v>
      </c>
      <c r="B7798" s="138">
        <f>'Contracts Paid in CY 29'!F141</f>
        <v>0</v>
      </c>
      <c r="D7798" s="2" t="str">
        <f t="shared" si="127"/>
        <v>Error?</v>
      </c>
      <c r="E7798" s="4" t="s">
        <v>2016</v>
      </c>
    </row>
    <row r="7799" spans="1:5" x14ac:dyDescent="0.2">
      <c r="A7799">
        <v>7738</v>
      </c>
      <c r="B7799" s="138">
        <f>'Contracts Paid in CY 29'!G141</f>
        <v>0</v>
      </c>
      <c r="D7799" s="2" t="str">
        <f t="shared" si="127"/>
        <v>Error?</v>
      </c>
      <c r="E7799" s="4" t="s">
        <v>2016</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1" t="s">
        <v>1253</v>
      </c>
      <c r="B2" s="2421"/>
      <c r="C2" s="2421"/>
      <c r="D2" s="2421"/>
      <c r="E2" s="2421"/>
      <c r="F2" s="2421"/>
      <c r="G2" s="2421"/>
      <c r="H2" s="2421"/>
      <c r="I2" s="2421"/>
      <c r="J2" s="2421"/>
      <c r="K2" s="2421"/>
      <c r="L2" s="2421"/>
    </row>
    <row r="3" spans="1:29" ht="13.5" customHeight="1" x14ac:dyDescent="0.2">
      <c r="A3" s="2407" t="s">
        <v>1252</v>
      </c>
      <c r="B3" s="2407"/>
      <c r="C3" s="2407"/>
      <c r="D3" s="2407"/>
      <c r="E3" s="2407"/>
      <c r="F3" s="2407"/>
      <c r="G3" s="2407"/>
      <c r="H3" s="2407"/>
      <c r="I3" s="2407"/>
      <c r="J3" s="2407"/>
      <c r="K3" s="2407"/>
      <c r="L3" s="2407"/>
    </row>
    <row r="4" spans="1:29" ht="13.5" customHeight="1" x14ac:dyDescent="0.2">
      <c r="A4" s="2421" t="s">
        <v>1799</v>
      </c>
      <c r="B4" s="2438"/>
      <c r="C4" s="2438"/>
      <c r="D4" s="2438"/>
      <c r="E4" s="2438"/>
      <c r="F4" s="2438"/>
      <c r="G4" s="2438"/>
      <c r="H4" s="2438"/>
      <c r="I4" s="2438"/>
      <c r="J4" s="2438"/>
      <c r="K4" s="2438"/>
      <c r="L4" s="2438"/>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01" t="str">
        <f>COVER!A17</f>
        <v>Vermilion Assoc for SpEd</v>
      </c>
      <c r="B7" s="2402"/>
      <c r="C7" s="2402"/>
      <c r="D7" s="2439"/>
      <c r="E7" s="2440">
        <f>COVER!A13</f>
        <v>54092801060</v>
      </c>
      <c r="F7" s="2441"/>
      <c r="G7" s="2408" t="str">
        <f>COVER!T23</f>
        <v>065.018319</v>
      </c>
      <c r="H7" s="2409"/>
      <c r="I7" s="2409"/>
      <c r="J7" s="2409"/>
      <c r="K7" s="2409"/>
      <c r="L7" s="2410"/>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11"/>
      <c r="B9" s="2412"/>
      <c r="C9" s="2412"/>
      <c r="D9" s="2412"/>
      <c r="E9" s="2412"/>
      <c r="F9" s="2413"/>
      <c r="G9" s="2414" t="str">
        <f>COVER!T13</f>
        <v>RUSSELL LEIGH &amp; ASSOICATES</v>
      </c>
      <c r="H9" s="2415"/>
      <c r="I9" s="2415"/>
      <c r="J9" s="2415"/>
      <c r="K9" s="2415"/>
      <c r="L9" s="2416"/>
    </row>
    <row r="10" spans="1:29" ht="13.5" customHeight="1" x14ac:dyDescent="0.2">
      <c r="A10" s="2398" t="str">
        <f>COVER!A38</f>
        <v>Kristin Dunker</v>
      </c>
      <c r="B10" s="2399"/>
      <c r="C10" s="2399"/>
      <c r="D10" s="2399"/>
      <c r="E10" s="2399"/>
      <c r="F10" s="2400"/>
      <c r="G10" s="2414" t="str">
        <f>COVER!T17</f>
        <v>228 E MAIN ST</v>
      </c>
      <c r="H10" s="2427"/>
      <c r="I10" s="2427"/>
      <c r="J10" s="2427"/>
      <c r="K10" s="2427"/>
      <c r="L10" s="2428"/>
    </row>
    <row r="11" spans="1:29" ht="13.5" customHeight="1" x14ac:dyDescent="0.2">
      <c r="A11" s="1185" t="s">
        <v>1599</v>
      </c>
      <c r="B11" s="1186"/>
      <c r="C11" s="1187"/>
      <c r="D11" s="1192"/>
      <c r="E11" s="1187"/>
      <c r="F11" s="1191"/>
      <c r="G11" s="2414" t="str">
        <f>COVER!T19</f>
        <v>HOOPESTON</v>
      </c>
      <c r="H11" s="2427"/>
      <c r="I11" s="2427"/>
      <c r="J11" s="2427"/>
      <c r="K11" s="2427"/>
      <c r="L11" s="2428"/>
    </row>
    <row r="12" spans="1:29" ht="13.5" customHeight="1" x14ac:dyDescent="0.2">
      <c r="A12" s="2432" t="s">
        <v>1598</v>
      </c>
      <c r="B12" s="2433"/>
      <c r="C12" s="2433"/>
      <c r="D12" s="2433"/>
      <c r="E12" s="2433"/>
      <c r="F12" s="2434"/>
      <c r="G12" s="2429"/>
      <c r="H12" s="2430"/>
      <c r="I12" s="2430"/>
      <c r="J12" s="2430"/>
      <c r="K12" s="2430"/>
      <c r="L12" s="2431"/>
    </row>
    <row r="13" spans="1:29" ht="13.5" customHeight="1" x14ac:dyDescent="0.2">
      <c r="A13" s="2414"/>
      <c r="B13" s="2427"/>
      <c r="C13" s="2427"/>
      <c r="D13" s="2427"/>
      <c r="E13" s="2427"/>
      <c r="F13" s="2428"/>
      <c r="G13" s="2422" t="s">
        <v>1600</v>
      </c>
      <c r="H13" s="2423"/>
      <c r="I13" s="2435" t="str">
        <f>COVER!T25</f>
        <v>admin@russleigh.com</v>
      </c>
      <c r="J13" s="2436"/>
      <c r="K13" s="2436"/>
      <c r="L13" s="2437"/>
    </row>
    <row r="14" spans="1:29" ht="13.5" customHeight="1" x14ac:dyDescent="0.2">
      <c r="A14" s="2414" t="str">
        <f>COVER!A19</f>
        <v>15009 CATLIN-TILTON ROAD</v>
      </c>
      <c r="B14" s="2427"/>
      <c r="C14" s="2427"/>
      <c r="D14" s="2427"/>
      <c r="E14" s="2427"/>
      <c r="F14" s="2428"/>
      <c r="G14" s="1196" t="s">
        <v>1247</v>
      </c>
      <c r="H14" s="1194"/>
      <c r="I14" s="1194"/>
      <c r="J14" s="1194"/>
      <c r="K14" s="1194"/>
      <c r="L14" s="1195"/>
    </row>
    <row r="15" spans="1:29" ht="13.5" customHeight="1" x14ac:dyDescent="0.2">
      <c r="A15" s="2414" t="str">
        <f>COVER!A21</f>
        <v>DANVILLE</v>
      </c>
      <c r="B15" s="2427"/>
      <c r="C15" s="2427"/>
      <c r="D15" s="2427"/>
      <c r="E15" s="2427"/>
      <c r="F15" s="2428"/>
      <c r="G15" s="2424" t="str">
        <f>COVER!T15</f>
        <v>RUSS LEIGH</v>
      </c>
      <c r="H15" s="2425"/>
      <c r="I15" s="2425"/>
      <c r="J15" s="2425"/>
      <c r="K15" s="2425"/>
      <c r="L15" s="2426"/>
    </row>
    <row r="16" spans="1:29" ht="12.2" customHeight="1" x14ac:dyDescent="0.2">
      <c r="A16" s="2404">
        <f>COVER!A25</f>
        <v>61834</v>
      </c>
      <c r="B16" s="2405"/>
      <c r="C16" s="2405"/>
      <c r="D16" s="2405"/>
      <c r="E16" s="2405"/>
      <c r="F16" s="2406"/>
      <c r="G16" s="2417"/>
      <c r="H16" s="2418"/>
      <c r="I16" s="2418"/>
      <c r="J16" s="2418"/>
      <c r="K16" s="2418"/>
      <c r="L16" s="2419"/>
    </row>
    <row r="17" spans="1:13" ht="12.2" customHeight="1" x14ac:dyDescent="0.2">
      <c r="A17" s="2420"/>
      <c r="B17" s="2405"/>
      <c r="C17" s="2405"/>
      <c r="D17" s="2405"/>
      <c r="E17" s="2405"/>
      <c r="F17" s="2406"/>
      <c r="G17" s="1196" t="s">
        <v>1246</v>
      </c>
      <c r="H17" s="1194"/>
      <c r="I17" s="1194"/>
      <c r="J17" s="1194"/>
      <c r="K17" s="1198" t="s">
        <v>1245</v>
      </c>
      <c r="L17" s="1191"/>
      <c r="M17" s="1184"/>
    </row>
    <row r="18" spans="1:13" ht="12.2" customHeight="1" x14ac:dyDescent="0.2">
      <c r="A18" s="2398"/>
      <c r="B18" s="2399"/>
      <c r="C18" s="2399"/>
      <c r="D18" s="2399"/>
      <c r="E18" s="2399"/>
      <c r="F18" s="2400"/>
      <c r="G18" s="2401" t="str">
        <f>COVER!T21</f>
        <v>217-283-9336</v>
      </c>
      <c r="H18" s="2402"/>
      <c r="I18" s="2402"/>
      <c r="J18" s="2402"/>
      <c r="K18" s="2401" t="str">
        <f>COVER!X21</f>
        <v>217-283-9736</v>
      </c>
      <c r="L18" s="2403"/>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1943</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2" t="str">
        <f>'Single Audit Cover'!A7</f>
        <v>Vermilion Assoc for SpEd</v>
      </c>
      <c r="B1" s="2438"/>
      <c r="C1" s="2438"/>
      <c r="D1" s="2438"/>
    </row>
    <row r="2" spans="1:11" s="1215" customFormat="1" ht="12.75" x14ac:dyDescent="0.2">
      <c r="A2" s="2443">
        <f>'Single Audit Cover'!E7</f>
        <v>54092801060</v>
      </c>
      <c r="B2" s="2444"/>
      <c r="C2" s="2444"/>
      <c r="D2" s="2444"/>
    </row>
    <row r="3" spans="1:11" s="1215" customFormat="1" ht="12.75" x14ac:dyDescent="0.2">
      <c r="A3" s="2442" t="s">
        <v>1593</v>
      </c>
      <c r="B3" s="2438"/>
      <c r="C3" s="2438"/>
      <c r="D3" s="2438"/>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1944</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6" t="str">
        <f>'Single Audit Cover'!A7</f>
        <v>Vermilion Assoc for SpEd</v>
      </c>
      <c r="B1" s="2446"/>
      <c r="C1" s="2446"/>
      <c r="D1" s="2446"/>
      <c r="E1" s="2446"/>
    </row>
    <row r="2" spans="1:5" x14ac:dyDescent="0.2">
      <c r="A2" s="2447">
        <f>'Single Audit Cover'!E7</f>
        <v>54092801060</v>
      </c>
      <c r="B2" s="2447"/>
      <c r="C2" s="2447"/>
      <c r="D2" s="2447"/>
      <c r="E2" s="2447"/>
    </row>
    <row r="3" spans="1:5" ht="4.5" customHeight="1" x14ac:dyDescent="0.2"/>
    <row r="4" spans="1:5" x14ac:dyDescent="0.2">
      <c r="A4" s="2446" t="s">
        <v>1307</v>
      </c>
      <c r="B4" s="2446"/>
      <c r="C4" s="2446"/>
      <c r="D4" s="2446"/>
      <c r="E4" s="2446"/>
    </row>
    <row r="5" spans="1:5" x14ac:dyDescent="0.2">
      <c r="A5" s="2449" t="str">
        <f>'Single Audit Cover'!A4</f>
        <v>Year Ending June 30, 2018</v>
      </c>
      <c r="B5" s="2449"/>
      <c r="C5" s="2449"/>
      <c r="D5" s="2449"/>
      <c r="E5" s="2449"/>
    </row>
    <row r="6" spans="1:5" x14ac:dyDescent="0.2">
      <c r="A6" s="2446" t="s">
        <v>1306</v>
      </c>
      <c r="B6" s="2446"/>
      <c r="C6" s="2446"/>
      <c r="D6" s="2446"/>
      <c r="E6" s="2446"/>
    </row>
    <row r="8" spans="1:5" x14ac:dyDescent="0.2">
      <c r="A8" s="1260" t="s">
        <v>1305</v>
      </c>
    </row>
    <row r="10" spans="1:5" x14ac:dyDescent="0.2">
      <c r="A10" s="1261" t="s">
        <v>1304</v>
      </c>
      <c r="B10" s="1262" t="s">
        <v>1303</v>
      </c>
      <c r="C10" s="1262"/>
      <c r="D10" s="1263">
        <f>SUM('Acct Summary 7-8'!C7:K7)</f>
        <v>2521782</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1952</v>
      </c>
      <c r="B16" s="1262"/>
      <c r="C16" s="1262"/>
    </row>
    <row r="17" spans="1:4" x14ac:dyDescent="0.2">
      <c r="A17" s="1261" t="s">
        <v>1601</v>
      </c>
      <c r="B17" s="1262" t="s">
        <v>1298</v>
      </c>
      <c r="C17" s="1262"/>
      <c r="D17" s="1264">
        <f>-SUM('Revenues 9-14'!C271:D271,'Revenues 9-14'!F271:G271)</f>
        <v>-215842</v>
      </c>
    </row>
    <row r="19" spans="1:4" ht="13.5" thickBot="1" x14ac:dyDescent="0.25">
      <c r="A19" s="1265" t="s">
        <v>1297</v>
      </c>
      <c r="D19" s="1266">
        <f>SUM(D10:D17)</f>
        <v>2305940</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8"/>
      <c r="B24" s="2448"/>
      <c r="D24" s="1268"/>
    </row>
    <row r="25" spans="1:4" x14ac:dyDescent="0.2">
      <c r="A25" s="2445"/>
      <c r="B25" s="2445"/>
      <c r="D25" s="1268"/>
    </row>
    <row r="26" spans="1:4" x14ac:dyDescent="0.2">
      <c r="A26" s="2445"/>
      <c r="B26" s="2445"/>
      <c r="D26" s="1268"/>
    </row>
    <row r="27" spans="1:4" x14ac:dyDescent="0.2">
      <c r="A27" s="2445"/>
      <c r="B27" s="2445"/>
      <c r="D27" s="1268"/>
    </row>
    <row r="28" spans="1:4" x14ac:dyDescent="0.2">
      <c r="A28" s="2445"/>
      <c r="B28" s="2445"/>
      <c r="D28" s="1268"/>
    </row>
    <row r="29" spans="1:4" x14ac:dyDescent="0.2">
      <c r="A29" s="2445"/>
      <c r="B29" s="2445"/>
      <c r="D29" s="1268"/>
    </row>
    <row r="30" spans="1:4" x14ac:dyDescent="0.2">
      <c r="A30" s="2445"/>
      <c r="B30" s="2445"/>
      <c r="D30" s="1268"/>
    </row>
    <row r="32" spans="1:4" x14ac:dyDescent="0.2">
      <c r="A32" s="1260" t="s">
        <v>1295</v>
      </c>
      <c r="D32" s="1263">
        <f>SUM(D19:D30)</f>
        <v>2305940</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5"/>
      <c r="B40" s="2445"/>
      <c r="D40" s="1268"/>
    </row>
    <row r="41" spans="1:4" x14ac:dyDescent="0.2">
      <c r="A41" s="2445"/>
      <c r="B41" s="2445"/>
      <c r="D41" s="1271"/>
    </row>
    <row r="42" spans="1:4" x14ac:dyDescent="0.2">
      <c r="A42" s="2445"/>
      <c r="B42" s="2445"/>
      <c r="D42" s="1271"/>
    </row>
    <row r="43" spans="1:4" x14ac:dyDescent="0.2">
      <c r="A43" s="2445"/>
      <c r="B43" s="2445"/>
      <c r="D43" s="1271"/>
    </row>
    <row r="44" spans="1:4" x14ac:dyDescent="0.2">
      <c r="A44" s="2445"/>
      <c r="B44" s="2445"/>
      <c r="D44" s="1271"/>
    </row>
    <row r="45" spans="1:4" x14ac:dyDescent="0.2">
      <c r="A45" s="2445"/>
      <c r="B45" s="2445"/>
      <c r="D45" s="1271"/>
    </row>
    <row r="47" spans="1:4" x14ac:dyDescent="0.2">
      <c r="B47" s="1272" t="s">
        <v>1289</v>
      </c>
      <c r="C47" s="1272"/>
      <c r="D47" s="1273">
        <f>SUM(D35:D45)</f>
        <v>0</v>
      </c>
    </row>
    <row r="49" spans="2:4" x14ac:dyDescent="0.2">
      <c r="B49" s="1272" t="s">
        <v>1288</v>
      </c>
      <c r="C49" s="1272"/>
      <c r="D49" s="1273">
        <f>D32-D47</f>
        <v>2305940</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67" zoomScale="120" zoomScaleNormal="120" workbookViewId="0">
      <selection activeCell="C43" sqref="C43"/>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1" t="str">
        <f>'Single Audit Cover'!A7</f>
        <v>Vermilion Assoc for SpEd</v>
      </c>
      <c r="B1" s="2451"/>
      <c r="C1" s="2451"/>
      <c r="D1" s="2451"/>
      <c r="E1" s="2451"/>
      <c r="F1" s="2451"/>
    </row>
    <row r="2" spans="1:7" ht="13.5" customHeight="1" x14ac:dyDescent="0.2">
      <c r="A2" s="2452">
        <f>'Single Audit Cover'!E7</f>
        <v>54092801060</v>
      </c>
      <c r="B2" s="2452"/>
      <c r="C2" s="2452"/>
      <c r="D2" s="2452"/>
      <c r="E2" s="2452"/>
      <c r="F2" s="2452"/>
      <c r="G2" s="1275"/>
    </row>
    <row r="3" spans="1:7" ht="15.75" customHeight="1" x14ac:dyDescent="0.2">
      <c r="A3" s="2453" t="s">
        <v>1333</v>
      </c>
      <c r="B3" s="2453"/>
      <c r="C3" s="2453"/>
      <c r="D3" s="2453"/>
      <c r="E3" s="2453"/>
      <c r="F3" s="2453"/>
    </row>
    <row r="4" spans="1:7" ht="13.5" customHeight="1" x14ac:dyDescent="0.2">
      <c r="A4" s="2454" t="str">
        <f>'Single Audit Cover'!A4</f>
        <v>Year Ending June 30, 2018</v>
      </c>
      <c r="B4" s="2454"/>
      <c r="C4" s="2454"/>
      <c r="D4" s="2454"/>
      <c r="E4" s="2454"/>
      <c r="F4" s="2454"/>
    </row>
    <row r="5" spans="1:7" ht="8.25" customHeight="1" x14ac:dyDescent="0.2">
      <c r="C5" s="317"/>
      <c r="D5" s="317"/>
    </row>
    <row r="6" spans="1:7" ht="13.5" customHeight="1" x14ac:dyDescent="0.2">
      <c r="A6" s="1276" t="s">
        <v>1831</v>
      </c>
      <c r="C6" s="317"/>
      <c r="D6" s="317"/>
    </row>
    <row r="7" spans="1:7" ht="60.95" customHeight="1" x14ac:dyDescent="0.2">
      <c r="A7" s="2450" t="s">
        <v>2103</v>
      </c>
      <c r="B7" s="2450"/>
      <c r="C7" s="2450"/>
      <c r="D7" s="2450"/>
      <c r="E7" s="2450"/>
      <c r="F7" s="2450"/>
    </row>
    <row r="8" spans="1:7" ht="12" customHeight="1" x14ac:dyDescent="0.2">
      <c r="A8" s="1276"/>
      <c r="B8" s="1282"/>
      <c r="C8" s="1282"/>
      <c r="D8" s="1282"/>
    </row>
    <row r="9" spans="1:7" ht="15" customHeight="1" x14ac:dyDescent="0.2">
      <c r="A9" s="1277" t="s">
        <v>1832</v>
      </c>
      <c r="B9" s="1280"/>
      <c r="C9" s="1280"/>
      <c r="D9" s="1280"/>
      <c r="E9" s="1278"/>
      <c r="F9" s="1278"/>
      <c r="G9" s="1278"/>
    </row>
    <row r="10" spans="1:7" ht="15" customHeight="1" x14ac:dyDescent="0.2">
      <c r="A10" s="1279" t="s">
        <v>1628</v>
      </c>
      <c r="B10" s="1280"/>
      <c r="C10" s="1281" t="s">
        <v>2093</v>
      </c>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50" t="s">
        <v>2104</v>
      </c>
      <c r="B13" s="2450"/>
      <c r="C13" s="2450"/>
      <c r="D13" s="2450"/>
      <c r="E13" s="2450"/>
      <c r="F13" s="2450"/>
    </row>
    <row r="14" spans="1:7" ht="9.75" customHeight="1" x14ac:dyDescent="0.2">
      <c r="C14" s="1260"/>
      <c r="D14" s="1260"/>
    </row>
    <row r="15" spans="1:7" ht="13.5" customHeight="1" x14ac:dyDescent="0.2">
      <c r="C15" s="1871" t="s">
        <v>1332</v>
      </c>
      <c r="D15" s="2456" t="s">
        <v>1331</v>
      </c>
      <c r="E15" s="2456"/>
      <c r="F15" s="2456"/>
    </row>
    <row r="16" spans="1:7" ht="13.5" customHeight="1" x14ac:dyDescent="0.2">
      <c r="A16" s="1282"/>
      <c r="B16" s="1276" t="s">
        <v>1330</v>
      </c>
      <c r="C16" s="1871" t="s">
        <v>1329</v>
      </c>
      <c r="D16" s="2457" t="s">
        <v>1670</v>
      </c>
      <c r="E16" s="2457"/>
      <c r="F16" s="2457"/>
    </row>
    <row r="17" spans="1:6" ht="20.45" customHeight="1" x14ac:dyDescent="0.2">
      <c r="A17" s="1283"/>
      <c r="B17" s="1284" t="s">
        <v>2105</v>
      </c>
      <c r="C17" s="1285"/>
      <c r="D17" s="2455"/>
      <c r="E17" s="2455"/>
      <c r="F17" s="2455"/>
    </row>
    <row r="18" spans="1:6" ht="20.65" customHeight="1" x14ac:dyDescent="0.2">
      <c r="A18" s="1283"/>
      <c r="B18" s="1284"/>
      <c r="C18" s="1285"/>
      <c r="D18" s="2455"/>
      <c r="E18" s="2455"/>
      <c r="F18" s="2455"/>
    </row>
    <row r="19" spans="1:6" ht="20.65" customHeight="1" x14ac:dyDescent="0.2">
      <c r="A19" s="1283"/>
      <c r="B19" s="1284"/>
      <c r="C19" s="1285"/>
      <c r="D19" s="2455"/>
      <c r="E19" s="2455"/>
      <c r="F19" s="2455"/>
    </row>
    <row r="20" spans="1:6" ht="20.65" customHeight="1" x14ac:dyDescent="0.2">
      <c r="A20" s="1283"/>
      <c r="B20" s="1284"/>
      <c r="C20" s="1285"/>
      <c r="D20" s="2455"/>
      <c r="E20" s="2455"/>
      <c r="F20" s="2455"/>
    </row>
    <row r="21" spans="1:6" ht="20.65" customHeight="1" x14ac:dyDescent="0.2">
      <c r="A21" s="1283"/>
      <c r="B21" s="1284"/>
      <c r="C21" s="1285"/>
      <c r="D21" s="2455"/>
      <c r="E21" s="2455"/>
      <c r="F21" s="2455"/>
    </row>
    <row r="22" spans="1:6" ht="20.65" customHeight="1" x14ac:dyDescent="0.2">
      <c r="A22" s="1283"/>
      <c r="B22" s="1284"/>
      <c r="C22" s="1285"/>
      <c r="D22" s="2455"/>
      <c r="E22" s="2455"/>
      <c r="F22" s="2455"/>
    </row>
    <row r="23" spans="1:6" ht="20.65" customHeight="1" x14ac:dyDescent="0.2">
      <c r="A23" s="1283"/>
      <c r="B23" s="1284"/>
      <c r="C23" s="1285"/>
      <c r="D23" s="2455"/>
      <c r="E23" s="2455"/>
      <c r="F23" s="2455"/>
    </row>
    <row r="24" spans="1:6" ht="20.65" customHeight="1" x14ac:dyDescent="0.2">
      <c r="A24" s="1283"/>
      <c r="B24" s="1284"/>
      <c r="C24" s="1285"/>
      <c r="D24" s="2455"/>
      <c r="E24" s="2455"/>
      <c r="F24" s="2455"/>
    </row>
    <row r="25" spans="1:6" ht="20.65" customHeight="1" x14ac:dyDescent="0.2">
      <c r="A25" s="1283"/>
      <c r="B25" s="1284"/>
      <c r="C25" s="1285"/>
      <c r="D25" s="2455"/>
      <c r="E25" s="2455"/>
      <c r="F25" s="2455"/>
    </row>
    <row r="26" spans="1:6" ht="20.65" customHeight="1" x14ac:dyDescent="0.2">
      <c r="A26" s="1283"/>
      <c r="B26" s="1284"/>
      <c r="C26" s="1285"/>
      <c r="D26" s="2455"/>
      <c r="E26" s="2455"/>
      <c r="F26" s="2455"/>
    </row>
    <row r="27" spans="1:6" ht="20.65" customHeight="1" x14ac:dyDescent="0.2">
      <c r="A27" s="1283"/>
      <c r="B27" s="1284"/>
      <c r="C27" s="1285"/>
      <c r="D27" s="2455"/>
      <c r="E27" s="2455"/>
      <c r="F27" s="2455"/>
    </row>
    <row r="28" spans="1:6" ht="20.65" customHeight="1" x14ac:dyDescent="0.2">
      <c r="A28" s="1283"/>
      <c r="B28" s="1284"/>
      <c r="C28" s="1285"/>
      <c r="D28" s="2455"/>
      <c r="E28" s="2455"/>
      <c r="F28" s="2455"/>
    </row>
    <row r="29" spans="1:6" ht="20.65" customHeight="1" x14ac:dyDescent="0.2">
      <c r="A29" s="1283"/>
      <c r="B29" s="1284"/>
      <c r="C29" s="1285"/>
      <c r="D29" s="2455"/>
      <c r="E29" s="2455"/>
      <c r="F29" s="2455"/>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9" t="s">
        <v>2106</v>
      </c>
      <c r="B32" s="2459"/>
      <c r="C32" s="2459"/>
      <c r="D32" s="2459"/>
      <c r="E32" s="2459"/>
      <c r="F32" s="2459"/>
    </row>
    <row r="33" spans="1:6" ht="13.5" customHeight="1" x14ac:dyDescent="0.2">
      <c r="A33" s="328" t="s">
        <v>1509</v>
      </c>
      <c r="B33" s="328"/>
      <c r="C33" s="1288">
        <v>0</v>
      </c>
      <c r="D33" s="1928"/>
      <c r="E33" s="1286"/>
    </row>
    <row r="34" spans="1:6" ht="13.5" customHeight="1" x14ac:dyDescent="0.2">
      <c r="A34" s="328" t="s">
        <v>1945</v>
      </c>
      <c r="B34" s="328"/>
      <c r="C34" s="1289">
        <v>0</v>
      </c>
      <c r="D34" s="1928" t="s">
        <v>1671</v>
      </c>
      <c r="E34" s="2460">
        <f>+C33+C34</f>
        <v>0</v>
      </c>
      <c r="F34" s="2461"/>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t="s">
        <v>2107</v>
      </c>
      <c r="D38" s="1928"/>
      <c r="E38" s="1286"/>
    </row>
    <row r="39" spans="1:6" ht="14.25" customHeight="1" x14ac:dyDescent="0.2">
      <c r="A39" s="328"/>
      <c r="B39" s="328" t="s">
        <v>1511</v>
      </c>
      <c r="C39" s="1292" t="s">
        <v>2107</v>
      </c>
      <c r="D39" s="1928"/>
      <c r="E39" s="1286"/>
    </row>
    <row r="40" spans="1:6" ht="14.25" customHeight="1" x14ac:dyDescent="0.2">
      <c r="A40" s="328"/>
      <c r="B40" s="328" t="s">
        <v>1512</v>
      </c>
      <c r="C40" s="1292" t="s">
        <v>2107</v>
      </c>
      <c r="D40" s="1928"/>
      <c r="E40" s="1286"/>
    </row>
    <row r="41" spans="1:6" ht="14.25" customHeight="1" x14ac:dyDescent="0.2">
      <c r="A41" s="328"/>
      <c r="B41" s="328" t="s">
        <v>1513</v>
      </c>
      <c r="C41" s="1292" t="s">
        <v>2107</v>
      </c>
      <c r="D41" s="1928"/>
      <c r="E41" s="1286"/>
    </row>
    <row r="42" spans="1:6" ht="14.25" customHeight="1" x14ac:dyDescent="0.2">
      <c r="A42" s="328" t="s">
        <v>1514</v>
      </c>
      <c r="B42" s="328"/>
      <c r="C42" s="1926" t="s">
        <v>2107</v>
      </c>
      <c r="D42" s="1928"/>
      <c r="E42" s="1286"/>
    </row>
    <row r="43" spans="1:6" ht="14.25" customHeight="1" x14ac:dyDescent="0.2">
      <c r="A43" s="328" t="s">
        <v>1515</v>
      </c>
      <c r="B43" s="328"/>
      <c r="C43" s="1293" t="s">
        <v>2107</v>
      </c>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1833</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62" t="s">
        <v>1672</v>
      </c>
      <c r="C49" s="2462"/>
      <c r="D49" s="2462"/>
      <c r="E49" s="1399"/>
    </row>
    <row r="50" spans="1:5" s="1300" customFormat="1" ht="3.75" customHeight="1" x14ac:dyDescent="0.2">
      <c r="A50" s="1299"/>
      <c r="B50" s="1870"/>
      <c r="C50" s="1870"/>
      <c r="D50" s="1870"/>
      <c r="E50" s="1399"/>
    </row>
    <row r="51" spans="1:5" s="1300" customFormat="1" ht="20.25" customHeight="1" x14ac:dyDescent="0.2">
      <c r="A51" s="1301">
        <v>6</v>
      </c>
      <c r="B51" s="2458" t="s">
        <v>1632</v>
      </c>
      <c r="C51" s="2458"/>
      <c r="D51" s="2458"/>
    </row>
    <row r="52" spans="1:5" ht="14.25" customHeight="1" x14ac:dyDescent="0.2">
      <c r="A52" s="1301"/>
      <c r="B52" s="2458"/>
      <c r="C52" s="2458"/>
      <c r="D52" s="2458"/>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4" zoomScaleNormal="100" workbookViewId="0">
      <selection activeCell="F26" sqref="F26"/>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7" t="str">
        <f>'Single Audit Cover'!A7</f>
        <v>Vermilion Assoc for SpEd</v>
      </c>
      <c r="C1" s="2463"/>
      <c r="D1" s="2463"/>
      <c r="E1" s="2463"/>
      <c r="F1" s="2463"/>
      <c r="G1" s="2463"/>
      <c r="H1" s="2463"/>
      <c r="I1" s="2463"/>
      <c r="J1" s="2463"/>
      <c r="K1" s="2463"/>
      <c r="L1" s="2463"/>
      <c r="M1" s="2463"/>
    </row>
    <row r="2" spans="2:14" ht="15" x14ac:dyDescent="0.2">
      <c r="B2" s="2452">
        <f>'Single Audit Cover'!E7</f>
        <v>54092801060</v>
      </c>
      <c r="C2" s="2452"/>
      <c r="D2" s="2452"/>
      <c r="E2" s="2452"/>
      <c r="F2" s="2452"/>
      <c r="G2" s="2452"/>
      <c r="H2" s="2452"/>
      <c r="I2" s="2452"/>
      <c r="J2" s="2452"/>
      <c r="K2" s="2452"/>
      <c r="L2" s="2452"/>
      <c r="M2" s="2452"/>
      <c r="N2" s="1302"/>
    </row>
    <row r="3" spans="2:14" ht="15" x14ac:dyDescent="0.2">
      <c r="B3" s="2464" t="s">
        <v>1281</v>
      </c>
      <c r="C3" s="2464"/>
      <c r="D3" s="2464"/>
      <c r="E3" s="2464"/>
      <c r="F3" s="2464"/>
      <c r="G3" s="2464"/>
      <c r="H3" s="2464"/>
      <c r="I3" s="2464"/>
      <c r="J3" s="2464"/>
      <c r="K3" s="2464"/>
      <c r="L3" s="2464"/>
      <c r="M3" s="2464"/>
      <c r="N3" s="1302"/>
    </row>
    <row r="4" spans="2:14" ht="15" x14ac:dyDescent="0.2">
      <c r="B4" s="2465" t="str">
        <f>'Single Audit Cover'!A4</f>
        <v>Year Ending June 30, 2018</v>
      </c>
      <c r="C4" s="2465"/>
      <c r="D4" s="2465"/>
      <c r="E4" s="2465"/>
      <c r="F4" s="2465"/>
      <c r="G4" s="2465"/>
      <c r="H4" s="2465"/>
      <c r="I4" s="2465"/>
      <c r="J4" s="2465"/>
      <c r="K4" s="2465"/>
      <c r="L4" s="2465"/>
      <c r="M4" s="2465"/>
      <c r="N4" s="1302"/>
    </row>
    <row r="6" spans="2:14" x14ac:dyDescent="0.2">
      <c r="B6" s="1303"/>
      <c r="C6" s="1304"/>
      <c r="D6" s="1305" t="s">
        <v>1327</v>
      </c>
      <c r="E6" s="1306" t="s">
        <v>548</v>
      </c>
      <c r="F6" s="1307"/>
      <c r="G6" s="1308" t="s">
        <v>1834</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1946</v>
      </c>
      <c r="K8" s="1319" t="s">
        <v>1323</v>
      </c>
      <c r="L8" s="1320" t="s">
        <v>1319</v>
      </c>
      <c r="M8" s="1321" t="s">
        <v>30</v>
      </c>
    </row>
    <row r="9" spans="2:14" ht="14.25" x14ac:dyDescent="0.2">
      <c r="B9" s="1325" t="s">
        <v>1321</v>
      </c>
      <c r="C9" s="1313" t="s">
        <v>1835</v>
      </c>
      <c r="D9" s="1314" t="s">
        <v>1836</v>
      </c>
      <c r="E9" s="1322" t="s">
        <v>1663</v>
      </c>
      <c r="F9" s="1323" t="s">
        <v>1946</v>
      </c>
      <c r="G9" s="1324" t="s">
        <v>1663</v>
      </c>
      <c r="H9" s="1317" t="s">
        <v>1664</v>
      </c>
      <c r="I9" s="1319" t="s">
        <v>1946</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2108</v>
      </c>
      <c r="C11" s="1338"/>
      <c r="D11" s="1339"/>
      <c r="E11" s="1340"/>
      <c r="F11" s="1340"/>
      <c r="G11" s="1340"/>
      <c r="H11" s="1340"/>
      <c r="I11" s="1340"/>
      <c r="J11" s="1340"/>
      <c r="K11" s="1340"/>
      <c r="L11" s="1340">
        <f>+G11+I11+K11</f>
        <v>0</v>
      </c>
      <c r="M11" s="1340"/>
    </row>
    <row r="12" spans="2:14" ht="20.100000000000001" customHeight="1" x14ac:dyDescent="0.2">
      <c r="B12" s="1337" t="s">
        <v>2109</v>
      </c>
      <c r="C12" s="1341"/>
      <c r="D12" s="1342"/>
      <c r="E12" s="1343"/>
      <c r="F12" s="1343"/>
      <c r="G12" s="1343"/>
      <c r="H12" s="1343"/>
      <c r="I12" s="1343"/>
      <c r="J12" s="1343"/>
      <c r="K12" s="1343"/>
      <c r="L12" s="1340">
        <f t="shared" ref="L12:L27" si="0">+G12+I12+K12</f>
        <v>0</v>
      </c>
      <c r="M12" s="1343"/>
    </row>
    <row r="13" spans="2:14" ht="20.100000000000001" customHeight="1" x14ac:dyDescent="0.2">
      <c r="B13" s="1337" t="s">
        <v>2110</v>
      </c>
      <c r="C13" s="1341">
        <v>10.555</v>
      </c>
      <c r="D13" s="1342" t="s">
        <v>2111</v>
      </c>
      <c r="E13" s="1343"/>
      <c r="F13" s="1343">
        <v>18590</v>
      </c>
      <c r="G13" s="1343"/>
      <c r="H13" s="1343"/>
      <c r="I13" s="1343">
        <v>18590</v>
      </c>
      <c r="J13" s="1343"/>
      <c r="K13" s="1343"/>
      <c r="L13" s="1340">
        <f t="shared" si="0"/>
        <v>18590</v>
      </c>
      <c r="M13" s="1343"/>
    </row>
    <row r="14" spans="2:14" ht="20.100000000000001" customHeight="1" x14ac:dyDescent="0.2">
      <c r="B14" s="1337" t="s">
        <v>2112</v>
      </c>
      <c r="C14" s="1341">
        <v>10.553000000000001</v>
      </c>
      <c r="D14" s="1342" t="s">
        <v>2113</v>
      </c>
      <c r="E14" s="1343"/>
      <c r="F14" s="1343">
        <v>5048</v>
      </c>
      <c r="G14" s="1343"/>
      <c r="H14" s="1343"/>
      <c r="I14" s="1343">
        <v>5048</v>
      </c>
      <c r="J14" s="1343"/>
      <c r="K14" s="1343"/>
      <c r="L14" s="1340">
        <f t="shared" si="0"/>
        <v>5048</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t="s">
        <v>2114</v>
      </c>
      <c r="C16" s="1341"/>
      <c r="D16" s="1342"/>
      <c r="E16" s="1343"/>
      <c r="F16" s="1343">
        <v>23638</v>
      </c>
      <c r="G16" s="1343"/>
      <c r="H16" s="1343"/>
      <c r="I16" s="1343">
        <v>23638</v>
      </c>
      <c r="J16" s="1343"/>
      <c r="K16" s="1343"/>
      <c r="L16" s="1340">
        <f t="shared" si="0"/>
        <v>23638</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t="s">
        <v>2115</v>
      </c>
      <c r="C18" s="1341"/>
      <c r="D18" s="1342"/>
      <c r="E18" s="1343"/>
      <c r="F18" s="1343"/>
      <c r="G18" s="1343"/>
      <c r="H18" s="1343"/>
      <c r="I18" s="1343"/>
      <c r="J18" s="1343"/>
      <c r="K18" s="1343"/>
      <c r="L18" s="1340">
        <f t="shared" si="0"/>
        <v>0</v>
      </c>
      <c r="M18" s="1343"/>
    </row>
    <row r="19" spans="2:14" ht="20.100000000000001" customHeight="1" x14ac:dyDescent="0.2">
      <c r="B19" s="1337" t="s">
        <v>2109</v>
      </c>
      <c r="C19" s="1341"/>
      <c r="D19" s="1342"/>
      <c r="E19" s="1343"/>
      <c r="F19" s="1343"/>
      <c r="G19" s="1343"/>
      <c r="H19" s="1343"/>
      <c r="I19" s="1343"/>
      <c r="J19" s="1343"/>
      <c r="K19" s="1343"/>
      <c r="L19" s="1340">
        <f t="shared" si="0"/>
        <v>0</v>
      </c>
      <c r="M19" s="1343"/>
    </row>
    <row r="20" spans="2:14" ht="20.100000000000001" customHeight="1" x14ac:dyDescent="0.2">
      <c r="B20" s="1337" t="s">
        <v>2116</v>
      </c>
      <c r="C20" s="1341" t="s">
        <v>2117</v>
      </c>
      <c r="D20" s="1342" t="s">
        <v>2118</v>
      </c>
      <c r="E20" s="1343">
        <v>72377</v>
      </c>
      <c r="F20" s="1343">
        <v>7846</v>
      </c>
      <c r="G20" s="1343">
        <v>80128</v>
      </c>
      <c r="H20" s="1343"/>
      <c r="I20" s="1343">
        <v>95</v>
      </c>
      <c r="J20" s="1343"/>
      <c r="K20" s="1343"/>
      <c r="L20" s="1340">
        <f t="shared" si="0"/>
        <v>80223</v>
      </c>
      <c r="M20" s="1343"/>
    </row>
    <row r="21" spans="2:14" ht="20.100000000000001" customHeight="1" x14ac:dyDescent="0.2">
      <c r="B21" s="1337" t="s">
        <v>2119</v>
      </c>
      <c r="C21" s="1341" t="s">
        <v>2117</v>
      </c>
      <c r="D21" s="1342" t="s">
        <v>2120</v>
      </c>
      <c r="E21" s="1343"/>
      <c r="F21" s="1343">
        <v>86829</v>
      </c>
      <c r="G21" s="1343"/>
      <c r="H21" s="1343"/>
      <c r="I21" s="1343">
        <v>86223</v>
      </c>
      <c r="J21" s="1343"/>
      <c r="K21" s="1343"/>
      <c r="L21" s="1340">
        <f t="shared" si="0"/>
        <v>86223</v>
      </c>
      <c r="M21" s="1343">
        <v>89820</v>
      </c>
    </row>
    <row r="22" spans="2:14" ht="20.100000000000001" customHeight="1" x14ac:dyDescent="0.2">
      <c r="B22" s="1337" t="s">
        <v>2122</v>
      </c>
      <c r="C22" s="1341">
        <v>84.027000000000001</v>
      </c>
      <c r="D22" s="1342" t="s">
        <v>2121</v>
      </c>
      <c r="E22" s="1343">
        <v>1350953</v>
      </c>
      <c r="F22" s="1343">
        <v>409581</v>
      </c>
      <c r="G22" s="1343">
        <v>1763568</v>
      </c>
      <c r="H22" s="1343"/>
      <c r="I22" s="1343">
        <v>-160944</v>
      </c>
      <c r="J22" s="1343"/>
      <c r="K22" s="1343"/>
      <c r="L22" s="1340">
        <f t="shared" si="0"/>
        <v>1602624</v>
      </c>
      <c r="M22" s="1343"/>
    </row>
    <row r="23" spans="2:14" ht="20.100000000000001" customHeight="1" x14ac:dyDescent="0.2">
      <c r="B23" s="1337" t="s">
        <v>2122</v>
      </c>
      <c r="C23" s="1341">
        <v>84.027000000000001</v>
      </c>
      <c r="D23" s="1342" t="s">
        <v>2123</v>
      </c>
      <c r="E23" s="1343"/>
      <c r="F23" s="1343">
        <v>1663055</v>
      </c>
      <c r="G23" s="1343"/>
      <c r="H23" s="1343"/>
      <c r="I23" s="1343">
        <v>1846556</v>
      </c>
      <c r="J23" s="1343"/>
      <c r="K23" s="1343"/>
      <c r="L23" s="1340">
        <f t="shared" si="0"/>
        <v>1846556</v>
      </c>
      <c r="M23" s="1343">
        <v>1984210</v>
      </c>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t="s">
        <v>2124</v>
      </c>
      <c r="C25" s="1341"/>
      <c r="D25" s="1342"/>
      <c r="E25" s="1343">
        <v>1423330</v>
      </c>
      <c r="F25" s="1343">
        <v>2167311</v>
      </c>
      <c r="G25" s="1343">
        <v>1843696</v>
      </c>
      <c r="H25" s="1343"/>
      <c r="I25" s="1343">
        <v>1771930</v>
      </c>
      <c r="J25" s="1343"/>
      <c r="K25" s="1343"/>
      <c r="L25" s="1340">
        <f t="shared" si="0"/>
        <v>3615626</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1837</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1947</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1838</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1839</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1840</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1841</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1" t="s">
        <v>1230</v>
      </c>
      <c r="B2" s="2071"/>
      <c r="C2" s="2071"/>
      <c r="D2" s="2071"/>
      <c r="E2" s="2071"/>
      <c r="F2" s="2071"/>
      <c r="G2" s="2071"/>
      <c r="H2" s="2071"/>
      <c r="I2" s="2071"/>
      <c r="J2" s="2071"/>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t="s">
        <v>2074</v>
      </c>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1893</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5" t="s">
        <v>1731</v>
      </c>
      <c r="B35" s="2086"/>
      <c r="C35" s="2086"/>
      <c r="D35" s="2086"/>
      <c r="E35" s="2087"/>
      <c r="F35" s="2087"/>
      <c r="G35" s="2087"/>
      <c r="H35" s="2087"/>
      <c r="I35" s="2087"/>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5" t="s">
        <v>331</v>
      </c>
      <c r="B47" s="2088"/>
      <c r="C47" s="2088"/>
      <c r="D47" s="2088"/>
      <c r="E47" s="2089"/>
      <c r="F47" s="2089"/>
      <c r="G47" s="2089"/>
      <c r="H47" s="2089"/>
      <c r="I47" s="2089"/>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2"/>
      <c r="C57" s="2093"/>
      <c r="D57" s="2093"/>
      <c r="E57" s="2093"/>
      <c r="F57" s="2093"/>
      <c r="G57" s="2093"/>
      <c r="H57" s="2093"/>
      <c r="I57" s="2093"/>
      <c r="J57" s="2094"/>
    </row>
    <row r="58" spans="1:10" s="181" customFormat="1" x14ac:dyDescent="0.2">
      <c r="A58" s="253"/>
      <c r="B58" s="2095"/>
      <c r="C58" s="2096"/>
      <c r="D58" s="2096"/>
      <c r="E58" s="2096"/>
      <c r="F58" s="2096"/>
      <c r="G58" s="2096"/>
      <c r="H58" s="2096"/>
      <c r="I58" s="2096"/>
      <c r="J58" s="2097"/>
    </row>
    <row r="59" spans="1:10" s="181" customFormat="1" x14ac:dyDescent="0.2">
      <c r="A59" s="253"/>
      <c r="B59" s="2095"/>
      <c r="C59" s="2096"/>
      <c r="D59" s="2096"/>
      <c r="E59" s="2096"/>
      <c r="F59" s="2096"/>
      <c r="G59" s="2096"/>
      <c r="H59" s="2096"/>
      <c r="I59" s="2096"/>
      <c r="J59" s="2097"/>
    </row>
    <row r="60" spans="1:10" s="181" customFormat="1" x14ac:dyDescent="0.2">
      <c r="A60" s="253"/>
      <c r="B60" s="2095"/>
      <c r="C60" s="2096"/>
      <c r="D60" s="2096"/>
      <c r="E60" s="2096"/>
      <c r="F60" s="2096"/>
      <c r="G60" s="2096"/>
      <c r="H60" s="2096"/>
      <c r="I60" s="2096"/>
      <c r="J60" s="2097"/>
    </row>
    <row r="61" spans="1:10" s="181" customFormat="1" x14ac:dyDescent="0.2">
      <c r="A61" s="253"/>
      <c r="B61" s="2095"/>
      <c r="C61" s="2096"/>
      <c r="D61" s="2096"/>
      <c r="E61" s="2096"/>
      <c r="F61" s="2096"/>
      <c r="G61" s="2096"/>
      <c r="H61" s="2096"/>
      <c r="I61" s="2096"/>
      <c r="J61" s="2097"/>
    </row>
    <row r="62" spans="1:10" s="181" customFormat="1" x14ac:dyDescent="0.2">
      <c r="A62" s="253"/>
      <c r="B62" s="2095"/>
      <c r="C62" s="2096"/>
      <c r="D62" s="2096"/>
      <c r="E62" s="2096"/>
      <c r="F62" s="2096"/>
      <c r="G62" s="2096"/>
      <c r="H62" s="2096"/>
      <c r="I62" s="2096"/>
      <c r="J62" s="2097"/>
    </row>
    <row r="63" spans="1:10" s="181" customFormat="1" x14ac:dyDescent="0.2">
      <c r="A63" s="253"/>
      <c r="B63" s="2095"/>
      <c r="C63" s="2096"/>
      <c r="D63" s="2096"/>
      <c r="E63" s="2096"/>
      <c r="F63" s="2096"/>
      <c r="G63" s="2096"/>
      <c r="H63" s="2096"/>
      <c r="I63" s="2096"/>
      <c r="J63" s="2097"/>
    </row>
    <row r="64" spans="1:10" s="181" customFormat="1" x14ac:dyDescent="0.2">
      <c r="A64" s="253"/>
      <c r="B64" s="2095"/>
      <c r="C64" s="2096"/>
      <c r="D64" s="2096"/>
      <c r="E64" s="2096"/>
      <c r="F64" s="2096"/>
      <c r="G64" s="2096"/>
      <c r="H64" s="2096"/>
      <c r="I64" s="2096"/>
      <c r="J64" s="2097"/>
    </row>
    <row r="65" spans="1:10" s="181" customFormat="1" x14ac:dyDescent="0.2">
      <c r="A65" s="253"/>
      <c r="B65" s="2095"/>
      <c r="C65" s="2096"/>
      <c r="D65" s="2096"/>
      <c r="E65" s="2096"/>
      <c r="F65" s="2096"/>
      <c r="G65" s="2096"/>
      <c r="H65" s="2096"/>
      <c r="I65" s="2096"/>
      <c r="J65" s="2097"/>
    </row>
    <row r="66" spans="1:10" s="181" customFormat="1" x14ac:dyDescent="0.2">
      <c r="A66" s="253"/>
      <c r="B66" s="2095"/>
      <c r="C66" s="2096"/>
      <c r="D66" s="2096"/>
      <c r="E66" s="2096"/>
      <c r="F66" s="2096"/>
      <c r="G66" s="2096"/>
      <c r="H66" s="2096"/>
      <c r="I66" s="2096"/>
      <c r="J66" s="2097"/>
    </row>
    <row r="67" spans="1:10" s="181" customFormat="1" ht="9" customHeight="1" x14ac:dyDescent="0.2">
      <c r="A67" s="254"/>
      <c r="B67" s="2098"/>
      <c r="C67" s="2099"/>
      <c r="D67" s="2099"/>
      <c r="E67" s="2099"/>
      <c r="F67" s="2099"/>
      <c r="G67" s="2099"/>
      <c r="H67" s="2099"/>
      <c r="I67" s="2099"/>
      <c r="J67" s="210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5" t="s">
        <v>1390</v>
      </c>
      <c r="B70" s="2088"/>
      <c r="C70" s="2088"/>
      <c r="D70" s="2088"/>
      <c r="E70" s="2089"/>
      <c r="F70" s="2089"/>
      <c r="G70" s="2089"/>
      <c r="H70" s="2089"/>
      <c r="I70" s="2089"/>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2066</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2017</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0" t="s">
        <v>1387</v>
      </c>
      <c r="B83" s="2090"/>
      <c r="C83" s="2090"/>
      <c r="D83" s="2091"/>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2064</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2064</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2065</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2"/>
      <c r="C102" s="2073"/>
      <c r="D102" s="2073"/>
      <c r="E102" s="2073"/>
      <c r="F102" s="2073"/>
      <c r="G102" s="2073"/>
      <c r="H102" s="2073"/>
      <c r="I102" s="2074"/>
    </row>
    <row r="103" spans="1:9" s="181" customFormat="1" ht="11.25" customHeight="1" x14ac:dyDescent="0.2">
      <c r="A103" s="316"/>
      <c r="B103" s="2075"/>
      <c r="C103" s="2076"/>
      <c r="D103" s="2076"/>
      <c r="E103" s="2076"/>
      <c r="F103" s="2076"/>
      <c r="G103" s="2076"/>
      <c r="H103" s="2076"/>
      <c r="I103" s="2077"/>
    </row>
    <row r="104" spans="1:9" s="181" customFormat="1" ht="11.25" customHeight="1" x14ac:dyDescent="0.2">
      <c r="A104" s="316"/>
      <c r="B104" s="2075"/>
      <c r="C104" s="2076"/>
      <c r="D104" s="2076"/>
      <c r="E104" s="2076"/>
      <c r="F104" s="2076"/>
      <c r="G104" s="2076"/>
      <c r="H104" s="2076"/>
      <c r="I104" s="2077"/>
    </row>
    <row r="105" spans="1:9" s="181" customFormat="1" x14ac:dyDescent="0.2">
      <c r="A105" s="316"/>
      <c r="B105" s="2075"/>
      <c r="C105" s="2076"/>
      <c r="D105" s="2076"/>
      <c r="E105" s="2076"/>
      <c r="F105" s="2076"/>
      <c r="G105" s="2076"/>
      <c r="H105" s="2076"/>
      <c r="I105" s="2077"/>
    </row>
    <row r="106" spans="1:9" s="181" customFormat="1" ht="11.25" customHeight="1" x14ac:dyDescent="0.2">
      <c r="A106" s="316"/>
      <c r="B106" s="2075"/>
      <c r="C106" s="2076"/>
      <c r="D106" s="2076"/>
      <c r="E106" s="2076"/>
      <c r="F106" s="2076"/>
      <c r="G106" s="2076"/>
      <c r="H106" s="2076"/>
      <c r="I106" s="2077"/>
    </row>
    <row r="107" spans="1:9" s="181" customFormat="1" ht="11.25" customHeight="1" x14ac:dyDescent="0.2">
      <c r="A107" s="316"/>
      <c r="B107" s="2075"/>
      <c r="C107" s="2076"/>
      <c r="D107" s="2076"/>
      <c r="E107" s="2076"/>
      <c r="F107" s="2076"/>
      <c r="G107" s="2076"/>
      <c r="H107" s="2076"/>
      <c r="I107" s="2077"/>
    </row>
    <row r="108" spans="1:9" s="181" customFormat="1" ht="11.25" customHeight="1" x14ac:dyDescent="0.2">
      <c r="A108" s="316"/>
      <c r="B108" s="2075"/>
      <c r="C108" s="2076"/>
      <c r="D108" s="2076"/>
      <c r="E108" s="2076"/>
      <c r="F108" s="2076"/>
      <c r="G108" s="2076"/>
      <c r="H108" s="2076"/>
      <c r="I108" s="2077"/>
    </row>
    <row r="109" spans="1:9" s="181" customFormat="1" ht="11.25" customHeight="1" x14ac:dyDescent="0.2">
      <c r="A109" s="316"/>
      <c r="B109" s="2075"/>
      <c r="C109" s="2076"/>
      <c r="D109" s="2076"/>
      <c r="E109" s="2076"/>
      <c r="F109" s="2076"/>
      <c r="G109" s="2076"/>
      <c r="H109" s="2076"/>
      <c r="I109" s="2077"/>
    </row>
    <row r="110" spans="1:9" s="181" customFormat="1" ht="11.25" customHeight="1" x14ac:dyDescent="0.2">
      <c r="A110" s="316"/>
      <c r="B110" s="2075"/>
      <c r="C110" s="2076"/>
      <c r="D110" s="2076"/>
      <c r="E110" s="2076"/>
      <c r="F110" s="2076"/>
      <c r="G110" s="2076"/>
      <c r="H110" s="2076"/>
      <c r="I110" s="2077"/>
    </row>
    <row r="111" spans="1:9" s="181" customFormat="1" ht="11.25" customHeight="1" x14ac:dyDescent="0.2">
      <c r="A111" s="316"/>
      <c r="B111" s="2075"/>
      <c r="C111" s="2076"/>
      <c r="D111" s="2076"/>
      <c r="E111" s="2076"/>
      <c r="F111" s="2076"/>
      <c r="G111" s="2076"/>
      <c r="H111" s="2076"/>
      <c r="I111" s="2077"/>
    </row>
    <row r="112" spans="1:9" s="181" customFormat="1" ht="11.25" customHeight="1" x14ac:dyDescent="0.2">
      <c r="A112" s="316"/>
      <c r="B112" s="2078"/>
      <c r="C112" s="2079"/>
      <c r="D112" s="2079"/>
      <c r="E112" s="2079"/>
      <c r="F112" s="2079"/>
      <c r="G112" s="2079"/>
      <c r="H112" s="2079"/>
      <c r="I112" s="208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1" t="s">
        <v>2091</v>
      </c>
      <c r="D114" s="2081"/>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2" t="s">
        <v>1397</v>
      </c>
      <c r="D117" s="2083"/>
      <c r="E117" s="2084"/>
      <c r="F117" s="2084"/>
      <c r="G117" s="2084"/>
      <c r="H117" s="2084"/>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2018</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F20" sqref="F20"/>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7" t="str">
        <f>'Single Audit Cover'!A7</f>
        <v>Vermilion Assoc for SpEd</v>
      </c>
      <c r="C1" s="2463"/>
      <c r="D1" s="2463"/>
      <c r="E1" s="2463"/>
      <c r="F1" s="2463"/>
      <c r="G1" s="2463"/>
      <c r="H1" s="2463"/>
      <c r="I1" s="2463"/>
      <c r="J1" s="2463"/>
      <c r="K1" s="2463"/>
      <c r="L1" s="2463"/>
      <c r="M1" s="2463"/>
    </row>
    <row r="2" spans="2:14" ht="15" x14ac:dyDescent="0.2">
      <c r="B2" s="2452">
        <f>'Single Audit Cover'!E7</f>
        <v>54092801060</v>
      </c>
      <c r="C2" s="2452"/>
      <c r="D2" s="2452"/>
      <c r="E2" s="2452"/>
      <c r="F2" s="2452"/>
      <c r="G2" s="2452"/>
      <c r="H2" s="2452"/>
      <c r="I2" s="2452"/>
      <c r="J2" s="2452"/>
      <c r="K2" s="2452"/>
      <c r="L2" s="2452"/>
      <c r="M2" s="2452"/>
      <c r="N2" s="1302"/>
    </row>
    <row r="3" spans="2:14" ht="15" x14ac:dyDescent="0.2">
      <c r="B3" s="2464" t="s">
        <v>1281</v>
      </c>
      <c r="C3" s="2464"/>
      <c r="D3" s="2464"/>
      <c r="E3" s="2464"/>
      <c r="F3" s="2464"/>
      <c r="G3" s="2464"/>
      <c r="H3" s="2464"/>
      <c r="I3" s="2464"/>
      <c r="J3" s="2464"/>
      <c r="K3" s="2464"/>
      <c r="L3" s="2464"/>
      <c r="M3" s="2464"/>
      <c r="N3" s="1302"/>
    </row>
    <row r="4" spans="2:14" ht="15" x14ac:dyDescent="0.2">
      <c r="B4" s="2465" t="str">
        <f>'Single Audit Cover'!A4</f>
        <v>Year Ending June 30, 2018</v>
      </c>
      <c r="C4" s="2465"/>
      <c r="D4" s="2465"/>
      <c r="E4" s="2465"/>
      <c r="F4" s="2465"/>
      <c r="G4" s="2465"/>
      <c r="H4" s="2465"/>
      <c r="I4" s="2465"/>
      <c r="J4" s="2465"/>
      <c r="K4" s="2465"/>
      <c r="L4" s="2465"/>
      <c r="M4" s="2465"/>
      <c r="N4" s="1302"/>
    </row>
    <row r="6" spans="2:14" x14ac:dyDescent="0.2">
      <c r="B6" s="1303"/>
      <c r="C6" s="1304"/>
      <c r="D6" s="1305" t="s">
        <v>1327</v>
      </c>
      <c r="E6" s="1306" t="s">
        <v>548</v>
      </c>
      <c r="F6" s="1307"/>
      <c r="G6" s="1308" t="s">
        <v>1834</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1946</v>
      </c>
      <c r="K8" s="1319" t="s">
        <v>1323</v>
      </c>
      <c r="L8" s="1320" t="s">
        <v>1319</v>
      </c>
      <c r="M8" s="1321" t="s">
        <v>30</v>
      </c>
    </row>
    <row r="9" spans="2:14" ht="14.25" x14ac:dyDescent="0.2">
      <c r="B9" s="1325" t="s">
        <v>1321</v>
      </c>
      <c r="C9" s="1313" t="s">
        <v>1835</v>
      </c>
      <c r="D9" s="1314" t="s">
        <v>1836</v>
      </c>
      <c r="E9" s="1322" t="s">
        <v>1663</v>
      </c>
      <c r="F9" s="1323" t="s">
        <v>1946</v>
      </c>
      <c r="G9" s="1324" t="s">
        <v>1663</v>
      </c>
      <c r="H9" s="1317" t="s">
        <v>1664</v>
      </c>
      <c r="I9" s="1319" t="s">
        <v>1946</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2125</v>
      </c>
      <c r="C11" s="1338"/>
      <c r="D11" s="1339"/>
      <c r="E11" s="1340"/>
      <c r="F11" s="1340"/>
      <c r="G11" s="1340"/>
      <c r="H11" s="1340"/>
      <c r="I11" s="1340"/>
      <c r="J11" s="1340"/>
      <c r="K11" s="1340"/>
      <c r="L11" s="1340">
        <f>+G11+I11+K11</f>
        <v>0</v>
      </c>
      <c r="M11" s="1340"/>
    </row>
    <row r="12" spans="2:14" ht="20.100000000000001" customHeight="1" x14ac:dyDescent="0.2">
      <c r="B12" s="1337" t="s">
        <v>2126</v>
      </c>
      <c r="C12" s="1341"/>
      <c r="D12" s="1342"/>
      <c r="E12" s="1343"/>
      <c r="F12" s="1343"/>
      <c r="G12" s="1343"/>
      <c r="H12" s="1343"/>
      <c r="I12" s="1343"/>
      <c r="J12" s="1343"/>
      <c r="K12" s="1343"/>
      <c r="L12" s="1340">
        <f t="shared" ref="L12:L27" si="0">+G12+I12+K12</f>
        <v>0</v>
      </c>
      <c r="M12" s="1343"/>
    </row>
    <row r="13" spans="2:14" ht="20.100000000000001" customHeight="1" x14ac:dyDescent="0.2">
      <c r="B13" s="1337" t="s">
        <v>2127</v>
      </c>
      <c r="C13" s="1341">
        <v>84.126000000000005</v>
      </c>
      <c r="D13" s="1342" t="s">
        <v>2128</v>
      </c>
      <c r="E13" s="1343"/>
      <c r="F13" s="1343">
        <v>76540</v>
      </c>
      <c r="G13" s="1343"/>
      <c r="H13" s="1343"/>
      <c r="I13" s="1343">
        <v>76540</v>
      </c>
      <c r="J13" s="1343"/>
      <c r="K13" s="1343"/>
      <c r="L13" s="1340">
        <f t="shared" si="0"/>
        <v>76540</v>
      </c>
      <c r="M13" s="1343">
        <v>82100</v>
      </c>
    </row>
    <row r="14" spans="2:14" ht="20.100000000000001" customHeight="1" x14ac:dyDescent="0.2">
      <c r="B14" s="1337" t="s">
        <v>2129</v>
      </c>
      <c r="C14" s="1341">
        <v>93.778000000000006</v>
      </c>
      <c r="D14" s="1342" t="s">
        <v>2130</v>
      </c>
      <c r="E14" s="1343"/>
      <c r="F14" s="1343">
        <v>38451</v>
      </c>
      <c r="G14" s="1343"/>
      <c r="H14" s="1343"/>
      <c r="I14" s="1343">
        <v>38451</v>
      </c>
      <c r="J14" s="1343"/>
      <c r="K14" s="1343"/>
      <c r="L14" s="1340">
        <f t="shared" si="0"/>
        <v>38451</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t="s">
        <v>2131</v>
      </c>
      <c r="C16" s="1341"/>
      <c r="D16" s="1342"/>
      <c r="E16" s="1343"/>
      <c r="F16" s="1343">
        <v>114991</v>
      </c>
      <c r="G16" s="1343"/>
      <c r="H16" s="1343"/>
      <c r="I16" s="1343">
        <v>114991</v>
      </c>
      <c r="J16" s="1343"/>
      <c r="K16" s="1343"/>
      <c r="L16" s="1340">
        <f t="shared" si="0"/>
        <v>114991</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t="s">
        <v>2132</v>
      </c>
      <c r="C19" s="1341"/>
      <c r="D19" s="1342"/>
      <c r="E19" s="1343">
        <v>1423330</v>
      </c>
      <c r="F19" s="1343">
        <v>2305940</v>
      </c>
      <c r="G19" s="1343">
        <v>1843696</v>
      </c>
      <c r="H19" s="1343"/>
      <c r="I19" s="1343">
        <v>1910559</v>
      </c>
      <c r="J19" s="1343"/>
      <c r="K19" s="1343"/>
      <c r="L19" s="1340">
        <f t="shared" si="0"/>
        <v>3754255</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1837</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1947</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1838</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1839</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1840</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1841</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34" zoomScale="110" zoomScaleNormal="110" workbookViewId="0">
      <selection activeCell="G52" sqref="G52"/>
    </sheetView>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0" t="str">
        <f>'Single Audit Cover'!A7</f>
        <v>Vermilion Assoc for SpEd</v>
      </c>
      <c r="C1" s="2471"/>
      <c r="D1" s="2471"/>
      <c r="E1" s="2471"/>
      <c r="F1" s="2471"/>
      <c r="G1" s="2471"/>
      <c r="H1" s="2471"/>
      <c r="I1" s="2471"/>
      <c r="J1" s="1422"/>
    </row>
    <row r="2" spans="2:10" s="317" customFormat="1" ht="12.75" customHeight="1" x14ac:dyDescent="0.2">
      <c r="B2" s="2472">
        <f>'Single Audit Cover'!E7</f>
        <v>54092801060</v>
      </c>
      <c r="C2" s="2473"/>
      <c r="D2" s="2473"/>
      <c r="E2" s="2473"/>
      <c r="F2" s="2473"/>
      <c r="G2" s="2473"/>
      <c r="H2" s="2473"/>
      <c r="I2" s="2473"/>
      <c r="J2" s="1422"/>
    </row>
    <row r="3" spans="2:10" s="317" customFormat="1" ht="12.75" customHeight="1" x14ac:dyDescent="0.2">
      <c r="B3" s="2474" t="s">
        <v>1347</v>
      </c>
      <c r="C3" s="2475"/>
      <c r="D3" s="2475"/>
      <c r="E3" s="2475"/>
      <c r="F3" s="2475"/>
      <c r="G3" s="2475"/>
      <c r="H3" s="2475"/>
      <c r="I3" s="2475"/>
      <c r="J3" s="1423"/>
    </row>
    <row r="4" spans="2:10" s="317" customFormat="1" ht="12.75" customHeight="1" x14ac:dyDescent="0.2">
      <c r="B4" s="2474" t="str">
        <f>'Single Audit Cover'!A4</f>
        <v>Year Ending June 30, 2018</v>
      </c>
      <c r="C4" s="2475"/>
      <c r="D4" s="2475"/>
      <c r="E4" s="2475"/>
      <c r="F4" s="2475"/>
      <c r="G4" s="2475"/>
      <c r="H4" s="2475"/>
      <c r="I4" s="2475"/>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4" t="s">
        <v>1346</v>
      </c>
      <c r="C7" s="2475"/>
      <c r="D7" s="2475"/>
      <c r="E7" s="2475"/>
      <c r="F7" s="2475"/>
      <c r="G7" s="2475"/>
      <c r="H7" s="2475"/>
      <c r="I7" s="2475"/>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76" t="s">
        <v>2133</v>
      </c>
      <c r="D11" s="2476"/>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t="s">
        <v>2134</v>
      </c>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t="s">
        <v>2093</v>
      </c>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t="s">
        <v>2093</v>
      </c>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t="s">
        <v>2093</v>
      </c>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t="s">
        <v>2093</v>
      </c>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77" t="s">
        <v>2135</v>
      </c>
      <c r="E29" s="2477"/>
      <c r="F29" s="2477"/>
      <c r="G29" s="2477"/>
      <c r="H29" s="2477"/>
      <c r="I29" s="2477"/>
    </row>
    <row r="30" spans="2:9" s="317" customFormat="1" x14ac:dyDescent="0.2">
      <c r="B30" s="1368"/>
      <c r="C30" s="322"/>
      <c r="D30" s="1433" t="s">
        <v>1848</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1849</v>
      </c>
      <c r="C35" s="1442"/>
      <c r="D35" s="1267"/>
    </row>
    <row r="36" spans="2:9" ht="6" customHeight="1" x14ac:dyDescent="0.2">
      <c r="B36" s="1441"/>
      <c r="C36" s="1442"/>
      <c r="D36" s="1267"/>
    </row>
    <row r="37" spans="2:9" ht="17.25" customHeight="1" x14ac:dyDescent="0.2">
      <c r="B37" s="1443" t="s">
        <v>1850</v>
      </c>
      <c r="C37" s="2478" t="s">
        <v>1851</v>
      </c>
      <c r="D37" s="2479"/>
      <c r="E37" s="2479"/>
      <c r="F37" s="2480"/>
      <c r="G37" s="2478" t="s">
        <v>1674</v>
      </c>
      <c r="H37" s="2479"/>
      <c r="I37" s="2480"/>
    </row>
    <row r="38" spans="2:9" ht="16.5" customHeight="1" x14ac:dyDescent="0.2">
      <c r="B38" s="1444">
        <v>84.027000000000001</v>
      </c>
      <c r="C38" s="2466" t="s">
        <v>2136</v>
      </c>
      <c r="D38" s="2467"/>
      <c r="E38" s="2467"/>
      <c r="F38" s="2468"/>
      <c r="G38" s="2481">
        <v>1846556</v>
      </c>
      <c r="H38" s="2482"/>
      <c r="I38" s="2483"/>
    </row>
    <row r="39" spans="2:9" ht="16.5" customHeight="1" x14ac:dyDescent="0.2">
      <c r="B39" s="1444"/>
      <c r="C39" s="2466"/>
      <c r="D39" s="2467"/>
      <c r="E39" s="2467"/>
      <c r="F39" s="2468"/>
      <c r="G39" s="2469"/>
      <c r="H39" s="2469"/>
      <c r="I39" s="2469"/>
    </row>
    <row r="40" spans="2:9" ht="16.5" customHeight="1" x14ac:dyDescent="0.2">
      <c r="B40" s="1444"/>
      <c r="C40" s="2466"/>
      <c r="D40" s="2467"/>
      <c r="E40" s="2467"/>
      <c r="F40" s="2468"/>
      <c r="G40" s="2469"/>
      <c r="H40" s="2469"/>
      <c r="I40" s="2469"/>
    </row>
    <row r="41" spans="2:9" ht="16.5" customHeight="1" x14ac:dyDescent="0.2">
      <c r="B41" s="1444"/>
      <c r="C41" s="2466"/>
      <c r="D41" s="2467"/>
      <c r="E41" s="2467"/>
      <c r="F41" s="2468"/>
      <c r="G41" s="2469"/>
      <c r="H41" s="2469"/>
      <c r="I41" s="2469"/>
    </row>
    <row r="42" spans="2:9" ht="16.5" customHeight="1" x14ac:dyDescent="0.2">
      <c r="B42" s="1444"/>
      <c r="C42" s="2466"/>
      <c r="D42" s="2467"/>
      <c r="E42" s="2467"/>
      <c r="F42" s="2468"/>
      <c r="G42" s="2469"/>
      <c r="H42" s="2469"/>
      <c r="I42" s="2469"/>
    </row>
    <row r="43" spans="2:9" ht="16.5" customHeight="1" x14ac:dyDescent="0.2">
      <c r="B43" s="1444"/>
      <c r="C43" s="2484" t="s">
        <v>1675</v>
      </c>
      <c r="D43" s="2485"/>
      <c r="E43" s="2485"/>
      <c r="F43" s="2486"/>
      <c r="G43" s="2487">
        <f>SUM(G38:I42)</f>
        <v>1846556</v>
      </c>
      <c r="H43" s="2487"/>
      <c r="I43" s="2487"/>
    </row>
    <row r="44" spans="2:9" ht="12.75" customHeight="1" x14ac:dyDescent="0.2"/>
    <row r="45" spans="2:9" ht="12.75" customHeight="1" x14ac:dyDescent="0.2">
      <c r="B45" s="1435" t="s">
        <v>1948</v>
      </c>
      <c r="D45" s="2488">
        <v>1910559</v>
      </c>
      <c r="E45" s="2489"/>
    </row>
    <row r="46" spans="2:9" ht="5.25" customHeight="1" x14ac:dyDescent="0.2">
      <c r="B46" s="1445"/>
      <c r="D46" s="1446"/>
      <c r="E46" s="1447"/>
    </row>
    <row r="47" spans="2:9" ht="12.75" customHeight="1" x14ac:dyDescent="0.2">
      <c r="B47" s="1300" t="s">
        <v>1676</v>
      </c>
      <c r="C47" s="1300"/>
      <c r="D47" s="1448">
        <f>+G43/D45</f>
        <v>0.9665003802552028</v>
      </c>
      <c r="E47" s="1449"/>
      <c r="F47" s="1450"/>
      <c r="I47" s="1451"/>
    </row>
    <row r="48" spans="2:9" ht="9.9499999999999993" customHeight="1" x14ac:dyDescent="0.2"/>
    <row r="49" spans="1:9" x14ac:dyDescent="0.2">
      <c r="B49" s="1368" t="s">
        <v>1335</v>
      </c>
      <c r="C49" s="1282"/>
      <c r="D49" s="1282"/>
      <c r="E49" s="2490">
        <v>750000</v>
      </c>
      <c r="F49" s="2490"/>
      <c r="G49" s="2490"/>
      <c r="H49" s="322"/>
    </row>
    <row r="51" spans="1:9" ht="13.5" customHeight="1" x14ac:dyDescent="0.2">
      <c r="B51" s="1368" t="s">
        <v>1334</v>
      </c>
      <c r="C51" s="1282"/>
      <c r="E51" s="1438"/>
      <c r="F51" s="1300" t="s">
        <v>940</v>
      </c>
      <c r="G51" s="1438" t="s">
        <v>2134</v>
      </c>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1852</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1853</v>
      </c>
      <c r="C58" s="1464"/>
      <c r="D58" s="1464"/>
    </row>
    <row r="59" spans="1:9" s="1461" customFormat="1" ht="3.95" customHeight="1" x14ac:dyDescent="0.2">
      <c r="A59" s="1458"/>
      <c r="B59" s="1463"/>
      <c r="C59" s="1464"/>
      <c r="D59" s="1464"/>
    </row>
    <row r="60" spans="1:9" s="1461" customFormat="1" ht="13.5" customHeight="1" x14ac:dyDescent="0.2">
      <c r="A60" s="1458"/>
      <c r="B60" s="1463" t="s">
        <v>1854</v>
      </c>
      <c r="C60" s="1464"/>
      <c r="D60" s="1464"/>
    </row>
    <row r="61" spans="1:9" s="1461" customFormat="1" ht="3.95" customHeight="1" x14ac:dyDescent="0.2">
      <c r="A61" s="1458"/>
      <c r="B61" s="1463"/>
      <c r="C61" s="1464"/>
      <c r="D61" s="1464"/>
    </row>
    <row r="62" spans="1:9" s="1461" customFormat="1" ht="12.75" customHeight="1" x14ac:dyDescent="0.2">
      <c r="A62" s="1458"/>
      <c r="B62" s="1463" t="s">
        <v>1855</v>
      </c>
      <c r="C62" s="1464"/>
      <c r="D62" s="1464"/>
    </row>
    <row r="63" spans="1:9" s="1461" customFormat="1" ht="13.5" customHeight="1" x14ac:dyDescent="0.2">
      <c r="A63" s="1458"/>
      <c r="B63" s="1462" t="s">
        <v>1679</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14" sqref="B14:K14"/>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0" t="str">
        <f>'Single Audit Cover'!A7</f>
        <v>Vermilion Assoc for SpEd</v>
      </c>
      <c r="C1" s="2470"/>
      <c r="D1" s="2470"/>
      <c r="E1" s="2470"/>
      <c r="F1" s="2470"/>
      <c r="G1" s="2470"/>
      <c r="H1" s="2470"/>
      <c r="I1" s="2470"/>
      <c r="J1" s="2470"/>
      <c r="K1" s="2470"/>
      <c r="L1" s="1374"/>
      <c r="M1" s="1374"/>
    </row>
    <row r="2" spans="1:13" ht="12" customHeight="1" x14ac:dyDescent="0.2">
      <c r="B2" s="2472">
        <f>'Single Audit Cover'!E7</f>
        <v>54092801060</v>
      </c>
      <c r="C2" s="2472"/>
      <c r="D2" s="2472"/>
      <c r="E2" s="2472"/>
      <c r="F2" s="2472"/>
      <c r="G2" s="2472"/>
      <c r="H2" s="2472"/>
      <c r="I2" s="2472"/>
      <c r="J2" s="2472"/>
      <c r="K2" s="2472"/>
      <c r="L2" s="1375"/>
      <c r="M2" s="1376"/>
    </row>
    <row r="3" spans="1:13" ht="10.35" customHeight="1" x14ac:dyDescent="0.2">
      <c r="B3" s="2493" t="s">
        <v>1347</v>
      </c>
      <c r="C3" s="2493"/>
      <c r="D3" s="2493"/>
      <c r="E3" s="2493"/>
      <c r="F3" s="2493"/>
      <c r="G3" s="2493"/>
      <c r="H3" s="2493"/>
      <c r="I3" s="2493"/>
      <c r="J3" s="2493"/>
      <c r="K3" s="2493"/>
      <c r="L3" s="1377"/>
      <c r="M3" s="1377"/>
    </row>
    <row r="4" spans="1:13" ht="14.25" customHeight="1" x14ac:dyDescent="0.2">
      <c r="B4" s="2494" t="str">
        <f>'Single Audit Cover'!A4</f>
        <v>Year Ending June 30, 2018</v>
      </c>
      <c r="C4" s="2494"/>
      <c r="D4" s="2494"/>
      <c r="E4" s="2494"/>
      <c r="F4" s="2494"/>
      <c r="G4" s="2494"/>
      <c r="H4" s="2494"/>
      <c r="I4" s="2494"/>
      <c r="J4" s="2494"/>
      <c r="K4" s="2494"/>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4" t="s">
        <v>1363</v>
      </c>
      <c r="C7" s="2494"/>
      <c r="D7" s="2495"/>
      <c r="E7" s="2495"/>
      <c r="F7" s="2495"/>
      <c r="G7" s="2495"/>
      <c r="H7" s="2495"/>
      <c r="I7" s="2495"/>
      <c r="J7" s="2495"/>
      <c r="K7" s="2495"/>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1842</v>
      </c>
      <c r="C10" s="1385" t="s">
        <v>1949</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2" t="s">
        <v>2105</v>
      </c>
      <c r="C14" s="2492"/>
      <c r="D14" s="2492"/>
      <c r="E14" s="2492"/>
      <c r="F14" s="2492"/>
      <c r="G14" s="2492"/>
      <c r="H14" s="2492"/>
      <c r="I14" s="2492"/>
      <c r="J14" s="2492"/>
      <c r="K14" s="2492"/>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2"/>
      <c r="C17" s="2492"/>
      <c r="D17" s="2492"/>
      <c r="E17" s="2492"/>
      <c r="F17" s="2492"/>
      <c r="G17" s="2492"/>
      <c r="H17" s="2492"/>
      <c r="I17" s="2492"/>
      <c r="J17" s="2492"/>
      <c r="K17" s="2492"/>
      <c r="L17" s="1381"/>
    </row>
    <row r="18" spans="2:12" ht="4.5" customHeight="1" x14ac:dyDescent="0.2">
      <c r="B18" s="1398"/>
      <c r="C18" s="1398"/>
      <c r="L18" s="1381"/>
    </row>
    <row r="19" spans="2:12" s="1282" customFormat="1" ht="13.5" customHeight="1" x14ac:dyDescent="0.2">
      <c r="B19" s="1393" t="s">
        <v>1843</v>
      </c>
      <c r="C19" s="1393"/>
      <c r="D19" s="1394"/>
      <c r="E19" s="1394"/>
      <c r="F19" s="1394"/>
      <c r="G19" s="1395"/>
      <c r="H19" s="1394"/>
      <c r="I19" s="1395"/>
      <c r="J19" s="1394"/>
      <c r="K19" s="1394"/>
      <c r="L19" s="1396"/>
    </row>
    <row r="20" spans="2:12" ht="45.75" customHeight="1" x14ac:dyDescent="0.2">
      <c r="B20" s="2496"/>
      <c r="C20" s="2496"/>
      <c r="D20" s="2492"/>
      <c r="E20" s="2492"/>
      <c r="F20" s="2492"/>
      <c r="G20" s="2492"/>
      <c r="H20" s="2492"/>
      <c r="I20" s="2492"/>
      <c r="J20" s="2492"/>
      <c r="K20" s="2492"/>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2"/>
      <c r="C23" s="2492"/>
      <c r="D23" s="2492"/>
      <c r="E23" s="2492"/>
      <c r="F23" s="2492"/>
      <c r="G23" s="2492"/>
      <c r="H23" s="2492"/>
      <c r="I23" s="2492"/>
      <c r="J23" s="2492"/>
      <c r="K23" s="2492"/>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2"/>
      <c r="C26" s="2492"/>
      <c r="D26" s="2492"/>
      <c r="E26" s="2492"/>
      <c r="F26" s="2492"/>
      <c r="G26" s="2492"/>
      <c r="H26" s="2492"/>
      <c r="I26" s="2492"/>
      <c r="J26" s="2492"/>
      <c r="K26" s="2492"/>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1"/>
      <c r="C29" s="2491"/>
      <c r="D29" s="2492"/>
      <c r="E29" s="2492"/>
      <c r="F29" s="2492"/>
      <c r="G29" s="2492"/>
      <c r="H29" s="2492"/>
      <c r="I29" s="2492"/>
      <c r="J29" s="2492"/>
      <c r="K29" s="2492"/>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1844</v>
      </c>
      <c r="C31" s="1403"/>
      <c r="D31" s="1378"/>
      <c r="E31" s="1379"/>
      <c r="F31" s="1379"/>
      <c r="G31" s="1380"/>
      <c r="H31" s="1379"/>
      <c r="I31" s="1380"/>
      <c r="J31" s="1379"/>
      <c r="K31" s="1379"/>
      <c r="L31" s="1381"/>
    </row>
    <row r="32" spans="2:12" s="322" customFormat="1" ht="44.25" customHeight="1" x14ac:dyDescent="0.2">
      <c r="B32" s="2491"/>
      <c r="C32" s="2491"/>
      <c r="D32" s="2492"/>
      <c r="E32" s="2492"/>
      <c r="F32" s="2492"/>
      <c r="G32" s="2492"/>
      <c r="H32" s="2492"/>
      <c r="I32" s="2492"/>
      <c r="J32" s="2492"/>
      <c r="K32" s="2492"/>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1845</v>
      </c>
      <c r="C35" s="1419"/>
      <c r="D35" s="322"/>
      <c r="E35" s="322"/>
      <c r="F35" s="322"/>
      <c r="L35" s="1381"/>
    </row>
    <row r="36" spans="1:13" ht="9.6" customHeight="1" x14ac:dyDescent="0.2">
      <c r="B36" s="1300" t="s">
        <v>1950</v>
      </c>
      <c r="C36" s="1300"/>
      <c r="L36" s="1381"/>
    </row>
    <row r="37" spans="1:13" ht="9.6" customHeight="1" x14ac:dyDescent="0.2">
      <c r="B37" s="1300" t="s">
        <v>1951</v>
      </c>
      <c r="C37" s="1300"/>
    </row>
    <row r="38" spans="1:13" ht="11.85" customHeight="1" x14ac:dyDescent="0.2">
      <c r="B38" s="1420" t="s">
        <v>1846</v>
      </c>
      <c r="C38" s="1420"/>
    </row>
    <row r="39" spans="1:13" ht="9.6" customHeight="1" x14ac:dyDescent="0.2">
      <c r="B39" s="1300" t="s">
        <v>1348</v>
      </c>
      <c r="C39" s="1300"/>
      <c r="M39" s="1421"/>
    </row>
    <row r="40" spans="1:13" ht="12.6" customHeight="1" x14ac:dyDescent="0.2">
      <c r="B40" s="1420" t="s">
        <v>1847</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B20" sqref="B20:K20"/>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7" t="str">
        <f>'Single Audit Cover'!A7</f>
        <v>Vermilion Assoc for SpEd</v>
      </c>
      <c r="C1" s="2497"/>
      <c r="D1" s="2497"/>
      <c r="E1" s="2497"/>
      <c r="F1" s="2497"/>
      <c r="G1" s="2497"/>
      <c r="H1" s="2497"/>
      <c r="I1" s="2497"/>
      <c r="J1" s="2497"/>
      <c r="K1" s="2497"/>
      <c r="L1" s="1465"/>
    </row>
    <row r="2" spans="1:12" ht="12.75" customHeight="1" x14ac:dyDescent="0.2">
      <c r="B2" s="2498">
        <f>'Single Audit Cover'!E7</f>
        <v>54092801060</v>
      </c>
      <c r="C2" s="2498"/>
      <c r="D2" s="2498"/>
      <c r="E2" s="2498"/>
      <c r="F2" s="2498"/>
      <c r="G2" s="2498"/>
      <c r="H2" s="2498"/>
      <c r="I2" s="2498"/>
      <c r="J2" s="2498"/>
      <c r="K2" s="2498"/>
      <c r="L2" s="1466"/>
    </row>
    <row r="3" spans="1:12" ht="12.75" customHeight="1" x14ac:dyDescent="0.2">
      <c r="B3" s="2493" t="s">
        <v>1347</v>
      </c>
      <c r="C3" s="2493"/>
      <c r="D3" s="2493"/>
      <c r="E3" s="2493"/>
      <c r="F3" s="2493"/>
      <c r="G3" s="2493"/>
      <c r="H3" s="2493"/>
      <c r="I3" s="2493"/>
      <c r="J3" s="2493"/>
      <c r="K3" s="2493"/>
      <c r="L3" s="1377"/>
    </row>
    <row r="4" spans="1:12" ht="12.75" customHeight="1" x14ac:dyDescent="0.2">
      <c r="B4" s="2493" t="str">
        <f>'Single Audit Cover'!A4</f>
        <v>Year Ending June 30, 2018</v>
      </c>
      <c r="C4" s="2493"/>
      <c r="D4" s="2493"/>
      <c r="E4" s="2493"/>
      <c r="F4" s="2493"/>
      <c r="G4" s="2493"/>
      <c r="H4" s="2493"/>
      <c r="I4" s="2493"/>
      <c r="J4" s="2493"/>
      <c r="K4" s="2493"/>
      <c r="L4" s="1377"/>
    </row>
    <row r="5" spans="1:12" ht="5.25" customHeight="1" x14ac:dyDescent="0.2">
      <c r="B5" s="1260" t="s">
        <v>1231</v>
      </c>
      <c r="C5" s="1260"/>
      <c r="L5" s="322"/>
    </row>
    <row r="6" spans="1:12" ht="30.75" customHeight="1" x14ac:dyDescent="0.2">
      <c r="A6" s="322"/>
      <c r="B6" s="2499" t="s">
        <v>1375</v>
      </c>
      <c r="C6" s="2499"/>
      <c r="D6" s="2499"/>
      <c r="E6" s="2499"/>
      <c r="F6" s="2499"/>
      <c r="G6" s="2499"/>
      <c r="H6" s="2499"/>
      <c r="I6" s="2499"/>
      <c r="J6" s="2499"/>
      <c r="K6" s="2499"/>
      <c r="L6" s="322"/>
    </row>
    <row r="7" spans="1:12" ht="4.5" customHeight="1" x14ac:dyDescent="0.2">
      <c r="B7" s="1379"/>
      <c r="C7" s="1379"/>
      <c r="D7" s="1379"/>
      <c r="E7" s="1379"/>
      <c r="F7" s="1379"/>
      <c r="G7" s="1380"/>
      <c r="H7" s="1379"/>
      <c r="I7" s="1380"/>
      <c r="J7" s="1379"/>
      <c r="K7" s="1379"/>
      <c r="L7" s="322"/>
    </row>
    <row r="8" spans="1:12" ht="13.5" customHeight="1" x14ac:dyDescent="0.2">
      <c r="B8" s="1387" t="s">
        <v>1856</v>
      </c>
      <c r="C8" s="1467" t="s">
        <v>1949</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77"/>
      <c r="G12" s="2477"/>
      <c r="H12" s="2477"/>
      <c r="I12" s="2477"/>
      <c r="J12" s="2477"/>
      <c r="K12" s="2477"/>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500"/>
      <c r="E14" s="2500"/>
      <c r="F14" s="2500"/>
      <c r="H14" s="1475" t="s">
        <v>1370</v>
      </c>
      <c r="I14" s="2501"/>
      <c r="J14" s="2501"/>
      <c r="K14" s="2501"/>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1"/>
      <c r="E16" s="2501"/>
      <c r="F16" s="2501"/>
      <c r="G16" s="2501"/>
      <c r="H16" s="2501"/>
      <c r="I16" s="2501"/>
      <c r="J16" s="2501"/>
      <c r="K16" s="2501"/>
      <c r="L16" s="322"/>
    </row>
    <row r="17" spans="2:12" ht="13.5" customHeight="1" x14ac:dyDescent="0.2">
      <c r="B17" s="1387" t="s">
        <v>1368</v>
      </c>
      <c r="C17" s="1387"/>
      <c r="D17" s="2502"/>
      <c r="E17" s="2502"/>
      <c r="F17" s="2502"/>
      <c r="G17" s="2502"/>
      <c r="H17" s="2502"/>
      <c r="I17" s="2502"/>
      <c r="J17" s="2502"/>
      <c r="K17" s="2502"/>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2" t="s">
        <v>2105</v>
      </c>
      <c r="C20" s="2492"/>
      <c r="D20" s="2492"/>
      <c r="E20" s="2492"/>
      <c r="F20" s="2492"/>
      <c r="G20" s="2492"/>
      <c r="H20" s="2492"/>
      <c r="I20" s="2492"/>
      <c r="J20" s="2492"/>
      <c r="K20" s="2492"/>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1857</v>
      </c>
      <c r="C22" s="1477"/>
      <c r="D22" s="322"/>
      <c r="E22" s="322"/>
      <c r="F22" s="322"/>
      <c r="G22" s="1383"/>
      <c r="H22" s="322"/>
      <c r="I22" s="1383"/>
      <c r="J22" s="322"/>
      <c r="K22" s="322"/>
      <c r="L22" s="322"/>
    </row>
    <row r="23" spans="2:12" ht="37.5" customHeight="1" x14ac:dyDescent="0.2">
      <c r="B23" s="2492"/>
      <c r="C23" s="2492"/>
      <c r="D23" s="2492"/>
      <c r="E23" s="2492"/>
      <c r="F23" s="2492"/>
      <c r="G23" s="2492"/>
      <c r="H23" s="2492"/>
      <c r="I23" s="2492"/>
      <c r="J23" s="2492"/>
      <c r="K23" s="2492"/>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1858</v>
      </c>
      <c r="C25" s="1477"/>
      <c r="D25" s="322"/>
      <c r="E25" s="322"/>
      <c r="F25" s="322"/>
      <c r="G25" s="1383"/>
      <c r="H25" s="322"/>
      <c r="I25" s="1383"/>
      <c r="J25" s="322"/>
      <c r="K25" s="322"/>
      <c r="L25" s="322"/>
    </row>
    <row r="26" spans="2:12" ht="37.5" customHeight="1" x14ac:dyDescent="0.2">
      <c r="B26" s="2492"/>
      <c r="C26" s="2492"/>
      <c r="D26" s="2492"/>
      <c r="E26" s="2492"/>
      <c r="F26" s="2492"/>
      <c r="G26" s="2492"/>
      <c r="H26" s="2492"/>
      <c r="I26" s="2492"/>
      <c r="J26" s="2492"/>
      <c r="K26" s="2492"/>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1859</v>
      </c>
      <c r="C28" s="1477"/>
      <c r="D28" s="322"/>
      <c r="E28" s="322"/>
      <c r="F28" s="322"/>
      <c r="G28" s="1383"/>
      <c r="H28" s="322"/>
      <c r="I28" s="1383"/>
      <c r="J28" s="322"/>
      <c r="K28" s="322"/>
      <c r="L28" s="322"/>
    </row>
    <row r="29" spans="2:12" ht="37.5" customHeight="1" x14ac:dyDescent="0.2">
      <c r="B29" s="2492"/>
      <c r="C29" s="2492"/>
      <c r="D29" s="2492"/>
      <c r="E29" s="2492"/>
      <c r="F29" s="2492"/>
      <c r="G29" s="2492"/>
      <c r="H29" s="2492"/>
      <c r="I29" s="2492"/>
      <c r="J29" s="2492"/>
      <c r="K29" s="2492"/>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2"/>
      <c r="C32" s="2492"/>
      <c r="D32" s="2492"/>
      <c r="E32" s="2492"/>
      <c r="F32" s="2492"/>
      <c r="G32" s="2492"/>
      <c r="H32" s="2492"/>
      <c r="I32" s="2492"/>
      <c r="J32" s="2492"/>
      <c r="K32" s="2492"/>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2"/>
      <c r="C35" s="2492"/>
      <c r="D35" s="2492"/>
      <c r="E35" s="2492"/>
      <c r="F35" s="2492"/>
      <c r="G35" s="2492"/>
      <c r="H35" s="2492"/>
      <c r="I35" s="2492"/>
      <c r="J35" s="2492"/>
      <c r="K35" s="2492"/>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2"/>
      <c r="C38" s="2492"/>
      <c r="D38" s="2492"/>
      <c r="E38" s="2492"/>
      <c r="F38" s="2492"/>
      <c r="G38" s="2492"/>
      <c r="H38" s="2492"/>
      <c r="I38" s="2492"/>
      <c r="J38" s="2492"/>
      <c r="K38" s="2492"/>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1860</v>
      </c>
      <c r="C40" s="1403"/>
      <c r="D40" s="1378"/>
      <c r="E40" s="1379"/>
      <c r="F40" s="1379"/>
      <c r="G40" s="1380"/>
      <c r="H40" s="1379"/>
      <c r="I40" s="1380"/>
      <c r="J40" s="1379"/>
      <c r="K40" s="1379"/>
    </row>
    <row r="41" spans="2:12" s="322" customFormat="1" ht="33.75" customHeight="1" x14ac:dyDescent="0.2">
      <c r="B41" s="2492"/>
      <c r="C41" s="2492"/>
      <c r="D41" s="2492"/>
      <c r="E41" s="2492"/>
      <c r="F41" s="2492"/>
      <c r="G41" s="2492"/>
      <c r="H41" s="2492"/>
      <c r="I41" s="2492"/>
      <c r="J41" s="2492"/>
      <c r="K41" s="2492"/>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1861</v>
      </c>
      <c r="C48" s="1419"/>
      <c r="D48" s="322"/>
      <c r="E48" s="322"/>
      <c r="F48" s="322"/>
    </row>
    <row r="49" spans="2:3" s="317" customFormat="1" ht="10.5" customHeight="1" x14ac:dyDescent="0.2">
      <c r="B49" s="1420" t="s">
        <v>1862</v>
      </c>
      <c r="C49" s="1420"/>
    </row>
    <row r="50" spans="2:3" s="317" customFormat="1" ht="11.1" customHeight="1" x14ac:dyDescent="0.2">
      <c r="B50" s="1420" t="s">
        <v>1863</v>
      </c>
      <c r="C50" s="1420"/>
    </row>
    <row r="51" spans="2:3" s="317" customFormat="1" ht="11.1" customHeight="1" x14ac:dyDescent="0.2">
      <c r="B51" s="1420" t="s">
        <v>1864</v>
      </c>
      <c r="C51" s="1420"/>
    </row>
    <row r="52" spans="2:3" s="317" customFormat="1" ht="11.1" customHeight="1" x14ac:dyDescent="0.2">
      <c r="B52" s="1420" t="s">
        <v>1865</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B8" sqref="B8"/>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0" t="str">
        <f>'Single Audit Cover'!A7</f>
        <v>Vermilion Assoc for SpEd</v>
      </c>
      <c r="C1" s="2470"/>
      <c r="D1" s="2470"/>
      <c r="E1" s="1491"/>
    </row>
    <row r="2" spans="2:5" s="1282" customFormat="1" ht="12.75" customHeight="1" x14ac:dyDescent="0.2">
      <c r="B2" s="2472">
        <f>'Single Audit Cover'!E7</f>
        <v>54092801060</v>
      </c>
      <c r="C2" s="2472"/>
      <c r="D2" s="2472"/>
      <c r="E2" s="1492"/>
    </row>
    <row r="3" spans="2:5" ht="12.75" customHeight="1" x14ac:dyDescent="0.2">
      <c r="B3" s="2493" t="s">
        <v>1866</v>
      </c>
      <c r="C3" s="2493"/>
      <c r="D3" s="2493"/>
      <c r="E3" s="1274"/>
    </row>
    <row r="4" spans="2:5" s="1282" customFormat="1" ht="12.75" customHeight="1" x14ac:dyDescent="0.2">
      <c r="B4" s="2503" t="str">
        <f>'Single Audit Cover'!A4</f>
        <v>Year Ending June 30, 2018</v>
      </c>
      <c r="C4" s="2503"/>
      <c r="D4" s="2503"/>
      <c r="E4" s="1493"/>
    </row>
    <row r="5" spans="2:5" s="1282" customFormat="1" ht="40.15" customHeight="1" x14ac:dyDescent="0.2">
      <c r="B5" s="1494" t="s">
        <v>1867</v>
      </c>
      <c r="C5" s="328"/>
      <c r="D5" s="328"/>
      <c r="E5" s="328"/>
    </row>
    <row r="6" spans="2:5" s="1282" customFormat="1" ht="13.5" customHeight="1" x14ac:dyDescent="0.2">
      <c r="B6" s="1495" t="s">
        <v>1382</v>
      </c>
      <c r="C6" s="1495" t="s">
        <v>1381</v>
      </c>
      <c r="D6" s="1495" t="s">
        <v>1868</v>
      </c>
    </row>
    <row r="7" spans="2:5" ht="13.5" customHeight="1" x14ac:dyDescent="0.2">
      <c r="B7" s="1496"/>
      <c r="C7" s="324"/>
      <c r="D7" s="324"/>
      <c r="E7" s="324"/>
    </row>
    <row r="8" spans="2:5" ht="13.5" customHeight="1" x14ac:dyDescent="0.2">
      <c r="B8" s="1496" t="s">
        <v>2105</v>
      </c>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1869</v>
      </c>
    </row>
    <row r="46" spans="2:5" ht="12.2" customHeight="1" x14ac:dyDescent="0.2">
      <c r="B46" s="1505" t="s">
        <v>1870</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1" t="s">
        <v>404</v>
      </c>
      <c r="B1" s="2101"/>
      <c r="C1" s="2101"/>
      <c r="D1" s="2101"/>
      <c r="E1" s="2101"/>
      <c r="F1" s="2101"/>
      <c r="G1" s="2101"/>
      <c r="H1" s="2101"/>
      <c r="I1" s="2101"/>
      <c r="J1" s="2101"/>
      <c r="K1" s="2101"/>
      <c r="L1" s="2101"/>
      <c r="M1" s="2101"/>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754">
        <f>ROUND(D10+F10+H10,5)</f>
        <v>0</v>
      </c>
      <c r="K10" s="222"/>
      <c r="L10" s="355"/>
      <c r="M10" s="222"/>
    </row>
    <row r="11" spans="1:14" ht="7.5" customHeight="1" x14ac:dyDescent="0.2">
      <c r="B11" s="222"/>
      <c r="C11" s="222"/>
      <c r="D11" s="2111" t="str">
        <f>IF(SUM(J10)&lt;=0.0999999,"","Enter the Tax Rates by moving the decimal two places to the left.")</f>
        <v/>
      </c>
      <c r="E11" s="2112"/>
      <c r="F11" s="2112"/>
      <c r="G11" s="2112"/>
      <c r="H11" s="2112"/>
      <c r="I11" s="2112"/>
      <c r="J11" s="211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5682986</v>
      </c>
      <c r="E16" s="356"/>
      <c r="F16" s="1755">
        <f>SUM('Acct Summary 7-8'!C17,'Acct Summary 7-8'!D17,'Acct Summary 7-8'!F17)</f>
        <v>4834151</v>
      </c>
      <c r="G16" s="356"/>
      <c r="H16" s="1755">
        <f>SUM(D16-F16)</f>
        <v>848835</v>
      </c>
      <c r="I16" s="222"/>
      <c r="J16" s="1755">
        <f>SUM('Acct Summary 7-8'!C81,'Acct Summary 7-8'!D81,'Acct Summary 7-8'!F81,'Acct Summary 7-8'!I81)</f>
        <v>3542162</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2"/>
      <c r="C54" s="2103"/>
      <c r="D54" s="2103"/>
      <c r="E54" s="2103"/>
      <c r="F54" s="2103"/>
      <c r="G54" s="2103"/>
      <c r="H54" s="2103"/>
      <c r="I54" s="2103"/>
      <c r="J54" s="2103"/>
      <c r="K54" s="2103"/>
      <c r="L54" s="2104"/>
      <c r="M54" s="380"/>
    </row>
    <row r="55" spans="1:13" ht="12.75" customHeight="1" x14ac:dyDescent="0.2">
      <c r="B55" s="2105"/>
      <c r="C55" s="2106"/>
      <c r="D55" s="2106"/>
      <c r="E55" s="2106"/>
      <c r="F55" s="2106"/>
      <c r="G55" s="2106"/>
      <c r="H55" s="2106"/>
      <c r="I55" s="2106"/>
      <c r="J55" s="2106"/>
      <c r="K55" s="2106"/>
      <c r="L55" s="2107"/>
      <c r="M55" s="380"/>
    </row>
    <row r="56" spans="1:13" ht="12.75" customHeight="1" x14ac:dyDescent="0.2">
      <c r="B56" s="2105"/>
      <c r="C56" s="2106"/>
      <c r="D56" s="2106"/>
      <c r="E56" s="2106"/>
      <c r="F56" s="2106"/>
      <c r="G56" s="2106"/>
      <c r="H56" s="2106"/>
      <c r="I56" s="2106"/>
      <c r="J56" s="2106"/>
      <c r="K56" s="2106"/>
      <c r="L56" s="2107"/>
      <c r="M56" s="222"/>
    </row>
    <row r="57" spans="1:13" ht="12.75" customHeight="1" x14ac:dyDescent="0.2">
      <c r="B57" s="2105"/>
      <c r="C57" s="2106"/>
      <c r="D57" s="2106"/>
      <c r="E57" s="2106"/>
      <c r="F57" s="2106"/>
      <c r="G57" s="2106"/>
      <c r="H57" s="2106"/>
      <c r="I57" s="2106"/>
      <c r="J57" s="2106"/>
      <c r="K57" s="2106"/>
      <c r="L57" s="2107"/>
      <c r="M57" s="222"/>
    </row>
    <row r="58" spans="1:13" x14ac:dyDescent="0.2">
      <c r="B58" s="2108"/>
      <c r="C58" s="2109"/>
      <c r="D58" s="2109"/>
      <c r="E58" s="2109"/>
      <c r="F58" s="2109"/>
      <c r="G58" s="2109"/>
      <c r="H58" s="2109"/>
      <c r="I58" s="2109"/>
      <c r="J58" s="2109"/>
      <c r="K58" s="2109"/>
      <c r="L58" s="211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3"/>
      <c r="D61" s="211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6"/>
      <c r="B1" s="2117"/>
      <c r="C1" s="2117"/>
      <c r="D1" s="384"/>
      <c r="E1" s="384"/>
      <c r="F1" s="384"/>
      <c r="G1" s="384"/>
      <c r="H1" s="384"/>
      <c r="I1" s="384"/>
      <c r="J1" s="384"/>
      <c r="K1" s="384"/>
      <c r="L1" s="384"/>
      <c r="M1" s="384"/>
      <c r="N1" s="384"/>
      <c r="O1" s="2116"/>
      <c r="P1" s="2117"/>
      <c r="Q1" s="2117"/>
    </row>
    <row r="2" spans="1:18" ht="15" x14ac:dyDescent="0.2">
      <c r="A2" s="2120" t="s">
        <v>577</v>
      </c>
      <c r="B2" s="2120"/>
      <c r="C2" s="2120"/>
      <c r="D2" s="2120"/>
      <c r="E2" s="2120"/>
      <c r="F2" s="2120"/>
      <c r="G2" s="2120"/>
      <c r="H2" s="2120"/>
      <c r="I2" s="2120"/>
      <c r="J2" s="2120"/>
      <c r="K2" s="2120"/>
      <c r="L2" s="2120"/>
      <c r="M2" s="2120"/>
      <c r="N2" s="2120"/>
      <c r="O2" s="2120"/>
      <c r="P2" s="2120"/>
      <c r="Q2" s="2120"/>
      <c r="R2" s="2120"/>
    </row>
    <row r="3" spans="1:18" ht="12.75" x14ac:dyDescent="0.2">
      <c r="A3" s="2121" t="s">
        <v>1480</v>
      </c>
      <c r="B3" s="2121"/>
      <c r="C3" s="2121"/>
      <c r="D3" s="2121"/>
      <c r="E3" s="2121"/>
      <c r="F3" s="2121"/>
      <c r="G3" s="2121"/>
      <c r="H3" s="2121"/>
      <c r="I3" s="2121"/>
      <c r="J3" s="2121"/>
      <c r="K3" s="2121"/>
      <c r="L3" s="2121"/>
      <c r="M3" s="2121"/>
      <c r="N3" s="2121"/>
      <c r="O3" s="2121"/>
      <c r="P3" s="2121"/>
      <c r="Q3" s="2121"/>
      <c r="R3" s="2121"/>
    </row>
    <row r="4" spans="1:18" x14ac:dyDescent="0.2">
      <c r="A4" s="2122" t="s">
        <v>1635</v>
      </c>
      <c r="B4" s="2122"/>
      <c r="C4" s="2122"/>
      <c r="D4" s="2122"/>
      <c r="E4" s="2122"/>
      <c r="F4" s="2122"/>
      <c r="G4" s="2122"/>
      <c r="H4" s="2122"/>
      <c r="I4" s="2122"/>
      <c r="J4" s="2122"/>
      <c r="K4" s="2122"/>
      <c r="L4" s="2122"/>
      <c r="M4" s="2122"/>
      <c r="N4" s="2122"/>
      <c r="O4" s="2122"/>
      <c r="P4" s="2122"/>
      <c r="Q4" s="2122"/>
      <c r="R4" s="212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Vermilion Assoc for SpEd</v>
      </c>
      <c r="E7" s="391"/>
      <c r="G7" s="252"/>
      <c r="H7" s="387"/>
      <c r="I7" s="387"/>
      <c r="J7" s="387"/>
      <c r="K7" s="387"/>
      <c r="L7" s="329"/>
      <c r="M7" s="329"/>
      <c r="N7" s="329"/>
      <c r="O7" s="329"/>
      <c r="P7" s="329"/>
    </row>
    <row r="8" spans="1:18" ht="12.75" x14ac:dyDescent="0.2">
      <c r="A8" s="329"/>
      <c r="B8" s="329"/>
      <c r="C8" s="389" t="s">
        <v>1187</v>
      </c>
      <c r="D8" s="392">
        <f>COVER!A13</f>
        <v>54092801060</v>
      </c>
      <c r="E8" s="393"/>
      <c r="G8" s="329"/>
      <c r="H8" s="329"/>
      <c r="I8" s="329"/>
      <c r="J8" s="329"/>
      <c r="K8" s="329"/>
      <c r="L8" s="329"/>
      <c r="M8" s="329"/>
      <c r="N8" s="329"/>
      <c r="O8" s="329"/>
      <c r="P8" s="329"/>
    </row>
    <row r="9" spans="1:18" ht="12.75" x14ac:dyDescent="0.2">
      <c r="A9" s="329"/>
      <c r="B9" s="329"/>
      <c r="C9" s="389" t="s">
        <v>737</v>
      </c>
      <c r="D9" s="394" t="str">
        <f>COVER!A15</f>
        <v>VERMILION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3542162</v>
      </c>
      <c r="I12" s="404"/>
      <c r="J12" s="404"/>
      <c r="K12" s="405">
        <f>TRUNC((H12/H13*100000),5)/100000</f>
        <v>0.62329240289999999</v>
      </c>
      <c r="L12" s="406"/>
      <c r="M12" s="360" t="s">
        <v>1206</v>
      </c>
      <c r="N12" s="360"/>
      <c r="O12" s="407">
        <v>0.35</v>
      </c>
      <c r="P12" s="218"/>
      <c r="Q12" s="218"/>
    </row>
    <row r="13" spans="1:18" s="408" customFormat="1" ht="12.75" x14ac:dyDescent="0.2">
      <c r="A13" s="218"/>
      <c r="B13" s="401"/>
      <c r="C13" s="2118" t="s">
        <v>1391</v>
      </c>
      <c r="D13" s="2119"/>
      <c r="E13" s="218"/>
      <c r="F13" s="409" t="s">
        <v>826</v>
      </c>
      <c r="G13" s="402"/>
      <c r="H13" s="403">
        <f>SUM('Acct Summary 7-8'!C8+'Acct Summary 7-8'!D8+'Acct Summary 7-8'!F8+'Acct Summary 7-8'!I8)+H14</f>
        <v>5682986</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4834151</v>
      </c>
      <c r="I17" s="404"/>
      <c r="J17" s="416"/>
      <c r="K17" s="405">
        <f>TRUNC((H17/H18*100000),5)/100000</f>
        <v>0.85063573969999995</v>
      </c>
      <c r="L17" s="406"/>
      <c r="M17" s="417" t="s">
        <v>1233</v>
      </c>
      <c r="O17" s="418" t="str">
        <f>IF(AND(O16="2", J20 &gt; 2),"1",IF(AND(O16 = "1", J20 &gt; 2),"2",IF(AND(O16="1", J20 &gt;1),"1","0")))</f>
        <v>0</v>
      </c>
      <c r="P17" s="218"/>
    </row>
    <row r="18" spans="1:18" s="408" customFormat="1" ht="11.25" x14ac:dyDescent="0.2">
      <c r="A18" s="218"/>
      <c r="B18" s="401"/>
      <c r="C18" s="2118" t="s">
        <v>1384</v>
      </c>
      <c r="D18" s="2119"/>
      <c r="E18" s="218"/>
      <c r="F18" s="419" t="s">
        <v>827</v>
      </c>
      <c r="G18" s="402"/>
      <c r="H18" s="403">
        <f>SUM('Acct Summary 7-8'!C8+'Acct Summary 7-8'!D8+'Acct Summary 7-8'!F8+'Acct Summary 7-8'!I8)+H19</f>
        <v>5682986</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5" t="s">
        <v>1479</v>
      </c>
      <c r="D24" s="2115"/>
      <c r="E24" s="218"/>
      <c r="F24" s="218" t="s">
        <v>465</v>
      </c>
      <c r="G24" s="402"/>
      <c r="H24" s="403">
        <f>SUM('Assets-Liab 5-6'!C4+'Assets-Liab 5-6'!D4+'Assets-Liab 5-6'!F4+'Assets-Liab 5-6'!I4+'Assets-Liab 5-6'!C5+'Assets-Liab 5-6'!D5+'Assets-Liab 5-6'!F5+'Assets-Liab 5-6'!I5)</f>
        <v>3543012</v>
      </c>
      <c r="I24" s="422"/>
      <c r="J24" s="422"/>
      <c r="K24" s="423">
        <f>TRUNC(((H24/H25*100000)/100000),2)</f>
        <v>263.83999999999997</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13428.19722</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2067</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21" activePane="bottomLeft" state="frozen"/>
      <selection pane="bottomLeft" sqref="A1:A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3"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4"/>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5" t="s">
        <v>1030</v>
      </c>
      <c r="B3" s="2126"/>
      <c r="C3" s="1581"/>
      <c r="D3" s="1582"/>
      <c r="E3" s="1582"/>
      <c r="F3" s="1582"/>
      <c r="G3" s="1582"/>
      <c r="H3" s="1582"/>
      <c r="I3" s="1582"/>
      <c r="J3" s="1582"/>
      <c r="K3" s="1582"/>
      <c r="L3" s="1582"/>
      <c r="M3" s="1583"/>
      <c r="N3" s="1584"/>
    </row>
    <row r="4" spans="1:14" ht="13.5" customHeight="1" x14ac:dyDescent="0.2">
      <c r="A4" s="463" t="s">
        <v>1750</v>
      </c>
      <c r="B4" s="464"/>
      <c r="C4" s="465">
        <v>3543012</v>
      </c>
      <c r="D4" s="466"/>
      <c r="E4" s="466"/>
      <c r="F4" s="466"/>
      <c r="G4" s="466"/>
      <c r="H4" s="466"/>
      <c r="I4" s="466"/>
      <c r="J4" s="467"/>
      <c r="K4" s="466"/>
      <c r="L4" s="466"/>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3543012</v>
      </c>
      <c r="D13" s="1759">
        <f t="shared" ref="D13:L13" si="0">SUM(D4:D12)</f>
        <v>0</v>
      </c>
      <c r="E13" s="1759">
        <f t="shared" si="0"/>
        <v>0</v>
      </c>
      <c r="F13" s="1759">
        <f t="shared" si="0"/>
        <v>0</v>
      </c>
      <c r="G13" s="1759">
        <f t="shared" si="0"/>
        <v>0</v>
      </c>
      <c r="H13" s="1759">
        <f t="shared" si="0"/>
        <v>0</v>
      </c>
      <c r="I13" s="1759">
        <f t="shared" si="0"/>
        <v>0</v>
      </c>
      <c r="J13" s="1759">
        <f t="shared" si="0"/>
        <v>0</v>
      </c>
      <c r="K13" s="1759">
        <f t="shared" si="0"/>
        <v>0</v>
      </c>
      <c r="L13" s="1759">
        <f t="shared" si="0"/>
        <v>0</v>
      </c>
      <c r="M13" s="468"/>
      <c r="N13" s="469"/>
    </row>
    <row r="14" spans="1:14" ht="18" customHeight="1" thickTop="1" x14ac:dyDescent="0.2">
      <c r="A14" s="2127" t="s">
        <v>149</v>
      </c>
      <c r="B14" s="2128"/>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c r="N16" s="484"/>
    </row>
    <row r="17" spans="1:14" s="485" customFormat="1" ht="12.75" customHeight="1" x14ac:dyDescent="0.2">
      <c r="A17" s="482" t="s">
        <v>1470</v>
      </c>
      <c r="B17" s="483">
        <v>230</v>
      </c>
      <c r="C17" s="477"/>
      <c r="D17" s="477"/>
      <c r="E17" s="477"/>
      <c r="F17" s="477"/>
      <c r="G17" s="477"/>
      <c r="H17" s="477"/>
      <c r="I17" s="477"/>
      <c r="J17" s="477"/>
      <c r="K17" s="477"/>
      <c r="L17" s="477"/>
      <c r="M17" s="467">
        <v>214123</v>
      </c>
      <c r="N17" s="484"/>
    </row>
    <row r="18" spans="1:14" s="485" customFormat="1" ht="12.75" customHeight="1" x14ac:dyDescent="0.2">
      <c r="A18" s="482" t="s">
        <v>1471</v>
      </c>
      <c r="B18" s="483">
        <v>240</v>
      </c>
      <c r="C18" s="477"/>
      <c r="D18" s="477"/>
      <c r="E18" s="477"/>
      <c r="F18" s="477"/>
      <c r="G18" s="477"/>
      <c r="H18" s="477"/>
      <c r="I18" s="477"/>
      <c r="J18" s="477"/>
      <c r="K18" s="477"/>
      <c r="L18" s="477"/>
      <c r="M18" s="467"/>
      <c r="N18" s="484"/>
    </row>
    <row r="19" spans="1:14" s="485" customFormat="1" ht="12.75" customHeight="1" x14ac:dyDescent="0.2">
      <c r="A19" s="482" t="s">
        <v>1472</v>
      </c>
      <c r="B19" s="483">
        <v>250</v>
      </c>
      <c r="C19" s="477"/>
      <c r="D19" s="477"/>
      <c r="E19" s="477"/>
      <c r="F19" s="477"/>
      <c r="G19" s="477"/>
      <c r="H19" s="477"/>
      <c r="I19" s="477"/>
      <c r="J19" s="477"/>
      <c r="K19" s="477"/>
      <c r="L19" s="477"/>
      <c r="M19" s="467">
        <v>342822</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58" t="s">
        <v>664</v>
      </c>
      <c r="B23" s="1763"/>
      <c r="C23" s="468"/>
      <c r="D23" s="468"/>
      <c r="E23" s="468"/>
      <c r="F23" s="468"/>
      <c r="G23" s="468"/>
      <c r="H23" s="468"/>
      <c r="I23" s="468"/>
      <c r="J23" s="468"/>
      <c r="K23" s="468"/>
      <c r="L23" s="468"/>
      <c r="M23" s="1710">
        <f>SUM(M15:M22)</f>
        <v>556945</v>
      </c>
      <c r="N23" s="1710">
        <f>SUM(N21:N22)</f>
        <v>0</v>
      </c>
    </row>
    <row r="24" spans="1:14" ht="18" customHeight="1" thickTop="1" x14ac:dyDescent="0.2">
      <c r="A24" s="2129" t="s">
        <v>619</v>
      </c>
      <c r="B24" s="2130"/>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v>850</v>
      </c>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c r="M33" s="468"/>
      <c r="N33" s="469"/>
    </row>
    <row r="34" spans="1:14" ht="13.5" customHeight="1" thickBot="1" x14ac:dyDescent="0.25">
      <c r="A34" s="1760" t="s">
        <v>675</v>
      </c>
      <c r="B34" s="1761"/>
      <c r="C34" s="1762">
        <f>SUM(C25:C33)</f>
        <v>850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0</v>
      </c>
      <c r="M34" s="468"/>
      <c r="N34" s="480"/>
    </row>
    <row r="35" spans="1:14" ht="18" customHeight="1" thickTop="1" x14ac:dyDescent="0.2">
      <c r="A35" s="2131" t="s">
        <v>550</v>
      </c>
      <c r="B35" s="2132"/>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58" t="s">
        <v>674</v>
      </c>
      <c r="B37" s="1763"/>
      <c r="C37" s="477"/>
      <c r="D37" s="477"/>
      <c r="E37" s="477"/>
      <c r="F37" s="477"/>
      <c r="G37" s="477"/>
      <c r="H37" s="477"/>
      <c r="I37" s="477"/>
      <c r="J37" s="477"/>
      <c r="K37" s="477"/>
      <c r="L37" s="480"/>
      <c r="M37" s="468"/>
      <c r="N37" s="1710">
        <f>SUM(N36:N36)</f>
        <v>0</v>
      </c>
    </row>
    <row r="38" spans="1:14" s="329" customFormat="1" ht="13.5" customHeight="1" thickTop="1" x14ac:dyDescent="0.2">
      <c r="A38" s="496" t="s">
        <v>440</v>
      </c>
      <c r="B38" s="483">
        <v>714</v>
      </c>
      <c r="C38" s="466"/>
      <c r="D38" s="466"/>
      <c r="E38" s="466"/>
      <c r="F38" s="466"/>
      <c r="G38" s="466"/>
      <c r="H38" s="466"/>
      <c r="I38" s="466"/>
      <c r="J38" s="467"/>
      <c r="K38" s="466"/>
      <c r="L38" s="481"/>
      <c r="M38" s="497"/>
      <c r="N38" s="497"/>
    </row>
    <row r="39" spans="1:14" s="329" customFormat="1" ht="13.5" customHeight="1" x14ac:dyDescent="0.2">
      <c r="A39" s="496" t="s">
        <v>360</v>
      </c>
      <c r="B39" s="483">
        <v>730</v>
      </c>
      <c r="C39" s="466">
        <v>3542162</v>
      </c>
      <c r="D39" s="466"/>
      <c r="E39" s="466"/>
      <c r="F39" s="466"/>
      <c r="G39" s="466"/>
      <c r="H39" s="466"/>
      <c r="I39" s="466"/>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556945</v>
      </c>
      <c r="N40" s="497"/>
    </row>
    <row r="41" spans="1:14" ht="13.5" customHeight="1" thickBot="1" x14ac:dyDescent="0.25">
      <c r="A41" s="1758" t="s">
        <v>676</v>
      </c>
      <c r="B41" s="1728"/>
      <c r="C41" s="1710">
        <f>(SUM(C34,C37,C38,C39))</f>
        <v>3543012</v>
      </c>
      <c r="D41" s="1710">
        <f t="shared" ref="D41:L41" si="2">SUM(D34,D37,D38:D39)</f>
        <v>0</v>
      </c>
      <c r="E41" s="1710">
        <f t="shared" si="2"/>
        <v>0</v>
      </c>
      <c r="F41" s="1710">
        <f t="shared" si="2"/>
        <v>0</v>
      </c>
      <c r="G41" s="1710">
        <f t="shared" si="2"/>
        <v>0</v>
      </c>
      <c r="H41" s="1710">
        <f t="shared" si="2"/>
        <v>0</v>
      </c>
      <c r="I41" s="1710">
        <f t="shared" si="2"/>
        <v>0</v>
      </c>
      <c r="J41" s="1710">
        <f t="shared" si="2"/>
        <v>0</v>
      </c>
      <c r="K41" s="1710">
        <f t="shared" si="2"/>
        <v>0</v>
      </c>
      <c r="L41" s="1710">
        <f t="shared" si="2"/>
        <v>0</v>
      </c>
      <c r="M41" s="1710">
        <f>SUM(M40)</f>
        <v>556945</v>
      </c>
      <c r="N41" s="1710">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57" activePane="bottomLeft" state="frozenSplit"/>
      <selection pane="bottomLeft" sqref="A1:A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1"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2"/>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3" t="s">
        <v>1237</v>
      </c>
      <c r="B3" s="2154"/>
      <c r="C3" s="1595"/>
      <c r="D3" s="1596"/>
      <c r="E3" s="1596"/>
      <c r="F3" s="1596"/>
      <c r="G3" s="1596"/>
      <c r="H3" s="1596"/>
      <c r="I3" s="1596"/>
      <c r="J3" s="1596"/>
      <c r="K3" s="1597"/>
      <c r="L3" s="506"/>
    </row>
    <row r="4" spans="1:13" ht="15.75" customHeight="1" x14ac:dyDescent="0.2">
      <c r="A4" s="1954" t="s">
        <v>1579</v>
      </c>
      <c r="B4" s="1955">
        <v>1000</v>
      </c>
      <c r="C4" s="1764">
        <f>'Revenues 9-14'!C109</f>
        <v>2576636</v>
      </c>
      <c r="D4" s="1764">
        <f>'Revenues 9-14'!D109</f>
        <v>0</v>
      </c>
      <c r="E4" s="1764">
        <f>'Revenues 9-14'!E109</f>
        <v>0</v>
      </c>
      <c r="F4" s="1764">
        <f>'Revenues 9-14'!F109</f>
        <v>0</v>
      </c>
      <c r="G4" s="1764">
        <f>'Revenues 9-14'!G109</f>
        <v>0</v>
      </c>
      <c r="H4" s="1764">
        <f>'Revenues 9-14'!H109</f>
        <v>0</v>
      </c>
      <c r="I4" s="1764">
        <f>'Revenues 9-14'!I109</f>
        <v>0</v>
      </c>
      <c r="J4" s="1764">
        <f>'Revenues 9-14'!J109</f>
        <v>0</v>
      </c>
      <c r="K4" s="1764">
        <f>'Revenues 9-14'!K109</f>
        <v>0</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584568</v>
      </c>
      <c r="D6" s="1765">
        <f>'Revenues 9-14'!D173</f>
        <v>0</v>
      </c>
      <c r="E6" s="1765">
        <f>'Revenues 9-14'!E173</f>
        <v>0</v>
      </c>
      <c r="F6" s="1765">
        <f>'Revenues 9-14'!F173</f>
        <v>0</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2521782</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5682986</v>
      </c>
      <c r="D8" s="1710">
        <f t="shared" ref="D8:K8" si="0">SUM(D4:D7)</f>
        <v>0</v>
      </c>
      <c r="E8" s="1710">
        <f t="shared" si="0"/>
        <v>0</v>
      </c>
      <c r="F8" s="1710">
        <f t="shared" si="0"/>
        <v>0</v>
      </c>
      <c r="G8" s="1710">
        <f t="shared" si="0"/>
        <v>0</v>
      </c>
      <c r="H8" s="1710">
        <f t="shared" si="0"/>
        <v>0</v>
      </c>
      <c r="I8" s="1710">
        <f t="shared" si="0"/>
        <v>0</v>
      </c>
      <c r="J8" s="1710">
        <f t="shared" si="0"/>
        <v>0</v>
      </c>
      <c r="K8" s="1710">
        <f t="shared" si="0"/>
        <v>0</v>
      </c>
      <c r="L8" s="347"/>
    </row>
    <row r="9" spans="1:13" ht="15.75" thickTop="1" x14ac:dyDescent="0.2">
      <c r="A9" s="514" t="s">
        <v>1752</v>
      </c>
      <c r="B9" s="515">
        <v>3998</v>
      </c>
      <c r="C9" s="481">
        <v>1483984</v>
      </c>
      <c r="D9" s="516"/>
      <c r="E9" s="481"/>
      <c r="F9" s="481"/>
      <c r="G9" s="517"/>
      <c r="H9" s="481"/>
      <c r="I9" s="509" t="s">
        <v>1231</v>
      </c>
      <c r="J9" s="478"/>
      <c r="K9" s="481"/>
      <c r="L9" s="347"/>
    </row>
    <row r="10" spans="1:13" s="519" customFormat="1" ht="13.5" thickBot="1" x14ac:dyDescent="0.25">
      <c r="A10" s="1758" t="s">
        <v>1235</v>
      </c>
      <c r="B10" s="1731"/>
      <c r="C10" s="1710">
        <f>SUM(C8:C9)</f>
        <v>7166970</v>
      </c>
      <c r="D10" s="1710">
        <f t="shared" ref="D10:K10" si="1">SUM(D8:D9)</f>
        <v>0</v>
      </c>
      <c r="E10" s="1710">
        <f t="shared" si="1"/>
        <v>0</v>
      </c>
      <c r="F10" s="1710">
        <f t="shared" si="1"/>
        <v>0</v>
      </c>
      <c r="G10" s="1710">
        <f t="shared" si="1"/>
        <v>0</v>
      </c>
      <c r="H10" s="1710">
        <f t="shared" si="1"/>
        <v>0</v>
      </c>
      <c r="I10" s="1710">
        <f t="shared" si="1"/>
        <v>0</v>
      </c>
      <c r="J10" s="1710">
        <f t="shared" si="1"/>
        <v>0</v>
      </c>
      <c r="K10" s="1710">
        <f t="shared" si="1"/>
        <v>0</v>
      </c>
      <c r="L10" s="518"/>
    </row>
    <row r="11" spans="1:13" s="519" customFormat="1" ht="16.7" customHeight="1" thickTop="1" x14ac:dyDescent="0.2">
      <c r="A11" s="2127" t="s">
        <v>1238</v>
      </c>
      <c r="B11" s="2128"/>
      <c r="C11" s="1592"/>
      <c r="D11" s="1593"/>
      <c r="E11" s="1593"/>
      <c r="F11" s="1593"/>
      <c r="G11" s="1593"/>
      <c r="H11" s="1593"/>
      <c r="I11" s="1593"/>
      <c r="J11" s="1593"/>
      <c r="K11" s="1594"/>
      <c r="L11" s="518"/>
    </row>
    <row r="12" spans="1:13" ht="15.75" customHeight="1" x14ac:dyDescent="0.2">
      <c r="A12" s="1598" t="s">
        <v>476</v>
      </c>
      <c r="B12" s="1600">
        <v>1000</v>
      </c>
      <c r="C12" s="1764">
        <f>'Expenditures 15-22'!K33</f>
        <v>1496128</v>
      </c>
      <c r="D12" s="520" t="s">
        <v>1231</v>
      </c>
      <c r="E12" s="468" t="s">
        <v>1231</v>
      </c>
      <c r="F12" s="468" t="s">
        <v>1231</v>
      </c>
      <c r="G12" s="1764">
        <f>'Expenditures 15-22'!K229</f>
        <v>0</v>
      </c>
      <c r="H12" s="521"/>
      <c r="I12" s="468" t="s">
        <v>1231</v>
      </c>
      <c r="J12" s="468" t="s">
        <v>1231</v>
      </c>
      <c r="K12" s="521" t="s">
        <v>1231</v>
      </c>
      <c r="L12" s="347"/>
    </row>
    <row r="13" spans="1:13" ht="15.75" customHeight="1" x14ac:dyDescent="0.2">
      <c r="A13" s="1598" t="s">
        <v>477</v>
      </c>
      <c r="B13" s="1600">
        <v>2000</v>
      </c>
      <c r="C13" s="1765">
        <f>'Expenditures 15-22'!K74</f>
        <v>3337930</v>
      </c>
      <c r="D13" s="1765">
        <f>'Expenditures 15-22'!K129</f>
        <v>0</v>
      </c>
      <c r="E13" s="469" t="s">
        <v>1231</v>
      </c>
      <c r="F13" s="1765">
        <f>'Expenditures 15-22'!K184</f>
        <v>0</v>
      </c>
      <c r="G13" s="1765">
        <f>'Expenditures 15-22'!K279</f>
        <v>0</v>
      </c>
      <c r="H13" s="1765">
        <f>'Expenditures 15-22'!K303</f>
        <v>0</v>
      </c>
      <c r="I13" s="468" t="s">
        <v>1231</v>
      </c>
      <c r="J13" s="1765">
        <f>'Expenditures 15-22'!K330</f>
        <v>0</v>
      </c>
      <c r="K13" s="1769">
        <f>'Expenditures 15-22'!K352</f>
        <v>0</v>
      </c>
      <c r="L13" s="347"/>
    </row>
    <row r="14" spans="1:13" ht="15.75" customHeight="1" x14ac:dyDescent="0.2">
      <c r="A14" s="1598" t="s">
        <v>469</v>
      </c>
      <c r="B14" s="1600">
        <v>3000</v>
      </c>
      <c r="C14" s="1765">
        <f>'Expenditures 15-22'!K75</f>
        <v>93</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0</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0</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4834151</v>
      </c>
      <c r="D17" s="1710">
        <f t="shared" si="2"/>
        <v>0</v>
      </c>
      <c r="E17" s="1710">
        <f t="shared" si="2"/>
        <v>0</v>
      </c>
      <c r="F17" s="1710">
        <f t="shared" si="2"/>
        <v>0</v>
      </c>
      <c r="G17" s="1710">
        <f t="shared" si="2"/>
        <v>0</v>
      </c>
      <c r="H17" s="1710">
        <f t="shared" si="2"/>
        <v>0</v>
      </c>
      <c r="I17" s="468"/>
      <c r="J17" s="1710">
        <f>SUM(J12:J16)</f>
        <v>0</v>
      </c>
      <c r="K17" s="1710">
        <f>SUM(K12:K16)</f>
        <v>0</v>
      </c>
      <c r="L17" s="347"/>
    </row>
    <row r="18" spans="1:12" ht="15" customHeight="1" thickTop="1" x14ac:dyDescent="0.2">
      <c r="A18" s="1766" t="s">
        <v>1753</v>
      </c>
      <c r="B18" s="1767">
        <v>4180</v>
      </c>
      <c r="C18" s="1764">
        <f t="shared" ref="C18:H18" si="3">C9</f>
        <v>1483984</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6318135</v>
      </c>
      <c r="D19" s="1710">
        <f t="shared" si="4"/>
        <v>0</v>
      </c>
      <c r="E19" s="1710">
        <f t="shared" si="4"/>
        <v>0</v>
      </c>
      <c r="F19" s="1710">
        <f t="shared" si="4"/>
        <v>0</v>
      </c>
      <c r="G19" s="1710">
        <f t="shared" si="4"/>
        <v>0</v>
      </c>
      <c r="H19" s="1710">
        <f t="shared" si="4"/>
        <v>0</v>
      </c>
      <c r="I19" s="468"/>
      <c r="J19" s="1710">
        <f>SUM(J17:J18)</f>
        <v>0</v>
      </c>
      <c r="K19" s="1710">
        <f>SUM(K17:K18)</f>
        <v>0</v>
      </c>
      <c r="L19" s="347"/>
    </row>
    <row r="20" spans="1:12" ht="16.5" thickTop="1" thickBot="1" x14ac:dyDescent="0.25">
      <c r="A20" s="2143" t="s">
        <v>1754</v>
      </c>
      <c r="B20" s="2144"/>
      <c r="C20" s="1768">
        <f>C8-C17</f>
        <v>848835</v>
      </c>
      <c r="D20" s="1768">
        <f t="shared" ref="D20:K20" si="5">D8-D17</f>
        <v>0</v>
      </c>
      <c r="E20" s="1768">
        <f t="shared" si="5"/>
        <v>0</v>
      </c>
      <c r="F20" s="1768">
        <f t="shared" si="5"/>
        <v>0</v>
      </c>
      <c r="G20" s="1768">
        <f t="shared" si="5"/>
        <v>0</v>
      </c>
      <c r="H20" s="1768">
        <f t="shared" si="5"/>
        <v>0</v>
      </c>
      <c r="I20" s="1768">
        <f t="shared" si="5"/>
        <v>0</v>
      </c>
      <c r="J20" s="1768">
        <f t="shared" si="5"/>
        <v>0</v>
      </c>
      <c r="K20" s="1768">
        <f t="shared" si="5"/>
        <v>0</v>
      </c>
      <c r="L20" s="347"/>
    </row>
    <row r="21" spans="1:12" ht="16.7" customHeight="1" thickTop="1" x14ac:dyDescent="0.2">
      <c r="A21" s="2155" t="s">
        <v>616</v>
      </c>
      <c r="B21" s="2156"/>
      <c r="C21" s="1592"/>
      <c r="D21" s="1593"/>
      <c r="E21" s="1593"/>
      <c r="F21" s="1593"/>
      <c r="G21" s="1593"/>
      <c r="H21" s="1593"/>
      <c r="I21" s="1593"/>
      <c r="J21" s="1593"/>
      <c r="K21" s="1594"/>
      <c r="L21" s="524"/>
    </row>
    <row r="22" spans="1:12" ht="15.75" customHeight="1" collapsed="1" x14ac:dyDescent="0.2">
      <c r="A22" s="2151" t="s">
        <v>617</v>
      </c>
      <c r="B22" s="2152"/>
      <c r="C22" s="477"/>
      <c r="D22" s="477"/>
      <c r="E22" s="477"/>
      <c r="F22" s="477"/>
      <c r="G22" s="477"/>
      <c r="H22" s="477"/>
      <c r="I22" s="477"/>
      <c r="J22" s="477"/>
      <c r="K22" s="477"/>
      <c r="L22" s="347"/>
    </row>
    <row r="23" spans="1:12" s="485" customFormat="1" ht="15.75" customHeight="1" x14ac:dyDescent="0.2">
      <c r="A23" s="2147" t="s">
        <v>311</v>
      </c>
      <c r="B23" s="2148"/>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1894</v>
      </c>
      <c r="B30" s="527">
        <v>7160</v>
      </c>
      <c r="C30" s="477"/>
      <c r="D30" s="467"/>
      <c r="E30" s="477"/>
      <c r="F30" s="477"/>
      <c r="G30" s="477"/>
      <c r="H30" s="477"/>
      <c r="I30" s="477"/>
      <c r="J30" s="477"/>
      <c r="K30" s="477"/>
      <c r="L30" s="524"/>
    </row>
    <row r="31" spans="1:12" s="485" customFormat="1" ht="26.25" x14ac:dyDescent="0.2">
      <c r="A31" s="1511" t="s">
        <v>1898</v>
      </c>
      <c r="B31" s="527">
        <v>7170</v>
      </c>
      <c r="C31" s="477"/>
      <c r="D31" s="477"/>
      <c r="E31" s="474"/>
      <c r="F31" s="477"/>
      <c r="G31" s="477"/>
      <c r="H31" s="477"/>
      <c r="I31" s="477"/>
      <c r="J31" s="477"/>
      <c r="K31" s="477"/>
      <c r="L31" s="524"/>
    </row>
    <row r="32" spans="1:12" s="485" customFormat="1" ht="15.75" customHeight="1" x14ac:dyDescent="0.2">
      <c r="A32" s="2149" t="s">
        <v>1038</v>
      </c>
      <c r="B32" s="2150"/>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7" t="s">
        <v>392</v>
      </c>
      <c r="B44" s="2158"/>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1" t="s">
        <v>110</v>
      </c>
      <c r="B45" s="2152"/>
      <c r="C45" s="528"/>
      <c r="D45" s="528"/>
      <c r="E45" s="528"/>
      <c r="F45" s="528"/>
      <c r="G45" s="528"/>
      <c r="H45" s="528"/>
      <c r="I45" s="528"/>
      <c r="J45" s="528"/>
      <c r="K45" s="528"/>
      <c r="L45" s="347"/>
    </row>
    <row r="46" spans="1:12" s="485" customFormat="1" ht="15.75" customHeight="1" x14ac:dyDescent="0.2">
      <c r="A46" s="2159" t="s">
        <v>111</v>
      </c>
      <c r="B46" s="2160"/>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1897</v>
      </c>
      <c r="B52" s="483">
        <v>8160</v>
      </c>
      <c r="C52" s="477"/>
      <c r="D52" s="477"/>
      <c r="E52" s="477"/>
      <c r="F52" s="477"/>
      <c r="G52" s="477"/>
      <c r="H52" s="477"/>
      <c r="I52" s="477"/>
      <c r="J52" s="477"/>
      <c r="K52" s="1765">
        <f>D30</f>
        <v>0</v>
      </c>
      <c r="L52" s="524"/>
    </row>
    <row r="53" spans="1:12" s="485" customFormat="1" ht="26.25" x14ac:dyDescent="0.2">
      <c r="A53" s="1512" t="s">
        <v>1896</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3" t="s">
        <v>460</v>
      </c>
      <c r="B76" s="2134"/>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5" t="s">
        <v>1239</v>
      </c>
      <c r="B77" s="2136"/>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39" t="s">
        <v>618</v>
      </c>
      <c r="B78" s="2140"/>
      <c r="C78" s="1724">
        <f t="shared" ref="C78:K78" si="9">C20+C77</f>
        <v>848835</v>
      </c>
      <c r="D78" s="1724">
        <f t="shared" si="9"/>
        <v>0</v>
      </c>
      <c r="E78" s="1724">
        <f t="shared" si="9"/>
        <v>0</v>
      </c>
      <c r="F78" s="1724">
        <f t="shared" si="9"/>
        <v>0</v>
      </c>
      <c r="G78" s="1724">
        <f t="shared" si="9"/>
        <v>0</v>
      </c>
      <c r="H78" s="1724">
        <f t="shared" si="9"/>
        <v>0</v>
      </c>
      <c r="I78" s="1724">
        <f t="shared" si="9"/>
        <v>0</v>
      </c>
      <c r="J78" s="1724">
        <f t="shared" si="9"/>
        <v>0</v>
      </c>
      <c r="K78" s="1724">
        <f t="shared" si="9"/>
        <v>0</v>
      </c>
      <c r="L78" s="533"/>
    </row>
    <row r="79" spans="1:12" ht="13.5" thickTop="1" x14ac:dyDescent="0.2">
      <c r="A79" s="1516" t="s">
        <v>2068</v>
      </c>
      <c r="B79" s="534"/>
      <c r="C79" s="478">
        <v>2693327</v>
      </c>
      <c r="D79" s="535"/>
      <c r="E79" s="535"/>
      <c r="F79" s="535"/>
      <c r="G79" s="535"/>
      <c r="H79" s="535"/>
      <c r="I79" s="535"/>
      <c r="J79" s="535"/>
      <c r="K79" s="535"/>
      <c r="L79" s="347"/>
    </row>
    <row r="80" spans="1:12" x14ac:dyDescent="0.2">
      <c r="A80" s="2145" t="s">
        <v>1895</v>
      </c>
      <c r="B80" s="2146"/>
      <c r="C80" s="467"/>
      <c r="D80" s="467"/>
      <c r="E80" s="467"/>
      <c r="F80" s="467"/>
      <c r="G80" s="467"/>
      <c r="H80" s="467"/>
      <c r="I80" s="467"/>
      <c r="J80" s="467"/>
      <c r="K80" s="467"/>
      <c r="L80" s="347"/>
    </row>
    <row r="81" spans="1:12" ht="13.5" thickBot="1" x14ac:dyDescent="0.25">
      <c r="A81" s="2137" t="s">
        <v>2069</v>
      </c>
      <c r="B81" s="2138"/>
      <c r="C81" s="1710">
        <f>(SUM(C78:C80))</f>
        <v>3542162</v>
      </c>
      <c r="D81" s="1710">
        <f>SUM(D78:D80)</f>
        <v>0</v>
      </c>
      <c r="E81" s="1710">
        <f t="shared" ref="E81:K81" si="10">SUM(E78:E80)</f>
        <v>0</v>
      </c>
      <c r="F81" s="1710">
        <f t="shared" si="10"/>
        <v>0</v>
      </c>
      <c r="G81" s="1710">
        <f t="shared" si="10"/>
        <v>0</v>
      </c>
      <c r="H81" s="1710">
        <f t="shared" si="10"/>
        <v>0</v>
      </c>
      <c r="I81" s="1710">
        <f t="shared" si="10"/>
        <v>0</v>
      </c>
      <c r="J81" s="1710">
        <f t="shared" si="10"/>
        <v>0</v>
      </c>
      <c r="K81" s="1710">
        <f t="shared" si="10"/>
        <v>0</v>
      </c>
      <c r="L81" s="347"/>
    </row>
    <row r="82" spans="1:12" ht="0.75" customHeight="1" thickTop="1" thickBot="1" x14ac:dyDescent="0.25">
      <c r="A82" s="536" t="s">
        <v>361</v>
      </c>
      <c r="B82" s="537"/>
      <c r="C82" s="538">
        <f>(C81-C79)</f>
        <v>848835</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362</v>
      </c>
      <c r="B83" s="464"/>
      <c r="C83" s="540">
        <f>C82/C81</f>
        <v>0.23963754339863619</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1" t="s">
        <v>1902</v>
      </c>
      <c r="B1" s="452"/>
      <c r="C1" s="453" t="s">
        <v>445</v>
      </c>
      <c r="D1" s="453" t="s">
        <v>446</v>
      </c>
      <c r="E1" s="453" t="s">
        <v>447</v>
      </c>
      <c r="F1" s="453" t="s">
        <v>448</v>
      </c>
      <c r="G1" s="453" t="s">
        <v>449</v>
      </c>
      <c r="H1" s="453" t="s">
        <v>450</v>
      </c>
      <c r="I1" s="453" t="s">
        <v>451</v>
      </c>
      <c r="J1" s="453" t="s">
        <v>452</v>
      </c>
      <c r="K1" s="453" t="s">
        <v>780</v>
      </c>
    </row>
    <row r="2" spans="1:12" ht="36" x14ac:dyDescent="0.2">
      <c r="A2" s="2142"/>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c r="D5" s="481"/>
      <c r="E5" s="466"/>
      <c r="F5" s="548"/>
      <c r="G5" s="466"/>
      <c r="H5" s="466"/>
      <c r="I5" s="466"/>
      <c r="J5" s="467"/>
      <c r="K5" s="466"/>
    </row>
    <row r="6" spans="1:12" ht="15" x14ac:dyDescent="0.2">
      <c r="A6" s="463" t="s">
        <v>1761</v>
      </c>
      <c r="B6" s="470">
        <v>1130</v>
      </c>
      <c r="C6" s="466"/>
      <c r="D6" s="466"/>
      <c r="E6" s="475"/>
      <c r="F6" s="475"/>
      <c r="G6" s="468"/>
      <c r="H6" s="468"/>
      <c r="I6" s="468"/>
      <c r="J6" s="468"/>
      <c r="K6" s="468"/>
    </row>
    <row r="7" spans="1:12" x14ac:dyDescent="0.2">
      <c r="A7" s="463" t="s">
        <v>112</v>
      </c>
      <c r="B7" s="549">
        <v>1140</v>
      </c>
      <c r="C7" s="466"/>
      <c r="D7" s="466"/>
      <c r="E7" s="468"/>
      <c r="F7" s="467"/>
      <c r="G7" s="467"/>
      <c r="H7" s="467"/>
      <c r="I7" s="468"/>
      <c r="J7" s="468"/>
      <c r="K7" s="468"/>
    </row>
    <row r="8" spans="1:12" x14ac:dyDescent="0.2">
      <c r="A8" s="463" t="s">
        <v>433</v>
      </c>
      <c r="B8" s="470">
        <v>1150</v>
      </c>
      <c r="C8" s="475"/>
      <c r="D8" s="475"/>
      <c r="E8" s="477"/>
      <c r="F8" s="477"/>
      <c r="G8" s="481"/>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0</v>
      </c>
      <c r="D12" s="1729">
        <f t="shared" si="0"/>
        <v>0</v>
      </c>
      <c r="E12" s="1729">
        <f t="shared" si="0"/>
        <v>0</v>
      </c>
      <c r="F12" s="1729">
        <f t="shared" si="0"/>
        <v>0</v>
      </c>
      <c r="G12" s="1729">
        <f t="shared" si="0"/>
        <v>0</v>
      </c>
      <c r="H12" s="1729">
        <f t="shared" si="0"/>
        <v>0</v>
      </c>
      <c r="I12" s="1729">
        <f t="shared" si="0"/>
        <v>0</v>
      </c>
      <c r="J12" s="1729">
        <f t="shared" si="0"/>
        <v>0</v>
      </c>
      <c r="K12" s="1710">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0</v>
      </c>
      <c r="D18" s="1732">
        <f t="shared" ref="D18:K18" si="1">SUM(D14:D17)</f>
        <v>0</v>
      </c>
      <c r="E18" s="1732">
        <f t="shared" si="1"/>
        <v>0</v>
      </c>
      <c r="F18" s="1732">
        <f t="shared" si="1"/>
        <v>0</v>
      </c>
      <c r="G18" s="1732">
        <f t="shared" si="1"/>
        <v>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v>2030734</v>
      </c>
      <c r="D33" s="468"/>
      <c r="E33" s="468"/>
      <c r="F33" s="468"/>
      <c r="G33" s="468"/>
      <c r="H33" s="468"/>
      <c r="I33" s="468"/>
      <c r="J33" s="468"/>
      <c r="K33" s="468"/>
    </row>
    <row r="34" spans="1:11" ht="12.75" customHeight="1" x14ac:dyDescent="0.2">
      <c r="A34" s="463" t="s">
        <v>516</v>
      </c>
      <c r="B34" s="470">
        <v>1343</v>
      </c>
      <c r="C34" s="551">
        <v>171699</v>
      </c>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2202433</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30354</v>
      </c>
      <c r="D65" s="466"/>
      <c r="E65" s="466"/>
      <c r="F65" s="467"/>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30354</v>
      </c>
      <c r="D67" s="1710">
        <f t="shared" ref="D67:K67" si="2">SUM(D65:D66)</f>
        <v>0</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339</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339</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0</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v>3500</v>
      </c>
      <c r="D95" s="551"/>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v>294833</v>
      </c>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45177</v>
      </c>
      <c r="D107" s="466"/>
      <c r="E107" s="466"/>
      <c r="F107" s="466"/>
      <c r="G107" s="466"/>
      <c r="H107" s="466"/>
      <c r="I107" s="466"/>
      <c r="J107" s="467"/>
      <c r="K107" s="466"/>
    </row>
    <row r="108" spans="1:12" ht="12.75" customHeight="1" thickBot="1" x14ac:dyDescent="0.25">
      <c r="A108" s="1730" t="s">
        <v>508</v>
      </c>
      <c r="B108" s="1734"/>
      <c r="C108" s="1729">
        <f>SUM(C95:C107)</f>
        <v>343510</v>
      </c>
      <c r="D108" s="1729">
        <f t="shared" ref="D108:K108" si="3">SUM(D95:D107)</f>
        <v>0</v>
      </c>
      <c r="E108" s="1729">
        <f t="shared" si="3"/>
        <v>0</v>
      </c>
      <c r="F108" s="1729">
        <f t="shared" si="3"/>
        <v>0</v>
      </c>
      <c r="G108" s="1729">
        <f t="shared" si="3"/>
        <v>0</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2576636</v>
      </c>
      <c r="D109" s="1737">
        <f t="shared" si="4"/>
        <v>0</v>
      </c>
      <c r="E109" s="1737">
        <f t="shared" si="4"/>
        <v>0</v>
      </c>
      <c r="F109" s="1737">
        <f t="shared" si="4"/>
        <v>0</v>
      </c>
      <c r="G109" s="1737">
        <f t="shared" si="4"/>
        <v>0</v>
      </c>
      <c r="H109" s="1737">
        <f t="shared" si="4"/>
        <v>0</v>
      </c>
      <c r="I109" s="1737">
        <f t="shared" si="4"/>
        <v>0</v>
      </c>
      <c r="J109" s="1737">
        <f t="shared" si="4"/>
        <v>0</v>
      </c>
      <c r="K109" s="1724">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350468</v>
      </c>
      <c r="D117" s="481"/>
      <c r="E117" s="466"/>
      <c r="F117" s="481"/>
      <c r="G117" s="481"/>
      <c r="H117" s="466"/>
      <c r="I117" s="468"/>
      <c r="J117" s="467"/>
      <c r="K117" s="466"/>
    </row>
    <row r="118" spans="1:11" ht="12.75" customHeight="1" x14ac:dyDescent="0.2">
      <c r="A118" s="463" t="s">
        <v>1899</v>
      </c>
      <c r="B118" s="562">
        <v>3002</v>
      </c>
      <c r="C118" s="551"/>
      <c r="D118" s="466"/>
      <c r="E118" s="466"/>
      <c r="F118" s="466"/>
      <c r="G118" s="466"/>
      <c r="H118" s="466"/>
      <c r="I118" s="468"/>
      <c r="J118" s="467"/>
      <c r="K118" s="466"/>
    </row>
    <row r="119" spans="1:11" ht="12.75" customHeight="1" x14ac:dyDescent="0.2">
      <c r="A119" s="463" t="s">
        <v>1900</v>
      </c>
      <c r="B119" s="562">
        <v>3005</v>
      </c>
      <c r="C119" s="551"/>
      <c r="D119" s="466"/>
      <c r="E119" s="466"/>
      <c r="F119" s="466"/>
      <c r="G119" s="466"/>
      <c r="H119" s="466"/>
      <c r="I119" s="468"/>
      <c r="J119" s="467"/>
      <c r="K119" s="466"/>
    </row>
    <row r="120" spans="1:11" x14ac:dyDescent="0.2">
      <c r="A120" s="1518" t="s">
        <v>1901</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350468</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c r="D125" s="561"/>
      <c r="E125" s="468"/>
      <c r="F125" s="466"/>
      <c r="G125" s="468"/>
      <c r="H125" s="468"/>
      <c r="I125" s="468"/>
      <c r="J125" s="468"/>
      <c r="K125" s="468"/>
    </row>
    <row r="126" spans="1:11" ht="12.75" customHeight="1" x14ac:dyDescent="0.2">
      <c r="A126" s="463" t="s">
        <v>922</v>
      </c>
      <c r="B126" s="562">
        <v>3110</v>
      </c>
      <c r="C126" s="551">
        <v>175774</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175774</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0</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368</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c r="G151" s="467"/>
      <c r="H151" s="468"/>
      <c r="I151" s="468"/>
      <c r="J151" s="468"/>
      <c r="K151" s="468"/>
    </row>
    <row r="152" spans="1:11" ht="12.75" customHeight="1" x14ac:dyDescent="0.2">
      <c r="A152" s="463" t="s">
        <v>1117</v>
      </c>
      <c r="B152" s="562">
        <v>3510</v>
      </c>
      <c r="C152" s="551"/>
      <c r="D152" s="466"/>
      <c r="E152" s="561"/>
      <c r="F152" s="466"/>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0</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57958</v>
      </c>
      <c r="D171" s="580"/>
      <c r="E171" s="580"/>
      <c r="F171" s="580"/>
      <c r="G171" s="581"/>
      <c r="H171" s="582"/>
      <c r="I171" s="581"/>
      <c r="J171" s="581"/>
      <c r="K171" s="582"/>
    </row>
    <row r="172" spans="1:11" ht="12.75" customHeight="1" thickTop="1" thickBot="1" x14ac:dyDescent="0.25">
      <c r="A172" s="2161" t="s">
        <v>418</v>
      </c>
      <c r="B172" s="2162"/>
      <c r="C172" s="1744">
        <f t="shared" ref="C172:K172" si="6">SUM(C131,C140,C144,C145:C149,C154,C155:C170,C171)</f>
        <v>234100</v>
      </c>
      <c r="D172" s="1744">
        <f t="shared" si="6"/>
        <v>0</v>
      </c>
      <c r="E172" s="1744">
        <f t="shared" si="6"/>
        <v>0</v>
      </c>
      <c r="F172" s="1744">
        <f t="shared" si="6"/>
        <v>0</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584568</v>
      </c>
      <c r="D173" s="1737">
        <f>SUM(D121,D172)</f>
        <v>0</v>
      </c>
      <c r="E173" s="1737">
        <f>SUM(E121,E172)</f>
        <v>0</v>
      </c>
      <c r="F173" s="1737">
        <f t="shared" ref="F173:K173" si="7">SUM(F121,F172)</f>
        <v>0</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3" t="s">
        <v>1572</v>
      </c>
      <c r="B175" s="2164"/>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7" t="s">
        <v>1764</v>
      </c>
      <c r="B178" s="2168"/>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1" t="s">
        <v>1763</v>
      </c>
      <c r="B179" s="2172"/>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9" t="s">
        <v>818</v>
      </c>
      <c r="B184" s="2170"/>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5" t="s">
        <v>1903</v>
      </c>
      <c r="B185" s="2166"/>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18590</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5048</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23638</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0</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v>94675</v>
      </c>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2072636</v>
      </c>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2167311</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38451</v>
      </c>
      <c r="D270" s="576"/>
      <c r="E270" s="468"/>
      <c r="F270" s="576"/>
      <c r="G270" s="576"/>
      <c r="H270" s="468"/>
      <c r="I270" s="468"/>
      <c r="J270" s="468"/>
      <c r="K270" s="468"/>
    </row>
    <row r="271" spans="1:11" ht="12.75" customHeight="1" thickTop="1" thickBot="1" x14ac:dyDescent="0.25">
      <c r="A271" s="463" t="s">
        <v>395</v>
      </c>
      <c r="B271" s="470">
        <v>4992</v>
      </c>
      <c r="C271" s="575">
        <v>215842</v>
      </c>
      <c r="D271" s="576"/>
      <c r="E271" s="468"/>
      <c r="F271" s="576"/>
      <c r="G271" s="576"/>
      <c r="H271" s="468"/>
      <c r="I271" s="468"/>
      <c r="J271" s="468"/>
      <c r="K271" s="468"/>
    </row>
    <row r="272" spans="1:11" s="594" customFormat="1" ht="12.75" customHeight="1" thickTop="1" thickBot="1" x14ac:dyDescent="0.25">
      <c r="A272" s="563" t="s">
        <v>77</v>
      </c>
      <c r="B272" s="557">
        <v>4999</v>
      </c>
      <c r="C272" s="575">
        <v>76540</v>
      </c>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2521782</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2521782</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5682986</v>
      </c>
      <c r="D275" s="1737">
        <f t="shared" si="12"/>
        <v>0</v>
      </c>
      <c r="E275" s="1737">
        <f t="shared" si="12"/>
        <v>0</v>
      </c>
      <c r="F275" s="1737">
        <f t="shared" si="12"/>
        <v>0</v>
      </c>
      <c r="G275" s="1737">
        <f t="shared" si="12"/>
        <v>0</v>
      </c>
      <c r="H275" s="1737">
        <f t="shared" si="12"/>
        <v>0</v>
      </c>
      <c r="I275" s="1737">
        <f t="shared" si="12"/>
        <v>0</v>
      </c>
      <c r="J275" s="1737">
        <f t="shared" si="12"/>
        <v>0</v>
      </c>
      <c r="K275" s="1724">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pane="bottomLeft"/>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1" t="s">
        <v>1902</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5"/>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1" t="s">
        <v>315</v>
      </c>
      <c r="B3" s="2182"/>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c r="D5" s="466"/>
      <c r="E5" s="466"/>
      <c r="F5" s="466"/>
      <c r="G5" s="466"/>
      <c r="H5" s="466"/>
      <c r="I5" s="467"/>
      <c r="J5" s="467"/>
      <c r="K5" s="1693">
        <f>SUM(C5:J5)</f>
        <v>0</v>
      </c>
      <c r="L5" s="466"/>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v>813206</v>
      </c>
      <c r="D8" s="466">
        <v>254233</v>
      </c>
      <c r="E8" s="466">
        <v>44448</v>
      </c>
      <c r="F8" s="466">
        <v>26577</v>
      </c>
      <c r="G8" s="466"/>
      <c r="H8" s="466"/>
      <c r="I8" s="467"/>
      <c r="J8" s="467"/>
      <c r="K8" s="1693">
        <f t="shared" si="0"/>
        <v>1138464</v>
      </c>
      <c r="L8" s="466">
        <v>1197229</v>
      </c>
    </row>
    <row r="9" spans="1:14" x14ac:dyDescent="0.2">
      <c r="A9" s="1526" t="s">
        <v>745</v>
      </c>
      <c r="B9" s="615" t="s">
        <v>1025</v>
      </c>
      <c r="C9" s="467"/>
      <c r="D9" s="467"/>
      <c r="E9" s="467">
        <v>199</v>
      </c>
      <c r="F9" s="467">
        <v>1005</v>
      </c>
      <c r="G9" s="467"/>
      <c r="H9" s="467"/>
      <c r="I9" s="467"/>
      <c r="J9" s="467"/>
      <c r="K9" s="1693">
        <f t="shared" si="0"/>
        <v>1204</v>
      </c>
      <c r="L9" s="466">
        <v>1505</v>
      </c>
    </row>
    <row r="10" spans="1:14" x14ac:dyDescent="0.2">
      <c r="A10" s="1526" t="s">
        <v>746</v>
      </c>
      <c r="B10" s="615">
        <v>1250</v>
      </c>
      <c r="C10" s="466"/>
      <c r="D10" s="466"/>
      <c r="E10" s="466"/>
      <c r="F10" s="466"/>
      <c r="G10" s="466"/>
      <c r="H10" s="466"/>
      <c r="I10" s="467"/>
      <c r="J10" s="467"/>
      <c r="K10" s="1693">
        <f t="shared" si="0"/>
        <v>0</v>
      </c>
      <c r="L10" s="466"/>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v>83323</v>
      </c>
      <c r="D13" s="466">
        <v>18757</v>
      </c>
      <c r="E13" s="466">
        <v>7422</v>
      </c>
      <c r="F13" s="466">
        <v>8339</v>
      </c>
      <c r="G13" s="466"/>
      <c r="H13" s="466"/>
      <c r="I13" s="467"/>
      <c r="J13" s="467"/>
      <c r="K13" s="1693">
        <f t="shared" si="0"/>
        <v>117841</v>
      </c>
      <c r="L13" s="466">
        <v>123301</v>
      </c>
    </row>
    <row r="14" spans="1:14" x14ac:dyDescent="0.2">
      <c r="A14" s="1526" t="s">
        <v>1020</v>
      </c>
      <c r="B14" s="615">
        <v>1500</v>
      </c>
      <c r="C14" s="466"/>
      <c r="D14" s="466"/>
      <c r="E14" s="466"/>
      <c r="F14" s="466"/>
      <c r="G14" s="466"/>
      <c r="H14" s="466"/>
      <c r="I14" s="467"/>
      <c r="J14" s="467"/>
      <c r="K14" s="1693">
        <f t="shared" si="0"/>
        <v>0</v>
      </c>
      <c r="L14" s="466"/>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v>169364</v>
      </c>
      <c r="D19" s="466">
        <v>33493</v>
      </c>
      <c r="E19" s="466">
        <v>4513</v>
      </c>
      <c r="F19" s="466">
        <v>31249</v>
      </c>
      <c r="G19" s="466"/>
      <c r="H19" s="466"/>
      <c r="I19" s="467"/>
      <c r="J19" s="467"/>
      <c r="K19" s="1693">
        <f t="shared" si="0"/>
        <v>238619</v>
      </c>
      <c r="L19" s="466">
        <v>194414</v>
      </c>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1065893</v>
      </c>
      <c r="D33" s="1692">
        <f t="shared" ref="D33:L33" si="1">SUM(D5:D32)</f>
        <v>306483</v>
      </c>
      <c r="E33" s="1692">
        <f t="shared" si="1"/>
        <v>56582</v>
      </c>
      <c r="F33" s="1692">
        <f t="shared" si="1"/>
        <v>67170</v>
      </c>
      <c r="G33" s="1692">
        <f t="shared" si="1"/>
        <v>0</v>
      </c>
      <c r="H33" s="1692">
        <f t="shared" si="1"/>
        <v>0</v>
      </c>
      <c r="I33" s="1692">
        <f t="shared" si="1"/>
        <v>0</v>
      </c>
      <c r="J33" s="1692">
        <f t="shared" si="1"/>
        <v>0</v>
      </c>
      <c r="K33" s="1692">
        <f t="shared" si="1"/>
        <v>1496128</v>
      </c>
      <c r="L33" s="1692">
        <f t="shared" si="1"/>
        <v>1516449</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495237</v>
      </c>
      <c r="D36" s="481">
        <v>120547</v>
      </c>
      <c r="E36" s="481">
        <v>18326</v>
      </c>
      <c r="F36" s="481">
        <v>4257</v>
      </c>
      <c r="G36" s="481"/>
      <c r="H36" s="481"/>
      <c r="I36" s="467">
        <v>1340</v>
      </c>
      <c r="J36" s="467"/>
      <c r="K36" s="1693">
        <f t="shared" ref="K36:K41" si="2">SUM(C36:J36)</f>
        <v>639707</v>
      </c>
      <c r="L36" s="466">
        <v>648707</v>
      </c>
    </row>
    <row r="37" spans="1:14" x14ac:dyDescent="0.2">
      <c r="A37" s="1526" t="s">
        <v>1151</v>
      </c>
      <c r="B37" s="615">
        <v>2120</v>
      </c>
      <c r="C37" s="466"/>
      <c r="D37" s="466"/>
      <c r="E37" s="466"/>
      <c r="F37" s="466"/>
      <c r="G37" s="466"/>
      <c r="H37" s="466"/>
      <c r="I37" s="467"/>
      <c r="J37" s="467"/>
      <c r="K37" s="1693">
        <f t="shared" si="2"/>
        <v>0</v>
      </c>
      <c r="L37" s="466"/>
    </row>
    <row r="38" spans="1:14" x14ac:dyDescent="0.2">
      <c r="A38" s="1526" t="s">
        <v>207</v>
      </c>
      <c r="B38" s="615">
        <v>2130</v>
      </c>
      <c r="C38" s="466">
        <v>270575</v>
      </c>
      <c r="D38" s="466">
        <v>86501</v>
      </c>
      <c r="E38" s="466">
        <v>12009</v>
      </c>
      <c r="F38" s="466">
        <v>2872</v>
      </c>
      <c r="G38" s="466"/>
      <c r="H38" s="466"/>
      <c r="I38" s="467">
        <v>524</v>
      </c>
      <c r="J38" s="467"/>
      <c r="K38" s="1693">
        <f t="shared" si="2"/>
        <v>372481</v>
      </c>
      <c r="L38" s="466">
        <v>384806</v>
      </c>
    </row>
    <row r="39" spans="1:14" x14ac:dyDescent="0.2">
      <c r="A39" s="1526" t="s">
        <v>208</v>
      </c>
      <c r="B39" s="615">
        <v>2140</v>
      </c>
      <c r="C39" s="466">
        <v>301377</v>
      </c>
      <c r="D39" s="466">
        <v>62532</v>
      </c>
      <c r="E39" s="466">
        <v>103067</v>
      </c>
      <c r="F39" s="466">
        <v>4390</v>
      </c>
      <c r="G39" s="466"/>
      <c r="H39" s="466"/>
      <c r="I39" s="467">
        <v>1974</v>
      </c>
      <c r="J39" s="467"/>
      <c r="K39" s="1693">
        <f t="shared" si="2"/>
        <v>473340</v>
      </c>
      <c r="L39" s="466">
        <v>508064</v>
      </c>
    </row>
    <row r="40" spans="1:14" x14ac:dyDescent="0.2">
      <c r="A40" s="1526" t="s">
        <v>209</v>
      </c>
      <c r="B40" s="615">
        <v>2150</v>
      </c>
      <c r="C40" s="466">
        <v>284586</v>
      </c>
      <c r="D40" s="466">
        <v>72738</v>
      </c>
      <c r="E40" s="466">
        <v>240108</v>
      </c>
      <c r="F40" s="466">
        <v>4197</v>
      </c>
      <c r="G40" s="466"/>
      <c r="H40" s="466"/>
      <c r="I40" s="467">
        <v>3336</v>
      </c>
      <c r="J40" s="467"/>
      <c r="K40" s="1693">
        <f t="shared" si="2"/>
        <v>604965</v>
      </c>
      <c r="L40" s="466">
        <v>618411</v>
      </c>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1351775</v>
      </c>
      <c r="D42" s="1692">
        <f t="shared" ref="D42:L42" si="3">SUM(D36:D41)</f>
        <v>342318</v>
      </c>
      <c r="E42" s="1692">
        <f t="shared" si="3"/>
        <v>373510</v>
      </c>
      <c r="F42" s="1692">
        <f t="shared" si="3"/>
        <v>15716</v>
      </c>
      <c r="G42" s="1692">
        <f t="shared" si="3"/>
        <v>0</v>
      </c>
      <c r="H42" s="1692">
        <f t="shared" si="3"/>
        <v>0</v>
      </c>
      <c r="I42" s="1692">
        <f t="shared" si="3"/>
        <v>7174</v>
      </c>
      <c r="J42" s="1692">
        <f t="shared" si="3"/>
        <v>0</v>
      </c>
      <c r="K42" s="1692">
        <f t="shared" si="3"/>
        <v>2090493</v>
      </c>
      <c r="L42" s="1692">
        <f t="shared" si="3"/>
        <v>2159988</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1270</v>
      </c>
      <c r="D44" s="481">
        <v>248</v>
      </c>
      <c r="E44" s="481">
        <v>94249</v>
      </c>
      <c r="F44" s="481">
        <v>20380</v>
      </c>
      <c r="G44" s="481"/>
      <c r="H44" s="481"/>
      <c r="I44" s="467">
        <v>2010</v>
      </c>
      <c r="J44" s="467"/>
      <c r="K44" s="1694">
        <f>SUM(C44:J44)</f>
        <v>118157</v>
      </c>
      <c r="L44" s="481">
        <v>130681</v>
      </c>
    </row>
    <row r="45" spans="1:14" x14ac:dyDescent="0.2">
      <c r="A45" s="1526" t="s">
        <v>869</v>
      </c>
      <c r="B45" s="615">
        <v>2220</v>
      </c>
      <c r="C45" s="466"/>
      <c r="D45" s="466"/>
      <c r="E45" s="466"/>
      <c r="F45" s="466"/>
      <c r="G45" s="466"/>
      <c r="H45" s="466"/>
      <c r="I45" s="467"/>
      <c r="J45" s="467"/>
      <c r="K45" s="1694">
        <f>SUM(C45:J45)</f>
        <v>0</v>
      </c>
      <c r="L45" s="466"/>
    </row>
    <row r="46" spans="1:14" x14ac:dyDescent="0.2">
      <c r="A46" s="1526" t="s">
        <v>870</v>
      </c>
      <c r="B46" s="615">
        <v>2230</v>
      </c>
      <c r="C46" s="466"/>
      <c r="D46" s="466"/>
      <c r="E46" s="466"/>
      <c r="F46" s="466"/>
      <c r="G46" s="466"/>
      <c r="H46" s="466"/>
      <c r="I46" s="467"/>
      <c r="J46" s="467"/>
      <c r="K46" s="1694">
        <f>SUM(C46:J46)</f>
        <v>0</v>
      </c>
      <c r="L46" s="466"/>
    </row>
    <row r="47" spans="1:14" ht="12.75" customHeight="1" thickBot="1" x14ac:dyDescent="0.25">
      <c r="A47" s="1690" t="s">
        <v>582</v>
      </c>
      <c r="B47" s="1691" t="s">
        <v>32</v>
      </c>
      <c r="C47" s="1692">
        <f>SUM(C44:C46)</f>
        <v>1270</v>
      </c>
      <c r="D47" s="1692">
        <f t="shared" ref="D47:K47" si="4">SUM(D44:D46)</f>
        <v>248</v>
      </c>
      <c r="E47" s="1692">
        <f t="shared" si="4"/>
        <v>94249</v>
      </c>
      <c r="F47" s="1692">
        <f t="shared" si="4"/>
        <v>20380</v>
      </c>
      <c r="G47" s="1692">
        <f t="shared" si="4"/>
        <v>0</v>
      </c>
      <c r="H47" s="1692">
        <f t="shared" si="4"/>
        <v>0</v>
      </c>
      <c r="I47" s="1692">
        <f t="shared" si="4"/>
        <v>2010</v>
      </c>
      <c r="J47" s="1692">
        <f t="shared" si="4"/>
        <v>0</v>
      </c>
      <c r="K47" s="1692">
        <f t="shared" si="4"/>
        <v>118157</v>
      </c>
      <c r="L47" s="1692">
        <f>SUM(L44:L46)</f>
        <v>130681</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c r="D49" s="481"/>
      <c r="E49" s="481"/>
      <c r="F49" s="481"/>
      <c r="G49" s="481"/>
      <c r="H49" s="481"/>
      <c r="I49" s="467"/>
      <c r="J49" s="467"/>
      <c r="K49" s="1694">
        <f>SUM(C49:J49)</f>
        <v>0</v>
      </c>
      <c r="L49" s="481"/>
    </row>
    <row r="50" spans="1:14" x14ac:dyDescent="0.2">
      <c r="A50" s="1526" t="s">
        <v>872</v>
      </c>
      <c r="B50" s="615">
        <v>2320</v>
      </c>
      <c r="C50" s="466">
        <v>362854</v>
      </c>
      <c r="D50" s="466">
        <v>105668</v>
      </c>
      <c r="E50" s="466">
        <v>130290</v>
      </c>
      <c r="F50" s="466">
        <v>5304</v>
      </c>
      <c r="G50" s="466"/>
      <c r="H50" s="466">
        <v>18774</v>
      </c>
      <c r="I50" s="467"/>
      <c r="J50" s="467"/>
      <c r="K50" s="1694">
        <f>SUM(C50:J50)</f>
        <v>622890</v>
      </c>
      <c r="L50" s="466">
        <v>665252</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362854</v>
      </c>
      <c r="D53" s="1692">
        <f t="shared" ref="D53:L53" si="5">SUM(D49:D52)</f>
        <v>105668</v>
      </c>
      <c r="E53" s="1692">
        <f t="shared" si="5"/>
        <v>130290</v>
      </c>
      <c r="F53" s="1692">
        <f t="shared" si="5"/>
        <v>5304</v>
      </c>
      <c r="G53" s="1692">
        <f t="shared" si="5"/>
        <v>0</v>
      </c>
      <c r="H53" s="1692">
        <f t="shared" si="5"/>
        <v>18774</v>
      </c>
      <c r="I53" s="1692">
        <f t="shared" si="5"/>
        <v>0</v>
      </c>
      <c r="J53" s="1692">
        <f t="shared" si="5"/>
        <v>0</v>
      </c>
      <c r="K53" s="1692">
        <f t="shared" si="5"/>
        <v>622890</v>
      </c>
      <c r="L53" s="1692">
        <f t="shared" si="5"/>
        <v>665252</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c r="D55" s="481"/>
      <c r="E55" s="481"/>
      <c r="F55" s="481"/>
      <c r="G55" s="481"/>
      <c r="H55" s="481"/>
      <c r="I55" s="467"/>
      <c r="J55" s="467"/>
      <c r="K55" s="1694">
        <f>SUM(C55:J55)</f>
        <v>0</v>
      </c>
      <c r="L55" s="481"/>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0</v>
      </c>
      <c r="D57" s="1696">
        <f t="shared" ref="D57:K57" si="6">SUM(D55:D56)</f>
        <v>0</v>
      </c>
      <c r="E57" s="1696">
        <f t="shared" si="6"/>
        <v>0</v>
      </c>
      <c r="F57" s="1696">
        <f t="shared" si="6"/>
        <v>0</v>
      </c>
      <c r="G57" s="1696">
        <f t="shared" si="6"/>
        <v>0</v>
      </c>
      <c r="H57" s="1696">
        <f t="shared" si="6"/>
        <v>0</v>
      </c>
      <c r="I57" s="1696">
        <f t="shared" si="6"/>
        <v>0</v>
      </c>
      <c r="J57" s="1696">
        <f t="shared" si="6"/>
        <v>0</v>
      </c>
      <c r="K57" s="1696">
        <f t="shared" si="6"/>
        <v>0</v>
      </c>
      <c r="L57" s="1692">
        <f>SUM(L55:L56)</f>
        <v>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37913</v>
      </c>
      <c r="D60" s="466">
        <v>7809</v>
      </c>
      <c r="E60" s="466">
        <v>442</v>
      </c>
      <c r="F60" s="466">
        <v>533</v>
      </c>
      <c r="G60" s="466"/>
      <c r="H60" s="466"/>
      <c r="I60" s="467"/>
      <c r="J60" s="467"/>
      <c r="K60" s="1694">
        <f t="shared" si="7"/>
        <v>46697</v>
      </c>
      <c r="L60" s="466">
        <v>47757</v>
      </c>
      <c r="M60" s="610"/>
      <c r="N60" s="610"/>
    </row>
    <row r="61" spans="1:14" s="343" customFormat="1" x14ac:dyDescent="0.2">
      <c r="A61" s="1526" t="s">
        <v>206</v>
      </c>
      <c r="B61" s="615">
        <v>2540</v>
      </c>
      <c r="C61" s="466">
        <v>89293</v>
      </c>
      <c r="D61" s="466">
        <v>26423</v>
      </c>
      <c r="E61" s="466">
        <v>209570</v>
      </c>
      <c r="F61" s="466">
        <v>89276</v>
      </c>
      <c r="G61" s="466"/>
      <c r="H61" s="466"/>
      <c r="I61" s="467"/>
      <c r="J61" s="467"/>
      <c r="K61" s="1694">
        <f t="shared" si="7"/>
        <v>414562</v>
      </c>
      <c r="L61" s="466">
        <v>440605</v>
      </c>
      <c r="M61" s="610"/>
      <c r="N61" s="610"/>
    </row>
    <row r="62" spans="1:14" s="343" customFormat="1" x14ac:dyDescent="0.2">
      <c r="A62" s="1526" t="s">
        <v>1010</v>
      </c>
      <c r="B62" s="615">
        <v>2550</v>
      </c>
      <c r="C62" s="466"/>
      <c r="D62" s="466"/>
      <c r="E62" s="466">
        <v>10897</v>
      </c>
      <c r="F62" s="466"/>
      <c r="G62" s="466"/>
      <c r="H62" s="466"/>
      <c r="I62" s="467"/>
      <c r="J62" s="467"/>
      <c r="K62" s="1694">
        <f t="shared" si="7"/>
        <v>10897</v>
      </c>
      <c r="L62" s="466">
        <v>12000</v>
      </c>
      <c r="M62" s="610"/>
      <c r="N62" s="610"/>
    </row>
    <row r="63" spans="1:14" s="610" customFormat="1" x14ac:dyDescent="0.2">
      <c r="A63" s="1526" t="s">
        <v>102</v>
      </c>
      <c r="B63" s="615">
        <v>2560</v>
      </c>
      <c r="C63" s="466"/>
      <c r="D63" s="466"/>
      <c r="E63" s="466">
        <v>31851</v>
      </c>
      <c r="F63" s="466">
        <v>1235</v>
      </c>
      <c r="G63" s="466"/>
      <c r="H63" s="466"/>
      <c r="I63" s="467"/>
      <c r="J63" s="467"/>
      <c r="K63" s="1694">
        <f t="shared" si="7"/>
        <v>33086</v>
      </c>
      <c r="L63" s="466">
        <v>40565</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127206</v>
      </c>
      <c r="D65" s="1692">
        <f t="shared" ref="D65:L65" si="8">SUM(D59:D64)</f>
        <v>34232</v>
      </c>
      <c r="E65" s="1692">
        <f t="shared" si="8"/>
        <v>252760</v>
      </c>
      <c r="F65" s="1692">
        <f t="shared" si="8"/>
        <v>91044</v>
      </c>
      <c r="G65" s="1692">
        <f t="shared" si="8"/>
        <v>0</v>
      </c>
      <c r="H65" s="1692">
        <f t="shared" si="8"/>
        <v>0</v>
      </c>
      <c r="I65" s="1692">
        <f t="shared" si="8"/>
        <v>0</v>
      </c>
      <c r="J65" s="1692">
        <f t="shared" si="8"/>
        <v>0</v>
      </c>
      <c r="K65" s="1692">
        <f t="shared" si="8"/>
        <v>505242</v>
      </c>
      <c r="L65" s="1692">
        <f t="shared" si="8"/>
        <v>540927</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v>878</v>
      </c>
      <c r="G69" s="466"/>
      <c r="H69" s="466"/>
      <c r="I69" s="467"/>
      <c r="J69" s="467"/>
      <c r="K69" s="1694">
        <f>SUM(C69:J69)</f>
        <v>878</v>
      </c>
      <c r="L69" s="466">
        <v>1000</v>
      </c>
      <c r="M69" s="610"/>
      <c r="N69" s="610"/>
    </row>
    <row r="70" spans="1:14" s="343" customFormat="1" x14ac:dyDescent="0.2">
      <c r="A70" s="1526" t="s">
        <v>423</v>
      </c>
      <c r="B70" s="615">
        <v>2640</v>
      </c>
      <c r="C70" s="466"/>
      <c r="D70" s="466"/>
      <c r="E70" s="466"/>
      <c r="F70" s="466">
        <v>270</v>
      </c>
      <c r="G70" s="466"/>
      <c r="H70" s="466"/>
      <c r="I70" s="467"/>
      <c r="J70" s="467"/>
      <c r="K70" s="1694">
        <f>SUM(C70:J70)</f>
        <v>270</v>
      </c>
      <c r="L70" s="466">
        <v>1000</v>
      </c>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1148</v>
      </c>
      <c r="G72" s="1692">
        <f t="shared" si="9"/>
        <v>0</v>
      </c>
      <c r="H72" s="1692">
        <f t="shared" si="9"/>
        <v>0</v>
      </c>
      <c r="I72" s="1692">
        <f t="shared" si="9"/>
        <v>0</v>
      </c>
      <c r="J72" s="1692">
        <f t="shared" si="9"/>
        <v>0</v>
      </c>
      <c r="K72" s="1692">
        <f t="shared" si="9"/>
        <v>1148</v>
      </c>
      <c r="L72" s="1692">
        <f>SUM(L67:L71)</f>
        <v>2000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1843105</v>
      </c>
      <c r="D74" s="1699">
        <f t="shared" ref="D74:K74" si="10">SUM(D42,D47,D53,D57,D65,D72,D73)</f>
        <v>482466</v>
      </c>
      <c r="E74" s="1699">
        <f t="shared" si="10"/>
        <v>850809</v>
      </c>
      <c r="F74" s="1699">
        <f t="shared" si="10"/>
        <v>133592</v>
      </c>
      <c r="G74" s="1699">
        <f t="shared" si="10"/>
        <v>0</v>
      </c>
      <c r="H74" s="1699">
        <f t="shared" si="10"/>
        <v>18774</v>
      </c>
      <c r="I74" s="1699">
        <f t="shared" si="10"/>
        <v>9184</v>
      </c>
      <c r="J74" s="1699">
        <f t="shared" si="10"/>
        <v>0</v>
      </c>
      <c r="K74" s="1699">
        <f t="shared" si="10"/>
        <v>3337930</v>
      </c>
      <c r="L74" s="1699">
        <f>SUM(L42,L47,L53,L57,L65,L72,L73)</f>
        <v>3498848</v>
      </c>
    </row>
    <row r="75" spans="1:14" s="259" customFormat="1" ht="15.75" customHeight="1" thickTop="1" thickBot="1" x14ac:dyDescent="0.25">
      <c r="A75" s="1632" t="s">
        <v>49</v>
      </c>
      <c r="B75" s="1633" t="s">
        <v>596</v>
      </c>
      <c r="C75" s="573">
        <v>82</v>
      </c>
      <c r="D75" s="573">
        <v>11</v>
      </c>
      <c r="E75" s="573"/>
      <c r="F75" s="573"/>
      <c r="G75" s="573"/>
      <c r="H75" s="573"/>
      <c r="I75" s="531"/>
      <c r="J75" s="531"/>
      <c r="K75" s="1692">
        <f>SUM(C75:J75)</f>
        <v>93</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c r="F79" s="617"/>
      <c r="G79" s="617"/>
      <c r="H79" s="466"/>
      <c r="I79" s="477"/>
      <c r="J79" s="477"/>
      <c r="K79" s="1693">
        <f t="shared" si="11"/>
        <v>0</v>
      </c>
      <c r="L79" s="466">
        <v>43583</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0</v>
      </c>
      <c r="F84" s="617"/>
      <c r="G84" s="617"/>
      <c r="H84" s="1692">
        <f>SUM(H78:H83)</f>
        <v>0</v>
      </c>
      <c r="I84" s="477"/>
      <c r="J84" s="477"/>
      <c r="K84" s="1692">
        <f>SUM(K78:K83)</f>
        <v>0</v>
      </c>
      <c r="L84" s="1692">
        <f>SUM(L78:L83)</f>
        <v>43583</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0</v>
      </c>
      <c r="F102" s="617"/>
      <c r="G102" s="617"/>
      <c r="H102" s="1699">
        <f>SUM(H84,H92,H100,H101)</f>
        <v>0</v>
      </c>
      <c r="I102" s="477"/>
      <c r="J102" s="477"/>
      <c r="K102" s="1699">
        <f>SUM(K84,K92,K100,K101)</f>
        <v>0</v>
      </c>
      <c r="L102" s="1699">
        <f>SUM(L84,L92,L100,L101)</f>
        <v>43583</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2909080</v>
      </c>
      <c r="D114" s="1692">
        <f t="shared" ref="D114:K114" si="13">SUM(D33,D74,D75,D102,D112,D113)</f>
        <v>788960</v>
      </c>
      <c r="E114" s="1692">
        <f t="shared" si="13"/>
        <v>907391</v>
      </c>
      <c r="F114" s="1692">
        <f t="shared" si="13"/>
        <v>200762</v>
      </c>
      <c r="G114" s="1692">
        <f t="shared" si="13"/>
        <v>0</v>
      </c>
      <c r="H114" s="1692">
        <f>SUM(H33,H74,H75,H102,H112,H113)</f>
        <v>18774</v>
      </c>
      <c r="I114" s="1692">
        <f t="shared" si="13"/>
        <v>9184</v>
      </c>
      <c r="J114" s="1692">
        <f t="shared" si="13"/>
        <v>0</v>
      </c>
      <c r="K114" s="1692">
        <f t="shared" si="13"/>
        <v>4834151</v>
      </c>
      <c r="L114" s="1692">
        <f>SUM(L33,L74,L75,L102,L112,L113)</f>
        <v>5058880</v>
      </c>
    </row>
    <row r="115" spans="1:14" ht="13.5" thickTop="1" x14ac:dyDescent="0.2">
      <c r="A115" s="2173" t="s">
        <v>1053</v>
      </c>
      <c r="B115" s="2174"/>
      <c r="C115" s="619"/>
      <c r="D115" s="619"/>
      <c r="E115" s="619"/>
      <c r="F115" s="619"/>
      <c r="G115" s="619"/>
      <c r="H115" s="619"/>
      <c r="I115" s="619"/>
      <c r="J115" s="619"/>
      <c r="K115" s="1706">
        <f>'Revenues 9-14'!C275-'Expenditures 15-22'!K114</f>
        <v>848835</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8" t="s">
        <v>314</v>
      </c>
      <c r="B117" s="2179"/>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c r="D124" s="466"/>
      <c r="E124" s="466"/>
      <c r="F124" s="466"/>
      <c r="G124" s="466"/>
      <c r="H124" s="466"/>
      <c r="I124" s="467"/>
      <c r="J124" s="467"/>
      <c r="K124" s="1692">
        <f>SUM(C124:J124)</f>
        <v>0</v>
      </c>
      <c r="L124" s="466"/>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0</v>
      </c>
      <c r="D127" s="1692">
        <f t="shared" ref="D127:L127" si="14">SUM(D122:D126)</f>
        <v>0</v>
      </c>
      <c r="E127" s="1692">
        <f t="shared" si="14"/>
        <v>0</v>
      </c>
      <c r="F127" s="1692">
        <f t="shared" si="14"/>
        <v>0</v>
      </c>
      <c r="G127" s="1692">
        <f t="shared" si="14"/>
        <v>0</v>
      </c>
      <c r="H127" s="1692">
        <f t="shared" si="14"/>
        <v>0</v>
      </c>
      <c r="I127" s="1692">
        <f t="shared" si="14"/>
        <v>0</v>
      </c>
      <c r="J127" s="1692">
        <f t="shared" si="14"/>
        <v>0</v>
      </c>
      <c r="K127" s="1692">
        <f t="shared" si="14"/>
        <v>0</v>
      </c>
      <c r="L127" s="1692">
        <f t="shared" si="14"/>
        <v>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0</v>
      </c>
      <c r="D129" s="1699">
        <f t="shared" ref="D129:L129" si="15">SUM(D120,D127,D128)</f>
        <v>0</v>
      </c>
      <c r="E129" s="1699">
        <f t="shared" si="15"/>
        <v>0</v>
      </c>
      <c r="F129" s="1699">
        <f t="shared" si="15"/>
        <v>0</v>
      </c>
      <c r="G129" s="1699">
        <f t="shared" si="15"/>
        <v>0</v>
      </c>
      <c r="H129" s="1699">
        <f t="shared" si="15"/>
        <v>0</v>
      </c>
      <c r="I129" s="1699">
        <f t="shared" si="15"/>
        <v>0</v>
      </c>
      <c r="J129" s="1699">
        <f t="shared" si="15"/>
        <v>0</v>
      </c>
      <c r="K129" s="1699">
        <f t="shared" si="15"/>
        <v>0</v>
      </c>
      <c r="L129" s="1699">
        <f t="shared" si="15"/>
        <v>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1953</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90" t="s">
        <v>641</v>
      </c>
      <c r="B151" s="2170"/>
      <c r="C151" s="1692">
        <f>SUM(C129,C130,C139,C149,C150)</f>
        <v>0</v>
      </c>
      <c r="D151" s="1692">
        <f t="shared" ref="D151:K151" si="16">SUM(D129,D130,D139,D149,D150)</f>
        <v>0</v>
      </c>
      <c r="E151" s="1692">
        <f t="shared" si="16"/>
        <v>0</v>
      </c>
      <c r="F151" s="1692">
        <f t="shared" si="16"/>
        <v>0</v>
      </c>
      <c r="G151" s="1692">
        <f t="shared" si="16"/>
        <v>0</v>
      </c>
      <c r="H151" s="1692">
        <f t="shared" si="16"/>
        <v>0</v>
      </c>
      <c r="I151" s="1692">
        <f t="shared" si="16"/>
        <v>0</v>
      </c>
      <c r="J151" s="1692">
        <f t="shared" si="16"/>
        <v>0</v>
      </c>
      <c r="K151" s="1692">
        <f t="shared" si="16"/>
        <v>0</v>
      </c>
      <c r="L151" s="1692">
        <f>SUM(L129,L130,L139,L149,L150)</f>
        <v>0</v>
      </c>
    </row>
    <row r="152" spans="1:14" ht="12.75" customHeight="1" thickTop="1" x14ac:dyDescent="0.2">
      <c r="A152" s="2193" t="s">
        <v>1240</v>
      </c>
      <c r="B152" s="2194"/>
      <c r="C152" s="619"/>
      <c r="D152" s="619"/>
      <c r="E152" s="619"/>
      <c r="F152" s="619"/>
      <c r="G152" s="619"/>
      <c r="H152" s="619"/>
      <c r="I152" s="619"/>
      <c r="J152" s="617"/>
      <c r="K152" s="1706">
        <f>'Revenues 9-14'!D275-'Expenditures 15-22'!K151</f>
        <v>0</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8" t="s">
        <v>642</v>
      </c>
      <c r="B154" s="2180"/>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1954</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1953</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1955</v>
      </c>
      <c r="C158" s="617"/>
      <c r="D158" s="617"/>
      <c r="E158" s="617"/>
      <c r="F158" s="617"/>
      <c r="G158" s="617"/>
      <c r="H158" s="467"/>
      <c r="I158" s="617"/>
      <c r="J158" s="617"/>
      <c r="K158" s="1693">
        <f>H158</f>
        <v>0</v>
      </c>
      <c r="L158" s="467"/>
      <c r="M158" s="620"/>
      <c r="N158" s="620"/>
    </row>
    <row r="159" spans="1:14" s="621" customFormat="1" ht="12" x14ac:dyDescent="0.2">
      <c r="A159" s="1849" t="s">
        <v>1956</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1957</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c r="I169" s="617"/>
      <c r="J169" s="617"/>
      <c r="K169" s="1693">
        <f>SUM(C169:H169)</f>
        <v>0</v>
      </c>
      <c r="L169" s="657"/>
    </row>
    <row r="170" spans="1:14" ht="33.75" customHeight="1" x14ac:dyDescent="0.2">
      <c r="A170" s="670" t="s">
        <v>1769</v>
      </c>
      <c r="B170" s="672" t="s">
        <v>31</v>
      </c>
      <c r="C170" s="617"/>
      <c r="D170" s="617"/>
      <c r="E170" s="617"/>
      <c r="F170" s="617"/>
      <c r="G170" s="617"/>
      <c r="H170" s="569"/>
      <c r="I170" s="617"/>
      <c r="J170" s="617"/>
      <c r="K170" s="1693">
        <f>SUM(C170:J170)</f>
        <v>0</v>
      </c>
      <c r="L170" s="569"/>
    </row>
    <row r="171" spans="1:14" ht="15.75" customHeight="1" x14ac:dyDescent="0.2">
      <c r="A171" s="622" t="s">
        <v>790</v>
      </c>
      <c r="B171" s="673" t="s">
        <v>86</v>
      </c>
      <c r="C171" s="617"/>
      <c r="D171" s="617"/>
      <c r="E171" s="466"/>
      <c r="F171" s="617"/>
      <c r="G171" s="617"/>
      <c r="H171" s="569"/>
      <c r="I171" s="477"/>
      <c r="J171" s="617"/>
      <c r="K171" s="1693">
        <f>SUM(C171:J171)</f>
        <v>0</v>
      </c>
      <c r="L171" s="569"/>
    </row>
    <row r="172" spans="1:14" ht="12.75" customHeight="1" thickBot="1" x14ac:dyDescent="0.25">
      <c r="A172" s="1690" t="s">
        <v>659</v>
      </c>
      <c r="B172" s="1691" t="s">
        <v>513</v>
      </c>
      <c r="C172" s="617"/>
      <c r="D172" s="617"/>
      <c r="E172" s="1699">
        <f>SUM(E168,E169,E170,E171)</f>
        <v>0</v>
      </c>
      <c r="F172" s="617"/>
      <c r="G172" s="617"/>
      <c r="H172" s="1699">
        <f>SUM(H168,H169,H170,H171)</f>
        <v>0</v>
      </c>
      <c r="I172" s="639"/>
      <c r="J172" s="617"/>
      <c r="K172" s="1699">
        <f>SUM(K168,K169,K170,K171)</f>
        <v>0</v>
      </c>
      <c r="L172" s="1699">
        <f>SUM(L168,L169,L170,L171)</f>
        <v>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0</v>
      </c>
      <c r="I174" s="639"/>
      <c r="J174" s="617"/>
      <c r="K174" s="1699">
        <f>SUM(K160,K172,K173)</f>
        <v>0</v>
      </c>
      <c r="L174" s="1699">
        <f>SUM(L160,L172,L173)</f>
        <v>0</v>
      </c>
    </row>
    <row r="175" spans="1:14" ht="13.5" thickTop="1" x14ac:dyDescent="0.2">
      <c r="A175" s="2173" t="s">
        <v>1053</v>
      </c>
      <c r="B175" s="2174"/>
      <c r="C175" s="617"/>
      <c r="D175" s="617"/>
      <c r="E175" s="617"/>
      <c r="F175" s="617"/>
      <c r="G175" s="617"/>
      <c r="H175" s="619"/>
      <c r="I175" s="617"/>
      <c r="J175" s="617"/>
      <c r="K175" s="1706">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c r="D182" s="466"/>
      <c r="E182" s="466"/>
      <c r="F182" s="466"/>
      <c r="G182" s="466"/>
      <c r="H182" s="466"/>
      <c r="I182" s="467"/>
      <c r="J182" s="467"/>
      <c r="K182" s="1693">
        <f>SUM(C182:J182)</f>
        <v>0</v>
      </c>
      <c r="L182" s="466"/>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0</v>
      </c>
      <c r="D184" s="1699">
        <f t="shared" ref="D184:J184" si="17">SUM(D180,D182,D183)</f>
        <v>0</v>
      </c>
      <c r="E184" s="1699">
        <f t="shared" si="17"/>
        <v>0</v>
      </c>
      <c r="F184" s="1699">
        <f t="shared" si="17"/>
        <v>0</v>
      </c>
      <c r="G184" s="1699">
        <f t="shared" si="17"/>
        <v>0</v>
      </c>
      <c r="H184" s="1699">
        <f t="shared" si="17"/>
        <v>0</v>
      </c>
      <c r="I184" s="1699">
        <f t="shared" si="17"/>
        <v>0</v>
      </c>
      <c r="J184" s="1699">
        <f t="shared" si="17"/>
        <v>0</v>
      </c>
      <c r="K184" s="1699">
        <f>SUM(K180,K182,K183)</f>
        <v>0</v>
      </c>
      <c r="L184" s="1699">
        <f>SUM(L180, L182:L183)</f>
        <v>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0</v>
      </c>
      <c r="D210" s="1692">
        <f>SUM(D184,D185)</f>
        <v>0</v>
      </c>
      <c r="E210" s="1692">
        <f>SUM(E184,E185,E196)</f>
        <v>0</v>
      </c>
      <c r="F210" s="1692">
        <f>SUM(F184,F185)</f>
        <v>0</v>
      </c>
      <c r="G210" s="1692">
        <f>SUM(G184,G185)</f>
        <v>0</v>
      </c>
      <c r="H210" s="1692">
        <f>SUM(H184,H185,H196,H208,H209)</f>
        <v>0</v>
      </c>
      <c r="I210" s="1692">
        <f>SUM(I184,I185)</f>
        <v>0</v>
      </c>
      <c r="J210" s="1692">
        <f>SUM(J184,J185)</f>
        <v>0</v>
      </c>
      <c r="K210" s="1693">
        <f>SUM(K184,K185,K196,K208,K209)</f>
        <v>0</v>
      </c>
      <c r="L210" s="1692">
        <f>SUM(L184,L185,L196,L208,L209)</f>
        <v>0</v>
      </c>
    </row>
    <row r="211" spans="1:14" ht="13.5" thickTop="1" x14ac:dyDescent="0.2">
      <c r="A211" s="2173" t="s">
        <v>1053</v>
      </c>
      <c r="B211" s="2174"/>
      <c r="C211" s="619"/>
      <c r="D211" s="619"/>
      <c r="E211" s="619"/>
      <c r="F211" s="619"/>
      <c r="G211" s="619"/>
      <c r="H211" s="619"/>
      <c r="I211" s="617"/>
      <c r="J211" s="617"/>
      <c r="K211" s="1706">
        <f>'Revenues 9-14'!F275-'Expenditures 15-22'!K210</f>
        <v>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5" t="s">
        <v>1022</v>
      </c>
      <c r="B213" s="2196"/>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c r="E215" s="617"/>
      <c r="F215" s="617"/>
      <c r="G215" s="617"/>
      <c r="H215" s="617"/>
      <c r="I215" s="617"/>
      <c r="J215" s="617"/>
      <c r="K215" s="1693">
        <f>D215</f>
        <v>0</v>
      </c>
      <c r="L215" s="466"/>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c r="E217" s="617"/>
      <c r="F217" s="617"/>
      <c r="G217" s="617"/>
      <c r="H217" s="617"/>
      <c r="I217" s="617"/>
      <c r="J217" s="617"/>
      <c r="K217" s="1693">
        <f t="shared" si="19"/>
        <v>0</v>
      </c>
      <c r="L217" s="466"/>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c r="E219" s="617"/>
      <c r="F219" s="617"/>
      <c r="G219" s="617"/>
      <c r="H219" s="617"/>
      <c r="I219" s="617"/>
      <c r="J219" s="617"/>
      <c r="K219" s="1693">
        <f t="shared" si="19"/>
        <v>0</v>
      </c>
      <c r="L219" s="466"/>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c r="E223" s="617"/>
      <c r="F223" s="617"/>
      <c r="G223" s="617"/>
      <c r="H223" s="617"/>
      <c r="I223" s="617"/>
      <c r="J223" s="617"/>
      <c r="K223" s="1693">
        <f t="shared" si="19"/>
        <v>0</v>
      </c>
      <c r="L223" s="466"/>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0</v>
      </c>
      <c r="E229" s="617"/>
      <c r="F229" s="617"/>
      <c r="G229" s="617"/>
      <c r="H229" s="617"/>
      <c r="I229" s="617"/>
      <c r="J229" s="617"/>
      <c r="K229" s="1692">
        <f>SUM(K215:K228)</f>
        <v>0</v>
      </c>
      <c r="L229" s="1692">
        <f>SUM(L215:L228)</f>
        <v>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0</v>
      </c>
      <c r="E238" s="617"/>
      <c r="F238" s="617"/>
      <c r="G238" s="617"/>
      <c r="H238" s="617"/>
      <c r="I238" s="617"/>
      <c r="J238" s="617"/>
      <c r="K238" s="1692">
        <f>SUM(K232:K237)</f>
        <v>0</v>
      </c>
      <c r="L238" s="1692">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c r="E241" s="617"/>
      <c r="F241" s="617"/>
      <c r="G241" s="617"/>
      <c r="H241" s="617"/>
      <c r="I241" s="617"/>
      <c r="J241" s="617"/>
      <c r="K241" s="1694">
        <f>D241</f>
        <v>0</v>
      </c>
      <c r="L241" s="466"/>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0</v>
      </c>
      <c r="E243" s="617"/>
      <c r="F243" s="617"/>
      <c r="G243" s="617"/>
      <c r="H243" s="617"/>
      <c r="I243" s="617"/>
      <c r="J243" s="617"/>
      <c r="K243" s="1692">
        <f>SUM(K240:K242)</f>
        <v>0</v>
      </c>
      <c r="L243" s="1692">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4">
        <f>D245</f>
        <v>0</v>
      </c>
      <c r="L245" s="481"/>
    </row>
    <row r="246" spans="1:12" x14ac:dyDescent="0.2">
      <c r="A246" s="1526" t="s">
        <v>872</v>
      </c>
      <c r="B246" s="615">
        <v>2320</v>
      </c>
      <c r="C246" s="617"/>
      <c r="D246" s="466"/>
      <c r="E246" s="617"/>
      <c r="F246" s="617"/>
      <c r="G246" s="617"/>
      <c r="H246" s="617"/>
      <c r="I246" s="617"/>
      <c r="J246" s="617"/>
      <c r="K246" s="1694">
        <f t="shared" ref="K246:K256" si="21">D246</f>
        <v>0</v>
      </c>
      <c r="L246" s="466"/>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1905</v>
      </c>
      <c r="B249" s="684" t="s">
        <v>300</v>
      </c>
      <c r="C249" s="617"/>
      <c r="D249" s="474"/>
      <c r="E249" s="617"/>
      <c r="F249" s="617"/>
      <c r="G249" s="617"/>
      <c r="H249" s="617"/>
      <c r="I249" s="617"/>
      <c r="J249" s="617"/>
      <c r="K249" s="1694">
        <f t="shared" si="21"/>
        <v>0</v>
      </c>
      <c r="L249" s="466"/>
    </row>
    <row r="250" spans="1:12" x14ac:dyDescent="0.2">
      <c r="A250" s="1527" t="s">
        <v>1906</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0</v>
      </c>
      <c r="E257" s="617"/>
      <c r="F257" s="617"/>
      <c r="G257" s="617"/>
      <c r="H257" s="617"/>
      <c r="I257" s="617"/>
      <c r="J257" s="617"/>
      <c r="K257" s="1692">
        <f>SUM(K245:K256)</f>
        <v>0</v>
      </c>
      <c r="L257" s="1692">
        <f>SUM(L245:L256)</f>
        <v>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c r="E259" s="617"/>
      <c r="F259" s="617"/>
      <c r="G259" s="617"/>
      <c r="H259" s="617"/>
      <c r="I259" s="617"/>
      <c r="J259" s="617"/>
      <c r="K259" s="1694">
        <f>D259</f>
        <v>0</v>
      </c>
      <c r="L259" s="481"/>
    </row>
    <row r="260" spans="1:14" s="598" customFormat="1" x14ac:dyDescent="0.2">
      <c r="A260" s="1544" t="s">
        <v>1904</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0</v>
      </c>
      <c r="E261" s="617"/>
      <c r="F261" s="617"/>
      <c r="G261" s="617"/>
      <c r="H261" s="617"/>
      <c r="I261" s="617"/>
      <c r="J261" s="617"/>
      <c r="K261" s="1692">
        <f>SUM(K259:K260)</f>
        <v>0</v>
      </c>
      <c r="L261" s="1692">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c r="E264" s="617"/>
      <c r="F264" s="617"/>
      <c r="G264" s="617"/>
      <c r="H264" s="617"/>
      <c r="I264" s="617"/>
      <c r="J264" s="617"/>
      <c r="K264" s="1694">
        <f t="shared" ref="K264:K269" si="22">D264</f>
        <v>0</v>
      </c>
      <c r="L264" s="466"/>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c r="E266" s="617"/>
      <c r="F266" s="617"/>
      <c r="G266" s="617"/>
      <c r="H266" s="617"/>
      <c r="I266" s="617"/>
      <c r="J266" s="617"/>
      <c r="K266" s="1694">
        <f t="shared" si="22"/>
        <v>0</v>
      </c>
      <c r="L266" s="466"/>
    </row>
    <row r="267" spans="1:14" x14ac:dyDescent="0.2">
      <c r="A267" s="1526" t="s">
        <v>1010</v>
      </c>
      <c r="B267" s="615">
        <v>2550</v>
      </c>
      <c r="C267" s="617"/>
      <c r="D267" s="466"/>
      <c r="E267" s="617"/>
      <c r="F267" s="617"/>
      <c r="G267" s="617"/>
      <c r="H267" s="617"/>
      <c r="I267" s="617"/>
      <c r="J267" s="617"/>
      <c r="K267" s="1694">
        <f t="shared" si="22"/>
        <v>0</v>
      </c>
      <c r="L267" s="466"/>
    </row>
    <row r="268" spans="1:14" x14ac:dyDescent="0.2">
      <c r="A268" s="1526" t="s">
        <v>102</v>
      </c>
      <c r="B268" s="615">
        <v>2560</v>
      </c>
      <c r="C268" s="617"/>
      <c r="D268" s="466"/>
      <c r="E268" s="617"/>
      <c r="F268" s="617"/>
      <c r="G268" s="617"/>
      <c r="H268" s="617"/>
      <c r="I268" s="617"/>
      <c r="J268" s="617"/>
      <c r="K268" s="1694">
        <f t="shared" si="22"/>
        <v>0</v>
      </c>
      <c r="L268" s="466"/>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0</v>
      </c>
      <c r="E270" s="617"/>
      <c r="F270" s="617"/>
      <c r="G270" s="617"/>
      <c r="H270" s="617"/>
      <c r="I270" s="617"/>
      <c r="J270" s="617"/>
      <c r="K270" s="1692">
        <f>SUM(K263:K269)</f>
        <v>0</v>
      </c>
      <c r="L270" s="1692">
        <f>SUM(L263:L269)</f>
        <v>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0</v>
      </c>
      <c r="E279" s="617"/>
      <c r="F279" s="617"/>
      <c r="G279" s="617"/>
      <c r="H279" s="617"/>
      <c r="I279" s="617"/>
      <c r="J279" s="617"/>
      <c r="K279" s="1699">
        <f>SUM(K238,K243,K257,K261,K270,K277,K278)</f>
        <v>0</v>
      </c>
      <c r="L279" s="1699">
        <f>SUM(L238,L243,L257,L261,L270,L277,L278)</f>
        <v>0</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1953</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1" t="s">
        <v>526</v>
      </c>
      <c r="B295" s="2192"/>
      <c r="C295" s="617"/>
      <c r="D295" s="1692">
        <f>SUM(D229,D279,D280,D285)</f>
        <v>0</v>
      </c>
      <c r="E295" s="617"/>
      <c r="F295" s="617"/>
      <c r="G295" s="617"/>
      <c r="H295" s="1692">
        <f>H293</f>
        <v>0</v>
      </c>
      <c r="I295" s="617"/>
      <c r="J295" s="617"/>
      <c r="K295" s="1692">
        <f>SUM(K229,K279,K280,K285,K293,K294)</f>
        <v>0</v>
      </c>
      <c r="L295" s="1692">
        <f>SUM(L229,L279,L280,L285,L293,L294)</f>
        <v>0</v>
      </c>
    </row>
    <row r="296" spans="1:14" ht="13.5" thickTop="1" x14ac:dyDescent="0.2">
      <c r="A296" s="2173" t="s">
        <v>1053</v>
      </c>
      <c r="B296" s="2174"/>
      <c r="C296" s="617"/>
      <c r="D296" s="619"/>
      <c r="E296" s="617"/>
      <c r="F296" s="617"/>
      <c r="G296" s="617"/>
      <c r="H296" s="688"/>
      <c r="I296" s="617"/>
      <c r="J296" s="617"/>
      <c r="K296" s="1706">
        <f>'Revenues 9-14'!G275-'Expenditures 15-22'!K295</f>
        <v>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3" t="s">
        <v>145</v>
      </c>
      <c r="B298" s="2177"/>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1958</v>
      </c>
      <c r="B306" s="691" t="s">
        <v>1953</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8" t="s">
        <v>295</v>
      </c>
      <c r="B312" s="2189"/>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4" t="s">
        <v>1053</v>
      </c>
      <c r="B313" s="2185"/>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7" t="s">
        <v>151</v>
      </c>
      <c r="B315" s="2198"/>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9" t="s">
        <v>954</v>
      </c>
      <c r="B317" s="2198"/>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1905</v>
      </c>
      <c r="B320" s="699" t="s">
        <v>300</v>
      </c>
      <c r="C320" s="467"/>
      <c r="D320" s="467"/>
      <c r="E320" s="467"/>
      <c r="F320" s="467"/>
      <c r="G320" s="467"/>
      <c r="H320" s="467"/>
      <c r="I320" s="467"/>
      <c r="J320" s="467"/>
      <c r="K320" s="1693">
        <f t="shared" ref="K320:K327" si="24">SUM(C320:J320)</f>
        <v>0</v>
      </c>
      <c r="L320" s="467"/>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c r="F327" s="467"/>
      <c r="G327" s="467"/>
      <c r="H327" s="467"/>
      <c r="I327" s="467"/>
      <c r="J327" s="467"/>
      <c r="K327" s="1693">
        <f t="shared" si="24"/>
        <v>0</v>
      </c>
      <c r="L327" s="467"/>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0</v>
      </c>
      <c r="F330" s="1692">
        <f t="shared" si="25"/>
        <v>0</v>
      </c>
      <c r="G330" s="1692">
        <f t="shared" si="25"/>
        <v>0</v>
      </c>
      <c r="H330" s="1692">
        <f t="shared" si="25"/>
        <v>0</v>
      </c>
      <c r="I330" s="1692">
        <f t="shared" si="25"/>
        <v>0</v>
      </c>
      <c r="J330" s="1692">
        <f t="shared" si="25"/>
        <v>0</v>
      </c>
      <c r="K330" s="1692">
        <f>SUM(K319:K329)</f>
        <v>0</v>
      </c>
      <c r="L330" s="1692">
        <f>SUM(L319:L329)</f>
        <v>0</v>
      </c>
      <c r="M330" s="666"/>
      <c r="N330" s="666"/>
    </row>
    <row r="331" spans="1:14" s="675" customFormat="1" ht="12.75" customHeight="1" thickTop="1" x14ac:dyDescent="0.2">
      <c r="A331" s="1854" t="s">
        <v>1959</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1953</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1955</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1960</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0</v>
      </c>
      <c r="F342" s="1692">
        <f>SUM(F330)</f>
        <v>0</v>
      </c>
      <c r="G342" s="1692">
        <f>SUM(G330)</f>
        <v>0</v>
      </c>
      <c r="H342" s="1692">
        <f>SUM(H330,H334,H340)</f>
        <v>0</v>
      </c>
      <c r="I342" s="1692">
        <f>SUM(I330)</f>
        <v>0</v>
      </c>
      <c r="J342" s="1692">
        <f>SUM(J330)</f>
        <v>0</v>
      </c>
      <c r="K342" s="1692">
        <f>SUM(K330,K334,K340)</f>
        <v>0</v>
      </c>
      <c r="L342" s="1699">
        <f>SUM(L330,L340,L341)</f>
        <v>0</v>
      </c>
    </row>
    <row r="343" spans="1:14" ht="12.75" customHeight="1" thickTop="1" x14ac:dyDescent="0.2">
      <c r="A343" s="2186" t="s">
        <v>1053</v>
      </c>
      <c r="B343" s="2187"/>
      <c r="C343" s="617"/>
      <c r="D343" s="617"/>
      <c r="E343" s="617"/>
      <c r="F343" s="617"/>
      <c r="G343" s="617"/>
      <c r="H343" s="617"/>
      <c r="I343" s="617"/>
      <c r="J343" s="617"/>
      <c r="K343" s="1706">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6" t="s">
        <v>1023</v>
      </c>
      <c r="B345" s="2177"/>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1961</v>
      </c>
      <c r="B354" s="684" t="s">
        <v>1953</v>
      </c>
      <c r="C354" s="617"/>
      <c r="D354" s="617"/>
      <c r="E354" s="617"/>
      <c r="F354" s="617"/>
      <c r="G354" s="617"/>
      <c r="H354" s="474"/>
      <c r="I354" s="702"/>
      <c r="J354" s="617"/>
      <c r="K354" s="1721">
        <f>H354</f>
        <v>0</v>
      </c>
      <c r="L354" s="471"/>
    </row>
    <row r="355" spans="1:14" ht="12.75" customHeight="1" x14ac:dyDescent="0.2">
      <c r="A355" s="1535" t="s">
        <v>1962</v>
      </c>
      <c r="B355" s="691" t="s">
        <v>1955</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173" t="s">
        <v>1053</v>
      </c>
      <c r="B368" s="2174"/>
      <c r="C368" s="655"/>
      <c r="D368" s="655"/>
      <c r="E368" s="627"/>
      <c r="F368" s="627"/>
      <c r="G368" s="627"/>
      <c r="H368" s="627"/>
      <c r="I368" s="627"/>
      <c r="J368" s="624"/>
      <c r="K368" s="1693">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3.xml><?xml version="1.0" encoding="utf-8"?>
<ds:datastoreItem xmlns:ds="http://schemas.openxmlformats.org/officeDocument/2006/customXml" ds:itemID="{34524270-6D2D-40B3-AEDC-EBC0C7BBFFF8}">
  <ds:schemaRefs>
    <ds:schemaRef ds:uri="http://www.w3.org/XML/1998/namespace"/>
    <ds:schemaRef ds:uri="http://purl.org/dc/terms/"/>
    <ds:schemaRef ds:uri="http://schemas.microsoft.com/sharepoint/v3"/>
    <ds:schemaRef ds:uri="http://schemas.microsoft.com/office/2006/documentManagement/types"/>
    <ds:schemaRef ds:uri="http://purl.org/dc/dcmitype/"/>
    <ds:schemaRef ds:uri="d21dc803-237d-4c68-8692-8d731fd29118"/>
    <ds:schemaRef ds:uri="http://schemas.microsoft.com/office/infopath/2007/PartnerControls"/>
    <ds:schemaRef ds:uri="http://schemas.microsoft.com/office/2006/metadata/properties"/>
    <ds:schemaRef ds:uri="http://schemas.openxmlformats.org/package/2006/metadata/core-properties"/>
    <ds:schemaRef ds:uri="4d435f69-8686-490b-bd6d-b153bf22ab50"/>
    <ds:schemaRef ds:uri="6ce3111e-7420-4802-b50a-75d4e9a0b980"/>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17</vt:i4>
      </vt:variant>
    </vt:vector>
  </HeadingPairs>
  <TitlesOfParts>
    <vt:vector size="51"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 (2)</vt:lpstr>
      <vt:lpstr> SEFA</vt:lpstr>
      <vt:lpstr>SF&amp;QC Sec-1</vt:lpstr>
      <vt:lpstr>SF&amp;QC Sec-2</vt:lpstr>
      <vt:lpstr>SF&amp;QC Sec-3</vt:lpstr>
      <vt:lpstr>SSPAF</vt:lpstr>
      <vt:lpstr>' SEFA'!Print_Area</vt:lpstr>
      <vt:lpstr>' SEFA (2)'!Print_Area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2018-11-13T17:35:27Z</cp:lastPrinted>
  <dcterms:created xsi:type="dcterms:W3CDTF">2003-10-29T19:06:34Z</dcterms:created>
  <dcterms:modified xsi:type="dcterms:W3CDTF">2018-11-26T17:27:22Z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