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F79" i="34"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E27" i="108"/>
  <c r="F27" i="108"/>
  <c r="G27" i="108"/>
  <c r="E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E4" i="4"/>
  <c r="B2630" i="106" s="1"/>
  <c r="D2630" i="106" s="1"/>
  <c r="D5" i="4"/>
  <c r="B3406" i="106" s="1"/>
  <c r="D3406" i="106" s="1"/>
  <c r="G5" i="4"/>
  <c r="B3409" i="106" s="1"/>
  <c r="D3409" i="106" s="1"/>
  <c r="G14" i="4"/>
  <c r="B2609" i="106" s="1"/>
  <c r="D2609" i="106" s="1"/>
  <c r="G15" i="4"/>
  <c r="B6032" i="106" s="1"/>
  <c r="D6032"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D5" i="7"/>
  <c r="B1761" i="106" s="1"/>
  <c r="D1761" i="106" s="1"/>
  <c r="D9" i="7"/>
  <c r="B1767" i="106" s="1"/>
  <c r="D1767" i="106" s="1"/>
  <c r="F136" i="34"/>
  <c r="F131" i="34"/>
  <c r="F130" i="34"/>
  <c r="F127" i="34"/>
  <c r="B5847" i="106"/>
  <c r="D5847" i="106" s="1"/>
  <c r="B5599" i="106"/>
  <c r="D5599" i="106" s="1"/>
  <c r="K274" i="5"/>
  <c r="C172" i="5"/>
  <c r="B5214" i="106" s="1"/>
  <c r="D5214" i="106" s="1"/>
  <c r="D109" i="5"/>
  <c r="B5356" i="106" s="1"/>
  <c r="D5356" i="106" s="1"/>
  <c r="D7" i="7"/>
  <c r="B1763" i="106" s="1"/>
  <c r="D1763" i="106" s="1"/>
  <c r="D4" i="4"/>
  <c r="B2564" i="106" s="1"/>
  <c r="D2564" i="106" s="1"/>
  <c r="B1746" i="106"/>
  <c r="D1746" i="106" s="1"/>
  <c r="D17" i="7"/>
  <c r="B4104" i="106" s="1"/>
  <c r="D4104" i="106" s="1"/>
  <c r="D12" i="7"/>
  <c r="B1769" i="106" s="1"/>
  <c r="D1769" i="106" s="1"/>
  <c r="D11" i="7"/>
  <c r="B1768" i="106" s="1"/>
  <c r="D1768" i="106" s="1"/>
  <c r="G173" i="5" l="1"/>
  <c r="B5778" i="106" s="1"/>
  <c r="D5778" i="106" s="1"/>
  <c r="B5770" i="106"/>
  <c r="D5770" i="106" s="1"/>
  <c r="D15" i="7"/>
  <c r="B1772" i="106" s="1"/>
  <c r="D1772" i="106" s="1"/>
  <c r="F106" i="34"/>
  <c r="H109" i="5"/>
  <c r="H173" i="5"/>
  <c r="B5752" i="106"/>
  <c r="D5752" i="106" s="1"/>
  <c r="F111" i="34"/>
  <c r="F128" i="34"/>
  <c r="D13" i="7"/>
  <c r="B3726" i="106" s="1"/>
  <c r="D3726" i="106" s="1"/>
  <c r="K28" i="118"/>
  <c r="O27" i="118" s="1"/>
  <c r="O29" i="118" s="1"/>
  <c r="I274" i="5"/>
  <c r="B4435" i="106" s="1"/>
  <c r="D4435" i="106" s="1"/>
  <c r="K173" i="5"/>
  <c r="K6" i="4" s="1"/>
  <c r="B3570" i="106" s="1"/>
  <c r="D3570" i="106" s="1"/>
  <c r="F172" i="5"/>
  <c r="B5644" i="106" s="1"/>
  <c r="D5644" i="106" s="1"/>
  <c r="G109" i="5"/>
  <c r="L342" i="29"/>
  <c r="L312" i="29"/>
  <c r="F66" i="34"/>
  <c r="F49" i="34"/>
  <c r="F45" i="34"/>
  <c r="F42" i="34"/>
  <c r="D7245" i="106"/>
  <c r="I342" i="29"/>
  <c r="B7222" i="106" s="1"/>
  <c r="D7222" i="106" s="1"/>
  <c r="B6191" i="106"/>
  <c r="D6191" i="106" s="1"/>
  <c r="J41" i="3"/>
  <c r="K76" i="4"/>
  <c r="B3586" i="106" s="1"/>
  <c r="D3586" i="106" s="1"/>
  <c r="B1410" i="106"/>
  <c r="D1410" i="106" s="1"/>
  <c r="B1329" i="106"/>
  <c r="D1329" i="106" s="1"/>
  <c r="F61" i="34"/>
  <c r="K24" i="12"/>
  <c r="D6103" i="106"/>
  <c r="G352" i="29"/>
  <c r="B3621" i="106"/>
  <c r="D3621" i="106" s="1"/>
  <c r="C367" i="29"/>
  <c r="B3622" i="106" s="1"/>
  <c r="D3622" i="106" s="1"/>
  <c r="E174" i="29"/>
  <c r="B1309" i="106" s="1"/>
  <c r="D1309" i="106" s="1"/>
  <c r="C129" i="29"/>
  <c r="C151" i="29" s="1"/>
  <c r="B1226" i="106" s="1"/>
  <c r="D1226" i="106" s="1"/>
  <c r="D54" i="36"/>
  <c r="F28" i="108"/>
  <c r="F41" i="108" s="1"/>
  <c r="G43" i="108" s="1"/>
  <c r="C173" i="5"/>
  <c r="B5223" i="106" s="1"/>
  <c r="D5223" i="106" s="1"/>
  <c r="C109" i="5"/>
  <c r="B5121" i="106" s="1"/>
  <c r="D5121" i="106" s="1"/>
  <c r="D4" i="7"/>
  <c r="B1760" i="106" s="1"/>
  <c r="D1760"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6" i="4"/>
  <c r="B2593" i="106" s="1"/>
  <c r="D2593"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F275" i="5"/>
  <c r="J7" i="4"/>
  <c r="B2657" i="106"/>
  <c r="D2657" i="106" s="1"/>
  <c r="D274" i="5"/>
  <c r="D19" i="7"/>
  <c r="B1775" i="106" s="1"/>
  <c r="D1775" i="106" s="1"/>
  <c r="B7270" i="106"/>
  <c r="B3649" i="106" l="1"/>
  <c r="D3649" i="106" s="1"/>
  <c r="G367" i="29"/>
  <c r="B3650" i="106" s="1"/>
  <c r="D3650" i="106" s="1"/>
  <c r="B7733" i="106"/>
  <c r="D7733" i="106" s="1"/>
  <c r="K26" i="12"/>
  <c r="B7743" i="106" s="1"/>
  <c r="D7743" i="106" s="1"/>
  <c r="H367" i="29"/>
  <c r="B3660" i="106" s="1"/>
  <c r="D3660" i="106" s="1"/>
  <c r="B5906" i="106"/>
  <c r="D5906" i="106" s="1"/>
  <c r="H6" i="4"/>
  <c r="B2656" i="106" s="1"/>
  <c r="D2656" i="106" s="1"/>
  <c r="B5914" i="106"/>
  <c r="D5914" i="106" s="1"/>
  <c r="B3628" i="106"/>
  <c r="D3628" i="106" s="1"/>
  <c r="D7254" i="106"/>
  <c r="D7256" i="106"/>
  <c r="D7251" i="106"/>
  <c r="D7250" i="106"/>
  <c r="B6024" i="106"/>
  <c r="D6024" i="106" s="1"/>
  <c r="G4" i="4"/>
  <c r="B2603" i="106" s="1"/>
  <c r="D2603" i="106" s="1"/>
  <c r="B6025" i="106"/>
  <c r="D6025" i="106" s="1"/>
  <c r="H4" i="4"/>
  <c r="L114" i="29"/>
  <c r="L16" i="11"/>
  <c r="B2061" i="106" s="1"/>
  <c r="D2061" i="106" s="1"/>
  <c r="C114" i="29"/>
  <c r="B757" i="106" s="1"/>
  <c r="D757"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D7" i="4"/>
  <c r="B5507" i="106"/>
  <c r="D5507" i="106" s="1"/>
  <c r="B7298" i="106"/>
  <c r="B7299" i="106"/>
  <c r="J8" i="4" l="1"/>
  <c r="J17" i="4"/>
  <c r="B2655" i="106"/>
  <c r="D2655" i="106" s="1"/>
  <c r="H8" i="4"/>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H10" i="4"/>
  <c r="B4127" i="106" s="1"/>
  <c r="D4127" i="106" s="1"/>
  <c r="B2658" i="106"/>
  <c r="D2658"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<sst xmlns="http://schemas.openxmlformats.org/spreadsheetml/2006/main" count="5023" uniqueCount="2101">
  <si>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</si>
  <si>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</si>
  <si>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</si>
  <si>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</si>
  <si>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</si>
  <si>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</si>
  <si>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</si>
  <si>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</si>
  <si>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</si>
  <si>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</si>
  <si>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</si>
  <si>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</si>
  <si>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</si>
  <si>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</si>
  <si>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</si>
  <si>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</si>
  <si>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</si>
  <si>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</si>
  <si>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</si>
  <si>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</si>
  <si>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</si>
  <si>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</si>
  <si>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</si>
  <si>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</si>
  <si>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</si>
  <si>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</si>
  <si>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</si>
  <si>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</si>
  <si>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</si>
  <si>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</si>
  <si>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</si>
  <si>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</si>
  <si>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</si>
  <si>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</si>
  <si>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</si>
  <si>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</si>
  <si>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</si>
  <si>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</si>
  <si>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</si>
  <si>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</si>
  <si>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</si>
  <si>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</si>
  <si>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</si>
  <si>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</si>
  <si>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</si>
  <si>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</si>
  <si>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</si>
  <si>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</si>
  <si>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</si>
  <si>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</si>
  <si>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</si>
  <si>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</si>
  <si>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</si>
  <si>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</si>
  <si>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</si>
  <si>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</si>
  <si>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</si>
  <si>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</si>
  <si>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</si>
  <si>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</si>
  <si>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</si>
  <si>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</si>
  <si>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</si>
  <si>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</si>
  <si>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</si>
  <si>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</si>
  <si>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</si>
  <si>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</si>
  <si>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</si>
  <si>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</si>
  <si>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</si>
  <si>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</si>
  <si>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</si>
  <si>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</si>
  <si>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</si>
  <si>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</si>
  <si>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</si>
  <si>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</si>
  <si>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</si>
  <si>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</si>
  <si>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</si>
  <si>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</si>
  <si>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</si>
  <si>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</si>
  <si>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</si>
  <si>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</si>
  <si>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</si>
  <si>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</si>
  <si>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</si>
  <si>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</si>
  <si>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</si>
  <si>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</si>
  <si>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</si>
  <si>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</si>
  <si>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</si>
  <si>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</si>
  <si>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</si>
  <si>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</si>
  <si>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</si>
  <si>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</si>
  <si>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</si>
  <si>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</si>
  <si>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</si>
  <si>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</si>
  <si>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</si>
  <si>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</si>
  <si>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</si>
  <si>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</si>
  <si>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</si>
  <si>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</si>
  <si>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</si>
  <si>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</si>
  <si>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</si>
  <si>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</si>
  <si>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</si>
  <si>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</si>
  <si>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</si>
  <si>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</si>
  <si>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</si>
  <si>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</si>
  <si>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</si>
  <si>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</si>
  <si>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</si>
  <si>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</si>
  <si>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</si>
  <si>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</si>
  <si>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</si>
  <si>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</si>
  <si>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</si>
  <si>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</si>
  <si>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</si>
  <si>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</si>
  <si>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</si>
  <si>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</si>
  <si>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</si>
  <si>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</si>
  <si>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</si>
  <si>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</si>
  <si>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</si>
  <si>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</si>
  <si>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</si>
  <si>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</si>
  <si>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</si>
  <si>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</si>
  <si>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</si>
  <si>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</si>
  <si>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</si>
  <si>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</si>
  <si>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</si>
  <si>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</si>
  <si>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</si>
  <si>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</si>
  <si>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</si>
  <si>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</si>
  <si>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</si>
  <si>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</si>
  <si>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</si>
  <si>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</si>
  <si>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</si>
  <si>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</si>
  <si>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</si>
  <si>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</si>
  <si>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</si>
  <si>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</si>
  <si>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</si>
  <si>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</si>
  <si>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</si>
  <si>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</si>
  <si>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</si>
  <si>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</si>
  <si>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</si>
  <si>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</si>
  <si>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</si>
  <si>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</si>
  <si>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</si>
  <si>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</si>
  <si>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</si>
  <si>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</si>
  <si>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</si>
  <si>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</si>
  <si>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</si>
  <si>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</si>
  <si>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</si>
  <si>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</si>
  <si>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</si>
  <si>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</si>
  <si>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</si>
  <si>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</si>
  <si>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</si>
  <si>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</si>
  <si>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</si>
  <si>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</si>
  <si>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</si>
  <si>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</si>
  <si>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</si>
  <si>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</si>
  <si>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</si>
  <si>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</si>
  <si>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</si>
  <si>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</si>
  <si>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</si>
  <si>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</si>
  <si>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</si>
  <si>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</si>
  <si>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</si>
  <si>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</si>
  <si>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</si>
  <si>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</si>
  <si>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</si>
  <si>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</si>
  <si>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</si>
  <si>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</si>
  <si>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</si>
  <si>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</si>
  <si>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</si>
  <si>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</si>
  <si>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</si>
  <si>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</si>
  <si>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</si>
  <si>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</si>
  <si>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</si>
  <si>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</si>
  <si>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</si>
  <si>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</si>
  <si>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</si>
  <si>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</si>
  <si>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</si>
  <si>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</si>
  <si>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</si>
  <si>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</si>
  <si>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</si>
  <si>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</si>
  <si>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</si>
  <si>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</si>
  <si>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</si>
  <si>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</si>
  <si>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</si>
  <si>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</si>
  <si>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</si>
  <si>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</si>
  <si>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</si>
  <si>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</si>
  <si>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</si>
  <si>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</si>
  <si>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</si>
  <si>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</si>
  <si>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</si>
  <si>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</si>
  <si>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</si>
  <si>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</si>
  <si>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</si>
  <si>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</si>
  <si>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</si>
  <si>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</si>
  <si>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</si>
  <si>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</si>
  <si>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</si>
  <si>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</si>
  <si>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</si>
  <si>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</si>
  <si>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</si>
  <si>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</si>
  <si>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</si>
  <si>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</si>
  <si>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</si>
  <si>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</si>
  <si>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</si>
  <si>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</si>
  <si>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</si>
  <si>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</si>
  <si>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</si>
  <si>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</si>
  <si>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</si>
  <si>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</si>
  <si>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</si>
  <si>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</si>
  <si>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</si>
  <si>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</si>
  <si>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</si>
  <si>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</si>
  <si>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</si>
  <si>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</si>
  <si>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</si>
  <si>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</si>
  <si>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</si>
  <si>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</si>
  <si>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</si>
  <si>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</si>
  <si>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</si>
  <si>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</si>
  <si>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</si>
  <si>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</si>
  <si>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</si>
  <si>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</si>
  <si>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</si>
  <si>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</si>
  <si>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</si>
  <si>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</si>
  <si>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</si>
  <si>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</si>
  <si>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</si>
  <si>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</si>
  <si>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</si>
  <si>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</si>
  <si>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</si>
  <si>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</si>
  <si>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</si>
  <si>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</si>
  <si>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</si>
  <si>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</si>
  <si>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</si>
  <si>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</si>
  <si>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</si>
  <si>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</si>
  <si>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</si>
  <si>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</si>
  <si>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</si>
  <si>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</si>
  <si>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</si>
  <si>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</si>
  <si>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</si>
  <si>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</si>
  <si>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</si>
  <si>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</si>
  <si>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</si>
  <si>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</si>
  <si>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</si>
  <si>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</si>
  <si>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</si>
  <si>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</si>
  <si>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</si>
  <si>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</si>
  <si>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</si>
  <si>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</si>
  <si>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</si>
  <si>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</si>
  <si>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</si>
  <si>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</si>
  <si>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</si>
  <si>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</si>
  <si>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</si>
  <si>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</si>
  <si>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</si>
  <si>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</si>
  <si>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</si>
  <si>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</si>
  <si>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</si>
  <si>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</si>
  <si>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</si>
  <si>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</si>
  <si>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</si>
  <si>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</si>
  <si>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</si>
  <si>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</si>
  <si>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</si>
  <si>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</si>
  <si>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</si>
  <si>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</si>
  <si>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</si>
  <si>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</si>
  <si>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</si>
  <si>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</si>
  <si>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</si>
  <si>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</si>
  <si>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</si>
  <si>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</si>
  <si>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</si>
  <si>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</si>
  <si>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</si>
  <si>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</si>
  <si>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</si>
  <si>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</si>
  <si>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</si>
  <si>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</si>
  <si>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</si>
  <si>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</si>
  <si>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</si>
  <si>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</si>
  <si>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</si>
  <si>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</si>
  <si>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</si>
  <si>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</si>
  <si>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</si>
  <si>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</si>
  <si>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</si>
  <si>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</si>
  <si>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</si>
  <si>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</si>
  <si>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</si>
  <si>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</si>
  <si>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</si>
  <si>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</si>
  <si>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</si>
  <si>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</si>
  <si>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</si>
  <si>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</si>
  <si>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</si>
  <si>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</si>
  <si>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</si>
  <si>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</si>
  <si>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</si>
  <si>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</si>
  <si>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</si>
  <si>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</si>
  <si>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</si>
  <si>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</si>
  <si>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</si>
  <si>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</si>
  <si>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</si>
  <si>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</si>
  <si>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</si>
  <si>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</si>
  <si>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</si>
  <si>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</si>
  <si>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</si>
  <si>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</si>
  <si>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</si>
  <si>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</si>
  <si>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</si>
  <si>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</si>
  <si>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</si>
  <si>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</si>
  <si>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</si>
  <si>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</si>
  <si>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</si>
  <si>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</si>
  <si>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</si>
  <si>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</si>
  <si>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</si>
  <si>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</si>
  <si>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</si>
  <si>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</si>
  <si>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</si>
  <si>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</si>
  <si>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</si>
  <si>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</si>
  <si>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</si>
  <si>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</si>
  <si>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</si>
  <si>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</si>
  <si>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</si>
  <si>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</si>
  <si>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</si>
  <si>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</si>
  <si>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</si>
  <si>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</si>
  <si>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</si>
  <si>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</si>
  <si>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</si>
  <si>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</si>
  <si>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</si>
  <si>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</si>
  <si>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</si>
  <si>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</si>
  <si>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</si>
  <si>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</si>
  <si>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</si>
  <si>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</si>
  <si>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</si>
  <si>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</si>
  <si>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</si>
  <si>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</si>
  <si>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</si>
  <si>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</si>
  <si>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</si>
  <si>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</si>
  <si>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</si>
  <si>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</si>
  <si>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</si>
  <si>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</si>
  <si>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</si>
  <si>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</si>
  <si>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</si>
  <si>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</si>
  <si>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</si>
  <si>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</si>
  <si>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</si>
  <si>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</si>
  <si>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</si>
  <si>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</si>
  <si>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</si>
  <si>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</si>
  <si>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</si>
  <si>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</si>
  <si>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</si>
  <si>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</si>
  <si>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</si>
  <si>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</si>
  <si>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</si>
  <si>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</si>
  <si>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</si>
  <si>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</si>
  <si>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</si>
  <si>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</si>
  <si>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</si>
  <si>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</si>
  <si>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</si>
  <si>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</si>
  <si>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</si>
  <si>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</si>
  <si>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</si>
  <si>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</si>
  <si>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</si>
  <si>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</si>
  <si>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</si>
  <si>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</si>
  <si>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</si>
  <si>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</si>
  <si>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</si>
  <si>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</si>
  <si>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</si>
  <si>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</si>
  <si>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</si>
  <si>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</si>
  <si>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</si>
  <si>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</si>
  <si>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</si>
  <si>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</si>
  <si>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</si>
  <si>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</si>
  <si>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</si>
  <si>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</si>
  <si>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</si>
  <si>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</si>
  <si>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</si>
  <si>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</si>
  <si>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</si>
  <si>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</si>
  <si>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</si>
  <si>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</si>
  <si>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</si>
  <si>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</si>
  <si>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</si>
  <si>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</si>
  <si>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</si>
  <si>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</si>
  <si>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</si>
  <si>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</si>
  <si>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</si>
  <si>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</si>
  <si>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</si>
  <si>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</si>
  <si>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</si>
  <si>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</si>
  <si>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</si>
  <si>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</si>
  <si>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</si>
  <si>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</si>
  <si>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</si>
  <si>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</si>
  <si>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</si>
  <si>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</si>
  <si>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</si>
  <si>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</si>
  <si>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</si>
  <si>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</si>
  <si>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</si>
  <si>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</si>
  <si>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</si>
  <si>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</si>
  <si>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</si>
  <si>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</si>
  <si>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</si>
  <si>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</si>
  <si>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</si>
  <si>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</si>
  <si>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</si>
  <si>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</si>
  <si>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</si>
  <si>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</si>
  <si>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</si>
  <si>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</si>
  <si>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</si>
  <si>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</si>
  <si>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</si>
  <si>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</si>
  <si>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</si>
  <si>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</si>
  <si>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</si>
  <si>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</si>
  <si>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</si>
  <si>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</si>
  <si>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</si>
  <si>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</si>
  <si>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</si>
  <si>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</si>
  <si>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</si>
  <si>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</si>
  <si>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</si>
  <si>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</si>
  <si>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</si>
  <si>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</si>
  <si>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</si>
  <si>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</si>
  <si>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</si>
  <si>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</si>
  <si>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</si>
  <si>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</si>
  <si>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</si>
  <si>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</si>
  <si>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</si>
  <si>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</si>
  <si>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</si>
  <si>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</si>
  <si>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</si>
  <si>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</si>
  <si>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</si>
  <si>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</si>
  <si>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</si>
  <si>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</si>
  <si>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</si>
  <si>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</si>
  <si>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</si>
  <si>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</si>
  <si>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</si>
  <si>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</si>
  <si>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</si>
  <si>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</si>
  <si>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</si>
  <si>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</si>
  <si>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</si>
  <si>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</si>
  <si>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</si>
  <si>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</si>
  <si>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</si>
  <si>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</si>
  <si>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</si>
  <si>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</si>
  <si>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</si>
  <si>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</si>
  <si>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</si>
  <si>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</si>
  <si>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</si>
  <si>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</si>
  <si>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</si>
  <si>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</si>
  <si>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</si>
  <si>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</si>
  <si>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</si>
  <si>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</si>
  <si>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</si>
  <si>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</si>
  <si>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</si>
  <si>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</si>
  <si>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</si>
  <si>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</si>
  <si>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</si>
  <si>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</si>
  <si>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</si>
  <si>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</si>
  <si>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</si>
  <si>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</si>
  <si>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</si>
  <si>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</si>
  <si>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</si>
  <si>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</si>
  <si>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</si>
  <si>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</si>
  <si>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</si>
  <si>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</si>
  <si>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</si>
  <si>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</si>
  <si>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</si>
  <si>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</si>
  <si>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</si>
  <si>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</si>
  <si>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</si>
  <si>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</si>
  <si>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</si>
  <si>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</si>
  <si>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</si>
  <si>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</si>
  <si>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</si>
  <si>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</si>
  <si>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</si>
  <si>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</si>
  <si>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</si>
  <si>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</si>
  <si>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</si>
  <si>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</si>
  <si>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</si>
  <si>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</si>
  <si>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</si>
  <si>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</si>
  <si>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</si>
  <si>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</si>
  <si>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</si>
  <si>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</si>
  <si>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</si>
  <si>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</si>
  <si>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</si>
  <si>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</si>
  <si>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</si>
  <si>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</si>
  <si>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</si>
  <si>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</si>
  <si>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</si>
  <si>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</si>
  <si>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</si>
  <si>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</si>
  <si>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</si>
  <si>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</si>
  <si>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</si>
  <si>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</si>
  <si>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</si>
  <si>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</si>
  <si>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</si>
  <si>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</si>
  <si>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</si>
  <si>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</si>
  <si>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</si>
  <si>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</si>
  <si>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</si>
  <si>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</si>
  <si>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</si>
  <si>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</si>
  <si>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</si>
  <si>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</si>
  <si>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</si>
  <si>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</si>
  <si>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</si>
  <si>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</si>
  <si>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</si>
  <si>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</si>
  <si>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</si>
  <si>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</si>
  <si>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</si>
  <si>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</si>
  <si>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</si>
  <si>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</si>
  <si>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</si>
  <si>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</si>
  <si>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</si>
  <si>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</si>
  <si>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</si>
  <si>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</si>
  <si>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</si>
  <si>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</si>
  <si>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</si>
  <si>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</si>
  <si>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</si>
  <si>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</si>
  <si>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</si>
  <si>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</si>
  <si>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</si>
  <si>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</si>
  <si>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</si>
  <si>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</si>
  <si>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</si>
  <si>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</si>
  <si>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</si>
  <si>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</si>
  <si>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</si>
  <si>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</si>
  <si>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</si>
  <si>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</si>
  <si>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</si>
  <si>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</si>
  <si>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</si>
  <si>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</si>
  <si>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</si>
  <si>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</si>
  <si>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</si>
  <si>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</si>
  <si>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</si>
  <si>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</si>
  <si>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</si>
  <si>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</si>
  <si>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</si>
  <si>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</si>
  <si>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</si>
  <si>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</si>
  <si>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</si>
  <si>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</si>
  <si>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</si>
  <si>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</si>
  <si>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</si>
  <si>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</si>
  <si>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</si>
  <si>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</si>
  <si>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</si>
  <si>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</si>
  <si>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</si>
  <si>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</si>
  <si>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</si>
  <si>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</si>
  <si>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</si>
  <si>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</si>
  <si>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</si>
  <si>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</si>
  <si>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</si>
  <si>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</si>
  <si>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</si>
  <si>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</si>
  <si>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</si>
  <si>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</si>
  <si>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</si>
  <si>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</si>
  <si>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</si>
  <si>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</si>
  <si>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</si>
  <si>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</si>
  <si>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</si>
  <si>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</si>
  <si>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</si>
  <si>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</si>
  <si>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</si>
  <si>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</si>
  <si>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</si>
  <si>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</si>
  <si>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</si>
  <si>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</si>
  <si>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</si>
  <si>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</si>
  <si>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</si>
  <si>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</si>
  <si>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</si>
  <si>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</si>
  <si>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</si>
  <si>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</si>
  <si>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</si>
  <si>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</si>
  <si>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</si>
  <si>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</si>
  <si>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</si>
  <si>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</si>
  <si>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</si>
  <si>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</si>
  <si>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</si>
  <si>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</si>
  <si>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</si>
  <si>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</si>
  <si>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</si>
  <si>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</si>
  <si>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</si>
  <si>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</si>
  <si>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</si>
  <si>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</si>
  <si>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</si>
  <si>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</si>
  <si>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</si>
  <si>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</si>
  <si>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</si>
  <si>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</si>
  <si>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</si>
  <si>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</si>
  <si>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</si>
  <si>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</si>
  <si>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</si>
  <si>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</si>
  <si>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</si>
  <si>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</si>
  <si>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</si>
  <si>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</si>
  <si>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</si>
  <si>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</si>
  <si>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</si>
  <si>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</si>
  <si>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</si>
  <si>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</si>
  <si>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</si>
  <si>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</si>
  <si>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</si>
  <si>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</si>
  <si>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</si>
  <si>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</si>
  <si>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</si>
  <si>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</si>
  <si>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</si>
  <si>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</si>
  <si>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</si>
  <si>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</si>
  <si>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</si>
  <si>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</si>
  <si>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</si>
  <si>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</si>
  <si>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</si>
  <si>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</si>
  <si>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</si>
  <si>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</si>
  <si>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</si>
  <si>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</si>
  <si>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</si>
  <si>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</si>
  <si>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</si>
  <si>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</si>
  <si>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</si>
  <si>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</si>
  <si>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</si>
  <si>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</si>
  <si>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</si>
  <si>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</si>
  <si>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</si>
  <si>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</si>
  <si>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</si>
  <si>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</si>
  <si>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</si>
  <si>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</si>
  <si>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</si>
  <si>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</si>
  <si>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</si>
  <si>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</si>
  <si>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</si>
  <si>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</si>
  <si>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</si>
  <si>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</si>
  <si>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</si>
  <si>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</si>
  <si>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</si>
  <si>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</si>
  <si>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</si>
  <si>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</si>
  <si>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</si>
  <si>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</si>
  <si>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</si>
  <si>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</si>
  <si>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</si>
  <si>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</si>
  <si>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</si>
  <si>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</si>
  <si>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</si>
  <si>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</si>
  <si>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</si>
  <si>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</si>
  <si>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</si>
  <si>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</si>
  <si>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</si>
  <si>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</si>
  <si>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</si>
  <si>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</si>
  <si>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</si>
  <si>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</si>
  <si>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</si>
  <si>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</si>
  <si>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</si>
  <si>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</si>
  <si>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</si>
  <si>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</si>
  <si>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</si>
  <si>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</si>
  <si>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</si>
  <si>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</si>
  <si>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</si>
  <si>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</si>
  <si>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</si>
  <si>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</si>
  <si>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</si>
  <si>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</si>
  <si>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</si>
  <si>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</si>
  <si>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</si>
  <si>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</si>
  <si>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</si>
  <si>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</si>
  <si>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</si>
  <si>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</si>
  <si>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</si>
  <si>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</si>
  <si>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</si>
  <si>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</si>
  <si>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</si>
  <si>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</si>
  <si>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</si>
  <si>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</si>
  <si>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</si>
  <si>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</si>
  <si>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</si>
  <si>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</si>
  <si>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</si>
  <si>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</si>
  <si>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</si>
  <si>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</si>
  <si>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</si>
  <si>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</si>
  <si>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</si>
  <si>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</si>
  <si>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</si>
  <si>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</si>
  <si>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</si>
  <si>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</si>
  <si>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</si>
  <si>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</si>
  <si>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</si>
  <si>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</si>
  <si>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</si>
  <si>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</si>
  <si>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</si>
  <si>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</si>
  <si>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</si>
  <si>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</si>
  <si>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</si>
  <si>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</si>
  <si>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</si>
  <si>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</si>
  <si>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</si>
  <si>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</si>
  <si>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</si>
  <si>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</si>
  <si>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</si>
  <si>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</si>
  <si>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</si>
  <si>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</si>
  <si>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</si>
  <si>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</si>
  <si>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</si>
  <si>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</si>
  <si>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</si>
  <si>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</si>
  <si>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</si>
  <si>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</si>
  <si>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</si>
  <si>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</si>
  <si>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</si>
  <si>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</si>
  <si>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</si>
  <si>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</si>
  <si>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</si>
  <si>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</si>
  <si>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</si>
  <si>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</si>
  <si>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</si>
  <si>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</si>
  <si>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</si>
  <si>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</si>
  <si>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</si>
  <si>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</si>
  <si>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</si>
  <si>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</si>
  <si>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</si>
  <si>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</si>
  <si>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</si>
  <si>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</si>
  <si>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</si>
  <si>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</si>
  <si>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</si>
  <si>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</si>
  <si>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</si>
  <si>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</si>
  <si>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</si>
  <si>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</si>
  <si>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</si>
  <si>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</si>
  <si>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</si>
  <si>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</si>
  <si>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</si>
  <si>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</si>
  <si>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</si>
  <si>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</si>
  <si>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</si>
  <si>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</si>
  <si>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</si>
  <si>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</si>
  <si>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</si>
  <si>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</si>
  <si>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</si>
  <si>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</si>
  <si>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</si>
  <si>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</si>
  <si>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</si>
  <si>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</si>
  <si>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</si>
  <si>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</si>
  <si>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</si>
  <si>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</si>
  <si>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</si>
  <si>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</si>
  <si>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</si>
  <si>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</si>
  <si>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</si>
  <si>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</si>
  <si>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</si>
  <si>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</si>
  <si>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</si>
  <si>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</si>
  <si>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</si>
  <si>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</si>
  <si>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</si>
  <si>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</si>
  <si>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</si>
  <si>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</si>
  <si>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</si>
  <si>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</si>
  <si>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</si>
  <si>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</si>
  <si>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</si>
  <si>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</si>
  <si>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</si>
  <si>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</si>
  <si>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</si>
  <si>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</si>
  <si>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</si>
  <si>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</si>
  <si>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</si>
  <si>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</si>
  <si>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</si>
  <si>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</si>
  <si>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</si>
  <si>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</si>
  <si>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</si>
  <si>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</si>
  <si>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</si>
  <si>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</si>
  <si>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</si>
  <si>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</si>
  <si>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</si>
  <si>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</si>
  <si>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</si>
  <si>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</si>
  <si>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</si>
  <si>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</si>
  <si>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</si>
  <si>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</si>
  <si>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</si>
  <si>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</si>
  <si>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</si>
  <si>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</si>
  <si>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</si>
  <si>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</si>
  <si>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</si>
  <si>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</si>
  <si>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</si>
  <si>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</si>
  <si>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</si>
  <si>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</si>
  <si>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</si>
  <si>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</si>
  <si>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</si>
  <si>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</si>
  <si>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</si>
  <si>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</si>
  <si>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</si>
  <si>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</si>
  <si>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</si>
  <si>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</si>
  <si>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</si>
  <si>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</si>
  <si>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</si>
  <si>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</si>
  <si>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</si>
  <si>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</si>
  <si>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</si>
  <si>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</si>
  <si>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</si>
  <si>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</si>
  <si>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</si>
  <si>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</si>
  <si>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</si>
  <si>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</si>
  <si>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</si>
  <si>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</si>
  <si>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</si>
  <si>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</si>
  <si>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</si>
  <si>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</si>
  <si>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</si>
  <si>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</si>
  <si>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</si>
  <si>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</si>
  <si>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</si>
  <si>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</si>
  <si>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</si>
  <si>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</si>
  <si>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</si>
  <si>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</si>
  <si>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</si>
  <si>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</si>
  <si>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</si>
  <si>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</si>
  <si>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</si>
  <si>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</si>
  <si>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</si>
  <si>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</si>
  <si>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</si>
  <si>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</si>
  <si>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</si>
  <si>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</si>
  <si>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</si>
  <si>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</si>
  <si>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</si>
  <si>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</si>
  <si>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</si>
  <si>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</si>
  <si>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</si>
  <si>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</si>
  <si>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</si>
  <si>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</si>
  <si>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</si>
  <si>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</si>
  <si>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</si>
  <si>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</si>
  <si>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</si>
  <si>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</si>
  <si>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</si>
  <si>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</si>
  <si>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</si>
  <si>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</si>
  <si>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</si>
  <si>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</si>
  <si>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</si>
  <si>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</si>
  <si>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</si>
  <si>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</si>
  <si>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</si>
  <si>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</si>
  <si>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</si>
  <si>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</si>
  <si>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</si>
  <si>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</si>
  <si>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</si>
  <si>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</si>
  <si>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</si>
  <si>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</si>
  <si>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</si>
  <si>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</si>
  <si>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</si>
  <si>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</si>
  <si>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</si>
  <si>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</si>
  <si>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</si>
  <si>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</si>
  <si>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</si>
  <si>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</si>
  <si>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</si>
  <si>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</si>
  <si>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</si>
  <si>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</si>
  <si>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</si>
  <si>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</si>
  <si>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</si>
  <si>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</si>
  <si>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</si>
  <si>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</si>
  <si>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</si>
  <si>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</si>
  <si>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</si>
  <si>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</si>
  <si>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</si>
  <si>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</si>
  <si>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</si>
  <si>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</si>
  <si>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</si>
  <si>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</si>
  <si>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</si>
  <si>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</si>
  <si>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</si>
  <si>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</si>
  <si>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</si>
  <si>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</si>
  <si>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</si>
  <si>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</si>
  <si>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</si>
  <si>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</si>
  <si>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</si>
  <si>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</si>
  <si>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</si>
  <si>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</si>
  <si>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</si>
  <si>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</si>
  <si>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</si>
  <si>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</si>
  <si>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</si>
  <si>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</si>
  <si>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</si>
  <si>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</si>
  <si>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</si>
  <si>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</si>
  <si>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</si>
  <si>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</si>
  <si>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</si>
  <si>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</si>
  <si>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</si>
  <si>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</si>
  <si>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</si>
  <si>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</si>
  <si>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</si>
  <si>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</si>
  <si>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</si>
  <si>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</si>
  <si>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</si>
  <si>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</si>
  <si>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</si>
  <si>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</si>
  <si>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</si>
  <si>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</si>
  <si>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</si>
  <si>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</si>
  <si>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</si>
  <si>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</si>
  <si>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</si>
  <si>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</si>
  <si>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</si>
  <si>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</si>
  <si>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</si>
  <si>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</si>
  <si>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</si>
  <si>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</si>
  <si>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</si>
  <si>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</si>
  <si>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</si>
  <si>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</si>
  <si>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</si>
  <si>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</si>
  <si>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</si>
  <si>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</si>
  <si>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</si>
  <si>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</si>
  <si>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</si>
  <si>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</si>
  <si>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</si>
  <si>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</si>
  <si>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</si>
  <si>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</si>
  <si>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</si>
  <si>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</si>
  <si>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</si>
  <si>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</si>
  <si>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</si>
  <si>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</si>
  <si>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</si>
  <si>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</si>
  <si>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</si>
  <si>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</si>
  <si>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</si>
  <si>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</si>
  <si>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</si>
  <si>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</si>
  <si>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</si>
  <si>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</si>
  <si>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</si>
  <si>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</si>
  <si>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</si>
  <si>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</si>
  <si>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</si>
  <si>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</si>
  <si>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</si>
  <si>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</si>
  <si>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</si>
  <si>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</si>
  <si>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</si>
  <si>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</si>
  <si>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</si>
  <si>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</si>
  <si>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</si>
  <si>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</si>
  <si>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</si>
  <si>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</si>
  <si>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</si>
  <si>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</si>
  <si>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</si>
  <si>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</si>
  <si>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</si>
  <si>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</si>
  <si>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</si>
  <si>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</si>
  <si>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</si>
  <si>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</si>
  <si>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</si>
  <si>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</si>
  <si>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</si>
  <si>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</si>
  <si>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</si>
  <si>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</si>
  <si>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</si>
  <si>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</si>
  <si>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</si>
  <si>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</si>
  <si>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</si>
  <si>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</si>
  <si>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</si>
  <si>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</si>
  <si>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</si>
  <si>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</si>
  <si>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</si>
  <si>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</si>
  <si>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</si>
  <si>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</si>
  <si>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</si>
  <si>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</si>
  <si>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</si>
  <si>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</si>
  <si>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</si>
  <si>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</si>
  <si>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</si>
  <si>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</si>
  <si>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</si>
  <si>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</si>
  <si>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</si>
  <si>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</si>
  <si>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</si>
  <si>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</si>
  <si>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</si>
  <si>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</si>
  <si>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</si>
  <si>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</si>
  <si>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</si>
  <si>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</si>
  <si>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</si>
  <si>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</si>
  <si>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</si>
  <si>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</si>
  <si>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</si>
  <si>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</si>
  <si>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</si>
  <si>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</si>
  <si>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</si>
  <si>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</si>
  <si>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</si>
  <si>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</si>
  <si>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</si>
  <si>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</si>
  <si>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</si>
  <si>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</si>
  <si>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</si>
  <si>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</si>
  <si>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</si>
  <si>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</si>
  <si>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</si>
  <si>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</si>
  <si>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</si>
  <si>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</si>
  <si>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</si>
  <si>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</si>
  <si>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</si>
  <si>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</si>
  <si>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</si>
  <si>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</si>
  <si>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</si>
  <si>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</si>
  <si>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</si>
  <si>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</si>
  <si>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</si>
  <si>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</si>
  <si>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</si>
  <si>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</si>
  <si>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</si>
  <si>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</si>
  <si>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</si>
  <si>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</si>
  <si>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</si>
  <si>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</si>
  <si>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</si>
  <si>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</si>
  <si>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</si>
  <si>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</si>
  <si>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</si>
  <si>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</si>
  <si>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</si>
  <si>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</si>
  <si>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</si>
  <si>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</si>
  <si>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</si>
  <si>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</si>
  <si>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</si>
  <si>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</si>
  <si>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</si>
  <si>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</si>
  <si>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</si>
  <si>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</si>
  <si>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</si>
  <si>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</si>
  <si>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</si>
  <si>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</si>
  <si>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</si>
  <si>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</si>
  <si>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</si>
  <si>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</si>
  <si>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</si>
  <si>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</si>
  <si>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</si>
  <si>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</si>
  <si>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</si>
  <si>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</si>
  <si>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</si>
  <si>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</si>
  <si>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</si>
  <si>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</si>
  <si>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</si>
  <si>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</si>
  <si>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</si>
  <si>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</si>
  <si>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</si>
  <si>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</si>
  <si>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</si>
  <si>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</si>
  <si>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</si>
  <si>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</si>
  <si>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</si>
  <si>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</si>
  <si>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</si>
  <si>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</si>
  <si>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</si>
  <si>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</si>
  <si>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</si>
  <si>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</si>
  <si>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</si>
  <si>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</si>
  <si>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</si>
  <si>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</si>
  <si>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</si>
  <si>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</si>
  <si>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</si>
  <si>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</si>
  <si>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</si>
  <si>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</si>
  <si>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</si>
  <si>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</si>
  <si>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</si>
  <si>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</si>
  <si>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</si>
  <si>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</si>
  <si>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</si>
  <si>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</si>
  <si>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</si>
  <si>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</si>
  <si>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</si>
  <si>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</si>
  <si>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</si>
  <si>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</si>
  <si>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</si>
  <si>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</si>
  <si>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</si>
  <si>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</si>
  <si>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</si>
  <si>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</si>
  <si>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</si>
  <si>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</si>
  <si>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</si>
  <si>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</si>
  <si>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</si>
  <si>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</si>
  <si>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</si>
  <si>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</si>
  <si>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</si>
  <si>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</si>
  <si>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</si>
  <si>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</si>
  <si>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</si>
  <si>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</si>
  <si>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</si>
  <si>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</si>
  <si>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</si>
  <si>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</si>
  <si>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</si>
  <si>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</si>
  <si>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</si>
  <si>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</si>
  <si>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</si>
  <si>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</si>
  <si>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</si>
  <si>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</si>
  <si>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</si>
  <si>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</si>
  <si>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</si>
  <si>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</si>
  <si>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</si>
  <si>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</si>
  <si>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</si>
  <si>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</si>
  <si>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</si>
  <si>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</si>
  <si>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</si>
  <si>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</si>
  <si>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</si>
  <si>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</si>
  <si>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</si>
  <si>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</si>
  <si>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</si>
  <si>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</si>
  <si>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</si>
  <si>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</si>
  <si>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</si>
  <si>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</si>
  <si>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</si>
  <si>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</si>
  <si>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</si>
  <si>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</si>
  <si>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</si>
  <si>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</si>
  <si>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</si>
  <si>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</si>
  <si>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</si>
  <si>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</si>
  <si>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</si>
  <si>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</si>
  <si>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</si>
  <si>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</si>
  <si>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</si>
  <si>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</si>
  <si>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</si>
  <si>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</si>
  <si>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</si>
  <si>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</si>
  <si>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</si>
  <si>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</si>
  <si>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</si>
  <si>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</si>
  <si>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</si>
  <si>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</si>
  <si>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</si>
  <si>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</si>
  <si>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</si>
  <si>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</si>
  <si>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</si>
  <si>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</si>
  <si>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</si>
  <si>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</si>
  <si>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</si>
  <si>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</si>
  <si>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</si>
  <si>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</si>
  <si>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</si>
  <si>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</si>
  <si>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</si>
  <si>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</si>
  <si>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</si>
  <si>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</si>
  <si>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</si>
  <si>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</si>
  <si>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</si>
  <si>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</si>
  <si>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</si>
  <si>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</si>
  <si>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</si>
  <si>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</si>
  <si>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</si>
  <si>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</si>
  <si>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</si>
  <si>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</si>
  <si>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</si>
  <si>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</si>
  <si>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</si>
  <si>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</si>
  <si>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</si>
  <si>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</si>
  <si>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</si>
  <si>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</si>
  <si>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</si>
  <si>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</si>
  <si>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</si>
  <si>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</si>
  <si>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</si>
  <si>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</si>
  <si>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</si>
  <si>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</si>
  <si>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</si>
  <si>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</si>
  <si>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</si>
  <si>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</si>
  <si>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</si>
  <si>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</si>
  <si>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</si>
  <si>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</si>
  <si>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</si>
  <si>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</si>
  <si>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</si>
  <si>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</si>
  <si>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</si>
  <si>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</si>
  <si>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</si>
  <si>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</si>
  <si>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</si>
  <si>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</si>
  <si>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</si>
  <si>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</si>
  <si>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</si>
  <si>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</si>
  <si>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</si>
  <si>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</si>
  <si>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</si>
  <si>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</si>
  <si>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</si>
  <si>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</si>
  <si>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</si>
  <si>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</si>
  <si>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</si>
  <si>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</si>
  <si>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</si>
  <si>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</si>
  <si>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</si>
  <si>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</si>
  <si>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</si>
  <si>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</si>
  <si>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</si>
  <si>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</si>
  <si>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</si>
  <si>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</si>
  <si>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</si>
  <si>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</si>
  <si>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</si>
  <si>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</si>
  <si>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</si>
  <si>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</si>
  <si>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</si>
  <si>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</si>
  <si>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</si>
  <si>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</si>
  <si>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</si>
  <si>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</si>
  <si>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</si>
  <si>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</si>
  <si>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</si>
  <si>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</si>
  <si>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</si>
  <si>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</si>
  <si>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</si>
  <si>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</si>
  <si>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</si>
  <si>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</si>
  <si>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</si>
  <si>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</si>
  <si>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</si>
  <si>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</si>
  <si>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</si>
  <si>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</si>
  <si>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</si>
  <si>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</si>
  <si>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</si>
  <si>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</si>
  <si>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</si>
  <si>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</si>
  <si>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</si>
  <si>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</si>
  <si>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</si>
  <si>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</si>
  <si>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</si>
  <si>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</si>
  <si>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</si>
  <si>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</si>
  <si>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</si>
  <si>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</si>
  <si>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</si>
  <si>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</si>
  <si>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</si>
  <si>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</si>
  <si>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</si>
  <si>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</si>
  <si>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</si>
  <si>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</si>
  <si>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</si>
  <si>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</si>
  <si>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</si>
  <si>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</si>
  <si>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</si>
  <si>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</si>
  <si>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</si>
  <si>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</si>
  <si>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</si>
  <si>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</si>
  <si>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</si>
  <si>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</si>
  <si>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</si>
  <si>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</si>
  <si>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</si>
  <si>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</si>
  <si>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</si>
  <si>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</si>
  <si>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</si>
  <si>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</si>
  <si>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</si>
  <si>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</si>
  <si>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</si>
  <si>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</si>
  <si>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</si>
  <si>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</si>
  <si>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</si>
  <si>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</si>
  <si>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</si>
  <si>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</si>
  <si>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</si>
  <si>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</si>
  <si>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</si>
  <si>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</si>
  <si>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</si>
  <si>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</si>
  <si>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</si>
  <si>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</si>
  <si>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</si>
  <si>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</si>
  <si>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</si>
  <si>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</si>
  <si>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</si>
  <si>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</si>
  <si>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</si>
  <si>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</si>
  <si>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</si>
  <si>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</si>
  <si>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</si>
  <si>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</si>
  <si>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</si>
  <si>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</si>
  <si>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</si>
  <si>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</si>
  <si>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</si>
  <si>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</si>
  <si>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</si>
  <si>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</si>
  <si>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</si>
  <si>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</si>
  <si>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</si>
  <si>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</si>
  <si>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</si>
  <si>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</si>
  <si>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</si>
  <si>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</si>
  <si>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</si>
  <si>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</si>
  <si>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</si>
  <si>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</si>
  <si>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</si>
  <si>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</si>
  <si>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</si>
  <si>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</si>
  <si>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</si>
  <si>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</si>
  <si>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</si>
  <si>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</si>
  <si>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</si>
  <si>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</si>
  <si>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</si>
  <si>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</si>
  <si>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</si>
  <si>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</si>
  <si>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</si>
  <si>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</si>
  <si>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</si>
  <si>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</si>
  <si>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</si>
  <si>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</si>
  <si>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</si>
  <si>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</si>
  <si>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</si>
  <si>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</si>
  <si>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</si>
  <si>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</si>
  <si>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</si>
  <si>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</si>
  <si>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</si>
  <si>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</si>
  <si>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</si>
  <si>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</si>
  <si>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</si>
  <si>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</si>
  <si>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</si>
  <si>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</si>
  <si>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</si>
  <si>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</si>
  <si>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</si>
  <si>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</si>
  <si>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</si>
  <si>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</si>
  <si>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</si>
  <si>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</si>
  <si>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</si>
  <si>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</si>
  <si>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</si>
  <si>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</si>
  <si>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</si>
  <si>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</si>
  <si>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</si>
  <si>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</si>
  <si>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</si>
  <si>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</si>
  <si>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</si>
  <si>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</si>
  <si>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</si>
  <si>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</si>
  <si>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</si>
  <si>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</si>
  <si>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</si>
  <si>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</si>
  <si>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</si>
  <si>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</si>
  <si>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</si>
  <si>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</si>
  <si>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</si>
  <si>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</si>
  <si>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</si>
  <si>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</si>
  <si>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</si>
  <si>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</si>
  <si>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</si>
  <si>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</si>
  <si>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</si>
  <si>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</si>
  <si>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</si>
  <si>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</si>
  <si>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</si>
  <si>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</si>
  <si>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</si>
  <si>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</si>
  <si>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</si>
  <si>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</si>
  <si>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</si>
  <si>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</si>
  <si>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</si>
  <si>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</si>
  <si>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</si>
  <si>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</si>
  <si>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</si>
  <si>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</si>
  <si>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</si>
  <si>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</si>
  <si>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</si>
  <si>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</si>
  <si>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</si>
  <si>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</si>
  <si>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</si>
  <si>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</si>
  <si>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</si>
  <si>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</si>
  <si>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</si>
  <si>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</si>
  <si>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</si>
  <si>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</si>
  <si>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</si>
  <si>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</si>
  <si>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</si>
  <si>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</si>
  <si>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</si>
  <si>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</si>
  <si>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</si>
  <si>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</si>
  <si>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</si>
  <si>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</si>
  <si>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</si>
  <si>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</si>
  <si>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</si>
  <si>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</si>
  <si>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</si>
  <si>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</si>
  <si>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</si>
  <si>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</si>
  <si>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</si>
  <si>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</si>
  <si>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</si>
  <si>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</si>
  <si>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</si>
  <si>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</si>
  <si>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</si>
  <si>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</si>
  <si>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</si>
  <si>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</si>
  <si>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</si>
  <si>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</si>
  <si>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</si>
  <si>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</si>
  <si>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</si>
  <si>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</si>
  <si>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</si>
  <si>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</si>
  <si>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</si>
  <si>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</si>
  <si>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</si>
  <si>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</si>
  <si>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</si>
  <si>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</si>
  <si>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</si>
  <si>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</si>
  <si>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</si>
  <si>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</si>
  <si>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</si>
  <si>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</si>
  <si>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</si>
  <si>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</si>
  <si>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</si>
  <si>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</si>
  <si>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</si>
  <si>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</si>
  <si>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</si>
  <si>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</si>
  <si>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</si>
  <si>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</si>
  <si>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</si>
  <si>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</si>
  <si>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</si>
  <si>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</si>
  <si>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</si>
  <si>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</si>
  <si>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</si>
  <si>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</si>
  <si>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</si>
  <si>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</si>
  <si>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</si>
  <si>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</si>
  <si>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</si>
  <si>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</si>
  <si>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</si>
  <si>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</si>
  <si>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</si>
  <si>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</si>
  <si>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</si>
  <si>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</si>
  <si>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</si>
  <si>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</si>
  <si>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</si>
  <si>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</si>
  <si>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</si>
  <si>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</si>
  <si>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</si>
  <si>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</si>
  <si>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</si>
  <si>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</si>
  <si>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</si>
  <si>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</si>
  <si>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</si>
  <si>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</si>
  <si>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</si>
  <si>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</si>
  <si>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</si>
  <si>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</si>
  <si>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</si>
  <si>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</si>
  <si>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</si>
  <si>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</si>
  <si>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</si>
  <si>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</si>
  <si>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</si>
  <si>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</si>
  <si>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</si>
  <si>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</si>
  <si>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</si>
  <si>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</si>
  <si>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</si>
  <si>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</si>
  <si>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</si>
  <si>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</si>
  <si>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</si>
  <si>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</si>
  <si>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</si>
  <si>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</si>
  <si>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</si>
  <si>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</si>
  <si>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</si>
  <si>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</si>
  <si>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</si>
  <si>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</si>
  <si>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</si>
  <si>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</si>
  <si>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</si>
  <si>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</si>
  <si>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</si>
  <si>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</si>
  <si>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</si>
  <si>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</si>
  <si>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</si>
  <si>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</si>
  <si>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</si>
  <si>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</si>
  <si>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</si>
  <si>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</si>
  <si>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</si>
  <si>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</si>
  <si>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</si>
  <si>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</si>
  <si>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</si>
  <si>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</si>
  <si>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</si>
  <si>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</si>
  <si>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</si>
  <si>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</si>
  <si>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</si>
  <si>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</si>
  <si>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</si>
  <si>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</si>
  <si>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</si>
  <si>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</si>
  <si>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</si>
  <si>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</si>
  <si>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</si>
  <si>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</si>
  <si>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</si>
  <si>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</si>
  <si>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</si>
  <si>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</si>
  <si>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</si>
  <si>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</si>
  <si>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</si>
  <si>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</si>
  <si>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VERMILION</t>
  </si>
  <si>
    <t>Scott Watson</t>
  </si>
  <si>
    <t>watsons@bismarck.k12.il.us</t>
  </si>
  <si>
    <t>Bismarck</t>
  </si>
  <si>
    <t>RUSSELL LEIGH &amp; ASSOCIATES</t>
  </si>
  <si>
    <t>RUSS LEIGH</t>
  </si>
  <si>
    <t>228 E MAIN ST</t>
  </si>
  <si>
    <t>HOOPESTON</t>
  </si>
  <si>
    <t>IL</t>
  </si>
  <si>
    <t>217-283-9336</t>
  </si>
  <si>
    <t>217-283-9736</t>
  </si>
  <si>
    <t>065.018319</t>
  </si>
  <si>
    <t>admin@russleigh.com</t>
  </si>
  <si>
    <t>17268 E 2750 NORTH RD</t>
  </si>
  <si>
    <t>217-759-7291</t>
  </si>
  <si>
    <t>Russell Leigh &amp; Assoicates</t>
  </si>
  <si>
    <t>No applicable contracts paid.</t>
  </si>
  <si>
    <t>Vermilion Association for Special Education</t>
  </si>
  <si>
    <t>Page 2 - Auditor's Questionnaire</t>
  </si>
  <si>
    <t>#20 - Other Findings</t>
  </si>
  <si>
    <t>Cash did not balance during the year.</t>
  </si>
  <si>
    <t>Several Activity Funds present with activity that did not directly benefit students.</t>
  </si>
  <si>
    <t>Bismarck Henning Rossville Alvin Coop 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</si>
</sst>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73" fillId="0" borderId="0" xfId="0" applyFont="1"/>
    <xf numFmtId="0" fontId="64" fillId="0" borderId="0" xfId="0"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447675</xdr:colOff>
          <xdr:row>3</xdr:row>
          <xdr:rowOff>19050</xdr:rowOff>
        </xdr:from>
        <xdr:to>
          <xdr:col>1</xdr:col>
          <xdr:colOff>1362075</xdr:colOff>
          <xdr:row>7</xdr:row>
          <xdr:rowOff>57150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c r="C5" s="26" t="s">
        <v>966</v>
      </c>
      <c r="D5" s="84"/>
      <c r="E5" s="84"/>
      <c r="H5" s="38"/>
      <c r="I5" s="2011" t="s">
        <v>701</v>
      </c>
      <c r="J5" s="2010"/>
      <c r="K5" s="2010"/>
      <c r="L5" s="2010"/>
      <c r="M5" s="2010"/>
      <c r="N5" s="2010"/>
      <c r="O5" s="2010"/>
      <c r="P5" s="2010"/>
      <c r="Q5" s="2010"/>
      <c r="R5" s="2010"/>
      <c r="S5" s="2010"/>
    </row>
    <row r="6" spans="1:28" ht="14.1" customHeight="1" x14ac:dyDescent="0.2">
      <c r="B6" s="104" t="s">
        <v>2077</v>
      </c>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54092800080</v>
      </c>
      <c r="B13" s="2037"/>
      <c r="C13" s="2037"/>
      <c r="D13" s="2037"/>
      <c r="E13" s="2037"/>
      <c r="F13" s="2037"/>
      <c r="G13" s="2037"/>
      <c r="H13" s="2038"/>
      <c r="I13" s="31"/>
      <c r="J13" s="30"/>
      <c r="K13" s="28"/>
      <c r="L13" s="30"/>
      <c r="M13" s="30"/>
      <c r="N13" s="30"/>
      <c r="O13" s="30"/>
      <c r="P13" s="30"/>
      <c r="Q13" s="30"/>
      <c r="R13" s="30"/>
      <c r="S13" s="30"/>
      <c r="T13" s="2041" t="s">
        <v>2082</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2078</v>
      </c>
      <c r="B15" s="2039"/>
      <c r="C15" s="2039"/>
      <c r="D15" s="2039"/>
      <c r="E15" s="2039"/>
      <c r="F15" s="2039"/>
      <c r="G15" s="2039"/>
      <c r="H15" s="2040"/>
      <c r="T15" s="2045" t="s">
        <v>2083</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2100</v>
      </c>
      <c r="B17" s="1996"/>
      <c r="C17" s="1996"/>
      <c r="D17" s="1996"/>
      <c r="E17" s="1996"/>
      <c r="F17" s="1996"/>
      <c r="G17" s="1996"/>
      <c r="H17" s="2021"/>
      <c r="T17" s="2052" t="s">
        <v>2084</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2091</v>
      </c>
      <c r="B19" s="1981"/>
      <c r="C19" s="1981"/>
      <c r="D19" s="1981"/>
      <c r="E19" s="1981"/>
      <c r="F19" s="1981"/>
      <c r="G19" s="1981"/>
      <c r="H19" s="1961"/>
      <c r="I19" s="30"/>
      <c r="J19" s="99"/>
      <c r="K19" s="40"/>
      <c r="L19" s="38"/>
      <c r="M19" s="112" t="s">
        <v>333</v>
      </c>
      <c r="P19" s="27"/>
      <c r="Q19" s="27"/>
      <c r="R19" s="27"/>
      <c r="S19" s="31"/>
      <c r="T19" s="2035" t="s">
        <v>2085</v>
      </c>
      <c r="U19" s="1960"/>
      <c r="V19" s="1960"/>
      <c r="W19" s="1961"/>
      <c r="X19" s="2050" t="s">
        <v>2086</v>
      </c>
      <c r="Y19" s="2051"/>
      <c r="Z19" s="2048">
        <v>60942</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2081</v>
      </c>
      <c r="B21" s="1960"/>
      <c r="C21" s="1960"/>
      <c r="D21" s="1960"/>
      <c r="E21" s="1960"/>
      <c r="F21" s="1960"/>
      <c r="G21" s="1960"/>
      <c r="H21" s="1961"/>
      <c r="I21" s="2015" t="s">
        <v>699</v>
      </c>
      <c r="J21" s="2010"/>
      <c r="K21" s="2010"/>
      <c r="L21" s="2010"/>
      <c r="M21" s="2010"/>
      <c r="N21" s="2010"/>
      <c r="O21" s="2010"/>
      <c r="P21" s="2010"/>
      <c r="Q21" s="2010"/>
      <c r="R21" s="2010"/>
      <c r="S21" s="2016"/>
      <c r="T21" s="2060" t="s">
        <v>2087</v>
      </c>
      <c r="U21" s="2061"/>
      <c r="V21" s="2061"/>
      <c r="W21" s="2061"/>
      <c r="X21" s="2066" t="s">
        <v>2088</v>
      </c>
      <c r="Y21" s="2067"/>
      <c r="Z21" s="2067"/>
      <c r="AA21" s="2068"/>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2058" t="s">
        <v>2089</v>
      </c>
      <c r="U23" s="2059"/>
      <c r="V23" s="2059"/>
      <c r="W23" s="2059"/>
      <c r="X23" s="2063">
        <v>44469</v>
      </c>
      <c r="Y23" s="2064"/>
      <c r="Z23" s="2064"/>
      <c r="AA23" s="2065"/>
    </row>
    <row r="24" spans="1:27" ht="14.1" customHeight="1" x14ac:dyDescent="0.2">
      <c r="A24" s="88" t="s">
        <v>698</v>
      </c>
      <c r="B24" s="49"/>
      <c r="C24" s="49"/>
      <c r="D24" s="49"/>
      <c r="E24" s="49"/>
      <c r="F24" s="49"/>
      <c r="G24" s="49"/>
      <c r="H24" s="61"/>
      <c r="J24" s="1982" t="str">
        <f>IF(B5="x",IF(AUDITCHECK!D29="AFR form Incomplete.","",IF(AUDITCHECK!D29="Deficit reduction plan is required.","School District must complete a deficit reduction plan in the 2018-2019 Budget",)),"")</f>
        <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61814</v>
      </c>
      <c r="B25" s="1960"/>
      <c r="C25" s="1960"/>
      <c r="D25" s="1960"/>
      <c r="E25" s="1960"/>
      <c r="F25" s="1960"/>
      <c r="G25" s="1960"/>
      <c r="H25" s="1961"/>
      <c r="I25" s="113"/>
      <c r="J25" s="1984"/>
      <c r="K25" s="1984"/>
      <c r="L25" s="1984"/>
      <c r="M25" s="1984"/>
      <c r="N25" s="1984"/>
      <c r="O25" s="1984"/>
      <c r="P25" s="1984"/>
      <c r="Q25" s="1984"/>
      <c r="R25" s="1984"/>
      <c r="S25" s="1985"/>
      <c r="T25" s="2055" t="s">
        <v>2090</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2079</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2080</v>
      </c>
      <c r="B40" s="1974"/>
      <c r="C40" s="1975"/>
      <c r="D40" s="1975"/>
      <c r="E40" s="1975"/>
      <c r="F40" s="1976"/>
      <c r="G40" s="1976"/>
      <c r="H40" s="1977"/>
      <c r="I40" s="1998"/>
      <c r="J40" s="1999"/>
      <c r="K40" s="1999"/>
      <c r="L40" s="1999"/>
      <c r="M40" s="1999"/>
      <c r="N40" s="1999"/>
      <c r="O40" s="1999"/>
      <c r="P40" s="1999"/>
      <c r="Q40" s="1999"/>
      <c r="R40" s="1999"/>
      <c r="S40" s="2000"/>
      <c r="T40" s="1998"/>
      <c r="U40" s="2062"/>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2092</v>
      </c>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2093</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3221511</v>
      </c>
      <c r="E16" s="356"/>
      <c r="F16" s="1755">
        <f>SUM('Acct Summary 7-8'!C17,'Acct Summary 7-8'!D17,'Acct Summary 7-8'!F17)</f>
        <v>2968963</v>
      </c>
      <c r="G16" s="356"/>
      <c r="H16" s="1755">
        <f>SUM(D16-F16)</f>
        <v>252548</v>
      </c>
      <c r="I16" s="222"/>
      <c r="J16" s="1755">
        <f>SUM('Acct Summary 7-8'!C81,'Acct Summary 7-8'!D81,'Acct Summary 7-8'!F81,'Acct Summary 7-8'!I81)</f>
        <v>252548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Bismarck Henning Rossville Alvin Coop HS</v>
      </c>
      <c r="E7" s="391"/>
      <c r="G7" s="252"/>
      <c r="H7" s="387"/>
      <c r="I7" s="387"/>
      <c r="J7" s="387"/>
      <c r="K7" s="387"/>
      <c r="L7" s="329"/>
      <c r="M7" s="329"/>
      <c r="N7" s="329"/>
      <c r="O7" s="329"/>
      <c r="P7" s="329"/>
    </row>
    <row r="8" spans="1:18" ht="12.75" x14ac:dyDescent="0.2">
      <c r="A8" s="329"/>
      <c r="B8" s="329"/>
      <c r="C8" s="389" t="s">
        <v>1187</v>
      </c>
      <c r="D8" s="392">
        <f>COVER!A13</f>
        <v>54092800080</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252548</v>
      </c>
      <c r="I12" s="404"/>
      <c r="J12" s="404"/>
      <c r="K12" s="405">
        <f>TRUNC((H12/H13*100000),5)/100000</f>
        <v>7.8394269000000003E-2</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3221511</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2968963</v>
      </c>
      <c r="I17" s="404"/>
      <c r="J17" s="416"/>
      <c r="K17" s="405">
        <f>TRUNC((H17/H18*100000),5)/100000</f>
        <v>0.92160573090000009</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3221511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356876</v>
      </c>
      <c r="I24" s="422"/>
      <c r="J24" s="422"/>
      <c r="K24" s="423">
        <f>TRUNC(((H24/H25*100000)/100000),2)</f>
        <v>43.27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8247.1194400000004</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356876</v>
      </c>
      <c r="D4" s="466"/>
      <c r="E4" s="466"/>
      <c r="F4" s="466"/>
      <c r="G4" s="466"/>
      <c r="H4" s="466"/>
      <c r="I4" s="466"/>
      <c r="J4" s="467"/>
      <c r="K4" s="466"/>
      <c r="L4" s="466">
        <v>189595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356876</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189595</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14580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14580</v>
      </c>
      <c r="N23" s="1710">
        <f>SUM(N21:N22)</f>
        <v>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104328</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189595</v>
      </c>
      <c r="M33" s="468"/>
      <c r="N33" s="469"/>
    </row>
    <row r="34" spans="1:14" ht="13.5" customHeight="1" thickBot="1" x14ac:dyDescent="0.25">
      <c r="A34" s="1760" t="s">
        <v>675</v>
      </c>
      <c r="B34" s="1761"/>
      <c r="C34" s="1762">
        <f>SUM(C25:C33)</f>
        <v>104328</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189595</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252548</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14580</v>
      </c>
      <c r="N40" s="497"/>
    </row>
    <row r="41" spans="1:14" ht="13.5" customHeight="1" thickBot="1" x14ac:dyDescent="0.25">
      <c r="A41" s="1758" t="s">
        <v>676</v>
      </c>
      <c r="B41" s="1728"/>
      <c r="C41" s="1710">
        <f>(SUM(C34,C37,C38,C39))</f>
        <v>356876</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189595</v>
      </c>
      <c r="M41" s="1710">
        <f>SUM(M40)</f>
        <v>14580</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3143053</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78458</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3221511</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8" t="s">
        <v>1235</v>
      </c>
      <c r="B10" s="1731"/>
      <c r="C10" s="1710">
        <f>SUM(C8:C9)</f>
        <v>3221511</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2022325</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905270</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41368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2968963</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2968963</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5" t="s">
        <v>1754</v>
      </c>
      <c r="B20" s="2146"/>
      <c r="C20" s="1768">
        <f>C8-C17</f>
        <v>252548</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252548</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2071</v>
      </c>
      <c r="B79" s="534"/>
      <c r="C79" s="478">
        <v>0</v>
      </c>
      <c r="D79" s="535"/>
      <c r="E79" s="535"/>
      <c r="F79" s="535"/>
      <c r="G79" s="535"/>
      <c r="H79" s="535"/>
      <c r="I79" s="535"/>
      <c r="J79" s="535"/>
      <c r="K79" s="535"/>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252548</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252548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1</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v>3023786</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3023786</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417</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417</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38471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6150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44621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16160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16160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39250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7400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11419</v>
      </c>
      <c r="D107" s="466"/>
      <c r="E107" s="466"/>
      <c r="F107" s="466"/>
      <c r="G107" s="466"/>
      <c r="H107" s="466"/>
      <c r="I107" s="466"/>
      <c r="J107" s="467"/>
      <c r="K107" s="466"/>
    </row>
    <row r="108" spans="1:12" ht="12.75" customHeight="1" thickBot="1" x14ac:dyDescent="0.25">
      <c r="A108" s="1730" t="s">
        <v>508</v>
      </c>
      <c r="B108" s="1734"/>
      <c r="C108" s="1729">
        <f>SUM(C95:C107)</f>
        <v>58069</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3143053</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34000</v>
      </c>
      <c r="D125" s="561"/>
      <c r="E125" s="468"/>
      <c r="F125" s="466"/>
      <c r="G125" s="468"/>
      <c r="H125" s="468"/>
      <c r="I125" s="468"/>
      <c r="J125" s="468"/>
      <c r="K125" s="468"/>
    </row>
    <row r="126" spans="1:11" ht="12.75" customHeight="1" x14ac:dyDescent="0.2">
      <c r="A126" s="463" t="s">
        <v>922</v>
      </c>
      <c r="B126" s="562">
        <v>3110</v>
      </c>
      <c r="C126" s="551">
        <v>36300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70300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8158</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78458</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78458</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3221511</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915516</v>
      </c>
      <c r="D5" s="466">
        <v>238068</v>
      </c>
      <c r="E5" s="466">
        <v>254460</v>
      </c>
      <c r="F5" s="466">
        <v>68814</v>
      </c>
      <c r="G5" s="466">
        <v>11326</v>
      </c>
      <c r="H5" s="466">
        <v>7902</v>
      </c>
      <c r="I5" s="467"/>
      <c r="J5" s="467"/>
      <c r="K5" s="1693">
        <f>SUM(C5:J5)</f>
        <v>1496086</v>
      </c>
      <c r="L5" s="466">
        <v>1318658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186111</v>
      </c>
      <c r="D8" s="466">
        <v>50808</v>
      </c>
      <c r="E8" s="466">
        <v>972</v>
      </c>
      <c r="F8" s="466">
        <v>1036</v>
      </c>
      <c r="G8" s="466"/>
      <c r="H8" s="466"/>
      <c r="I8" s="467"/>
      <c r="J8" s="467"/>
      <c r="K8" s="1693">
        <f t="shared" si="0"/>
        <v>238927</v>
      </c>
      <c r="L8" s="466">
        <v>267075</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93055</v>
      </c>
      <c r="D13" s="466">
        <v>24865</v>
      </c>
      <c r="E13" s="466">
        <v>226</v>
      </c>
      <c r="F13" s="466">
        <v>2755</v>
      </c>
      <c r="G13" s="466"/>
      <c r="H13" s="466"/>
      <c r="I13" s="467"/>
      <c r="J13" s="467"/>
      <c r="K13" s="1693">
        <f t="shared" si="0"/>
        <v>120901</v>
      </c>
      <c r="L13" s="466">
        <v>134245</v>
      </c>
    </row>
    <row r="14" spans="1:14" x14ac:dyDescent="0.2">
      <c r="A14" s="1526" t="s">
        <v>1020</v>
      </c>
      <c r="B14" s="615">
        <v>1500</v>
      </c>
      <c r="C14" s="466">
        <v>83955</v>
      </c>
      <c r="D14" s="466">
        <v>7975</v>
      </c>
      <c r="E14" s="466">
        <v>25757</v>
      </c>
      <c r="F14" s="466">
        <v>46284</v>
      </c>
      <c r="G14" s="466">
        <v>952</v>
      </c>
      <c r="H14" s="466">
        <v>1488</v>
      </c>
      <c r="I14" s="467"/>
      <c r="J14" s="467"/>
      <c r="K14" s="1693">
        <f t="shared" si="0"/>
        <v>166411</v>
      </c>
      <c r="L14" s="466">
        <v>191675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1278637</v>
      </c>
      <c r="D33" s="1692">
        <f t="shared" ref="D33:L33" si="1">SUM(D5:D32)</f>
        <v>321716</v>
      </c>
      <c r="E33" s="1692">
        <f t="shared" si="1"/>
        <v>281415</v>
      </c>
      <c r="F33" s="1692">
        <f t="shared" si="1"/>
        <v>118889</v>
      </c>
      <c r="G33" s="1692">
        <f t="shared" si="1"/>
        <v>12278</v>
      </c>
      <c r="H33" s="1692">
        <f t="shared" si="1"/>
        <v>9390</v>
      </c>
      <c r="I33" s="1692">
        <f t="shared" si="1"/>
        <v>0</v>
      </c>
      <c r="J33" s="1692">
        <f t="shared" si="1"/>
        <v>0</v>
      </c>
      <c r="K33" s="1692">
        <f t="shared" si="1"/>
        <v>2022325</v>
      </c>
      <c r="L33" s="1692">
        <f t="shared" si="1"/>
        <v>1911653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59071</v>
      </c>
      <c r="D37" s="466">
        <v>14296</v>
      </c>
      <c r="E37" s="466">
        <v>102</v>
      </c>
      <c r="F37" s="466">
        <v>134</v>
      </c>
      <c r="G37" s="466"/>
      <c r="H37" s="466"/>
      <c r="I37" s="467"/>
      <c r="J37" s="467"/>
      <c r="K37" s="1693">
        <f t="shared" si="2"/>
        <v>73603</v>
      </c>
      <c r="L37" s="466">
        <v>80949</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v>29285</v>
      </c>
    </row>
    <row r="42" spans="1:14" ht="12.75" customHeight="1" thickBot="1" x14ac:dyDescent="0.25">
      <c r="A42" s="1690" t="s">
        <v>581</v>
      </c>
      <c r="B42" s="1691" t="s">
        <v>740</v>
      </c>
      <c r="C42" s="1692">
        <f>SUM(C36:C41)</f>
        <v>59071</v>
      </c>
      <c r="D42" s="1692">
        <f t="shared" ref="D42:L42" si="3">SUM(D36:D41)</f>
        <v>14296</v>
      </c>
      <c r="E42" s="1692">
        <f t="shared" si="3"/>
        <v>102</v>
      </c>
      <c r="F42" s="1692">
        <f t="shared" si="3"/>
        <v>134</v>
      </c>
      <c r="G42" s="1692">
        <f t="shared" si="3"/>
        <v>0</v>
      </c>
      <c r="H42" s="1692">
        <f t="shared" si="3"/>
        <v>0</v>
      </c>
      <c r="I42" s="1692">
        <f t="shared" si="3"/>
        <v>0</v>
      </c>
      <c r="J42" s="1692">
        <f t="shared" si="3"/>
        <v>0</v>
      </c>
      <c r="K42" s="1692">
        <f t="shared" si="3"/>
        <v>73603</v>
      </c>
      <c r="L42" s="1692">
        <f t="shared" si="3"/>
        <v>110234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v>36360</v>
      </c>
      <c r="D45" s="466">
        <v>11323</v>
      </c>
      <c r="E45" s="466"/>
      <c r="F45" s="466">
        <v>2782</v>
      </c>
      <c r="G45" s="466">
        <v>918</v>
      </c>
      <c r="H45" s="466">
        <v>3277</v>
      </c>
      <c r="I45" s="467"/>
      <c r="J45" s="467"/>
      <c r="K45" s="1694">
        <f>SUM(C45:J45)</f>
        <v>54660</v>
      </c>
      <c r="L45" s="466">
        <v>76688</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36360</v>
      </c>
      <c r="D47" s="1692">
        <f t="shared" ref="D47:K47" si="4">SUM(D44:D46)</f>
        <v>11323</v>
      </c>
      <c r="E47" s="1692">
        <f t="shared" si="4"/>
        <v>0</v>
      </c>
      <c r="F47" s="1692">
        <f t="shared" si="4"/>
        <v>2782</v>
      </c>
      <c r="G47" s="1692">
        <f t="shared" si="4"/>
        <v>918</v>
      </c>
      <c r="H47" s="1692">
        <f t="shared" si="4"/>
        <v>3277</v>
      </c>
      <c r="I47" s="1692">
        <f t="shared" si="4"/>
        <v>0</v>
      </c>
      <c r="J47" s="1692">
        <f t="shared" si="4"/>
        <v>0</v>
      </c>
      <c r="K47" s="1692">
        <f t="shared" si="4"/>
        <v>54660</v>
      </c>
      <c r="L47" s="1692">
        <f>SUM(L44:L46)</f>
        <v>76688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3754</v>
      </c>
      <c r="D49" s="481">
        <v>2069</v>
      </c>
      <c r="E49" s="481"/>
      <c r="F49" s="481"/>
      <c r="G49" s="481"/>
      <c r="H49" s="481"/>
      <c r="I49" s="467"/>
      <c r="J49" s="467"/>
      <c r="K49" s="1694">
        <f>SUM(C49:J49)</f>
        <v>5823</v>
      </c>
      <c r="L49" s="481">
        <v>13315</v>
      </c>
    </row>
    <row r="50" spans="1:14" x14ac:dyDescent="0.2">
      <c r="A50" s="1526" t="s">
        <v>872</v>
      </c>
      <c r="B50" s="615">
        <v>2320</v>
      </c>
      <c r="C50" s="466"/>
      <c r="D50" s="466"/>
      <c r="E50" s="466"/>
      <c r="F50" s="466"/>
      <c r="G50" s="466"/>
      <c r="H50" s="466"/>
      <c r="I50" s="467"/>
      <c r="J50" s="467"/>
      <c r="K50" s="1694">
        <f>SUM(C50:J50)</f>
        <v>0</v>
      </c>
      <c r="L50" s="466"/>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v>38228</v>
      </c>
      <c r="F52" s="474"/>
      <c r="G52" s="474"/>
      <c r="H52" s="474"/>
      <c r="I52" s="474"/>
      <c r="J52" s="474"/>
      <c r="K52" s="1694">
        <f>SUM(C52:J52)</f>
        <v>38228</v>
      </c>
      <c r="L52" s="474">
        <v>14783</v>
      </c>
    </row>
    <row r="53" spans="1:14" ht="12.75" customHeight="1" thickBot="1" x14ac:dyDescent="0.25">
      <c r="A53" s="1690" t="s">
        <v>741</v>
      </c>
      <c r="B53" s="1691" t="s">
        <v>33</v>
      </c>
      <c r="C53" s="1692">
        <f>SUM(C49:C52)</f>
        <v>3754</v>
      </c>
      <c r="D53" s="1692">
        <f t="shared" ref="D53:L53" si="5">SUM(D49:D52)</f>
        <v>2069</v>
      </c>
      <c r="E53" s="1692">
        <f t="shared" si="5"/>
        <v>38228</v>
      </c>
      <c r="F53" s="1692">
        <f t="shared" si="5"/>
        <v>0</v>
      </c>
      <c r="G53" s="1692">
        <f t="shared" si="5"/>
        <v>0</v>
      </c>
      <c r="H53" s="1692">
        <f t="shared" si="5"/>
        <v>0</v>
      </c>
      <c r="I53" s="1692">
        <f t="shared" si="5"/>
        <v>0</v>
      </c>
      <c r="J53" s="1692">
        <f t="shared" si="5"/>
        <v>0</v>
      </c>
      <c r="K53" s="1692">
        <f t="shared" si="5"/>
        <v>44051</v>
      </c>
      <c r="L53" s="1692">
        <f t="shared" si="5"/>
        <v>28098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118421</v>
      </c>
      <c r="D55" s="481">
        <v>30321</v>
      </c>
      <c r="E55" s="481">
        <v>2617</v>
      </c>
      <c r="F55" s="481">
        <v>1938</v>
      </c>
      <c r="G55" s="481">
        <v>1384</v>
      </c>
      <c r="H55" s="481">
        <v>686</v>
      </c>
      <c r="I55" s="467"/>
      <c r="J55" s="467"/>
      <c r="K55" s="1694">
        <f>SUM(C55:J55)</f>
        <v>155367</v>
      </c>
      <c r="L55" s="481">
        <v>158600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118421</v>
      </c>
      <c r="D57" s="1696">
        <f t="shared" ref="D57:K57" si="6">SUM(D55:D56)</f>
        <v>30321</v>
      </c>
      <c r="E57" s="1696">
        <f t="shared" si="6"/>
        <v>2617</v>
      </c>
      <c r="F57" s="1696">
        <f t="shared" si="6"/>
        <v>1938</v>
      </c>
      <c r="G57" s="1696">
        <f t="shared" si="6"/>
        <v>1384</v>
      </c>
      <c r="H57" s="1696">
        <f t="shared" si="6"/>
        <v>686</v>
      </c>
      <c r="I57" s="1696">
        <f t="shared" si="6"/>
        <v>0</v>
      </c>
      <c r="J57" s="1696">
        <f t="shared" si="6"/>
        <v>0</v>
      </c>
      <c r="K57" s="1696">
        <f t="shared" si="6"/>
        <v>155367</v>
      </c>
      <c r="L57" s="1692">
        <f>SUM(L55:L56)</f>
        <v>158600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32274</v>
      </c>
      <c r="D60" s="466">
        <v>12779</v>
      </c>
      <c r="E60" s="466"/>
      <c r="F60" s="466">
        <v>296</v>
      </c>
      <c r="G60" s="466"/>
      <c r="H60" s="466"/>
      <c r="I60" s="467"/>
      <c r="J60" s="467"/>
      <c r="K60" s="1694">
        <f t="shared" si="7"/>
        <v>45349</v>
      </c>
      <c r="L60" s="466">
        <v>46500</v>
      </c>
      <c r="M60" s="610"/>
      <c r="N60" s="610"/>
    </row>
    <row r="61" spans="1:14" s="343" customFormat="1" x14ac:dyDescent="0.2">
      <c r="A61" s="1526" t="s">
        <v>206</v>
      </c>
      <c r="B61" s="615">
        <v>2540</v>
      </c>
      <c r="C61" s="466">
        <v>26309</v>
      </c>
      <c r="D61" s="466">
        <v>15136</v>
      </c>
      <c r="E61" s="466">
        <v>121380</v>
      </c>
      <c r="F61" s="466">
        <v>80850</v>
      </c>
      <c r="G61" s="466"/>
      <c r="H61" s="466">
        <v>250871</v>
      </c>
      <c r="I61" s="467"/>
      <c r="J61" s="467"/>
      <c r="K61" s="1694">
        <f t="shared" si="7"/>
        <v>494546</v>
      </c>
      <c r="L61" s="466">
        <v>239127</v>
      </c>
      <c r="M61" s="610"/>
      <c r="N61" s="610"/>
    </row>
    <row r="62" spans="1:14" s="343" customFormat="1" x14ac:dyDescent="0.2">
      <c r="A62" s="1526" t="s">
        <v>1010</v>
      </c>
      <c r="B62" s="615">
        <v>2550</v>
      </c>
      <c r="C62" s="466"/>
      <c r="D62" s="466"/>
      <c r="E62" s="466">
        <v>22700</v>
      </c>
      <c r="F62" s="466"/>
      <c r="G62" s="466"/>
      <c r="H62" s="466"/>
      <c r="I62" s="467"/>
      <c r="J62" s="467"/>
      <c r="K62" s="1694">
        <f t="shared" si="7"/>
        <v>22700</v>
      </c>
      <c r="L62" s="466"/>
      <c r="M62" s="610"/>
      <c r="N62" s="610"/>
    </row>
    <row r="63" spans="1:14" s="610" customFormat="1" x14ac:dyDescent="0.2">
      <c r="A63" s="1526" t="s">
        <v>102</v>
      </c>
      <c r="B63" s="615">
        <v>2560</v>
      </c>
      <c r="C63" s="466"/>
      <c r="D63" s="466"/>
      <c r="E63" s="466">
        <v>462</v>
      </c>
      <c r="F63" s="466">
        <v>14532</v>
      </c>
      <c r="G63" s="466"/>
      <c r="H63" s="466"/>
      <c r="I63" s="467"/>
      <c r="J63" s="467"/>
      <c r="K63" s="1694">
        <f t="shared" si="7"/>
        <v>14994</v>
      </c>
      <c r="L63" s="466">
        <v>55618</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58583</v>
      </c>
      <c r="D65" s="1692">
        <f t="shared" ref="D65:L65" si="8">SUM(D59:D64)</f>
        <v>27915</v>
      </c>
      <c r="E65" s="1692">
        <f t="shared" si="8"/>
        <v>144542</v>
      </c>
      <c r="F65" s="1692">
        <f t="shared" si="8"/>
        <v>95678</v>
      </c>
      <c r="G65" s="1692">
        <f t="shared" si="8"/>
        <v>0</v>
      </c>
      <c r="H65" s="1692">
        <f t="shared" si="8"/>
        <v>250871</v>
      </c>
      <c r="I65" s="1692">
        <f t="shared" si="8"/>
        <v>0</v>
      </c>
      <c r="J65" s="1692">
        <f t="shared" si="8"/>
        <v>0</v>
      </c>
      <c r="K65" s="1692">
        <f t="shared" si="8"/>
        <v>577589</v>
      </c>
      <c r="L65" s="1692">
        <f t="shared" si="8"/>
        <v>341245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276189</v>
      </c>
      <c r="D74" s="1699">
        <f t="shared" ref="D74:K74" si="10">SUM(D42,D47,D53,D57,D65,D72,D73)</f>
        <v>85924</v>
      </c>
      <c r="E74" s="1699">
        <f t="shared" si="10"/>
        <v>185489</v>
      </c>
      <c r="F74" s="1699">
        <f t="shared" si="10"/>
        <v>100532</v>
      </c>
      <c r="G74" s="1699">
        <f t="shared" si="10"/>
        <v>2302</v>
      </c>
      <c r="H74" s="1699">
        <f t="shared" si="10"/>
        <v>254834</v>
      </c>
      <c r="I74" s="1699">
        <f t="shared" si="10"/>
        <v>0</v>
      </c>
      <c r="J74" s="1699">
        <f t="shared" si="10"/>
        <v>0</v>
      </c>
      <c r="K74" s="1699">
        <f t="shared" si="10"/>
        <v>905270</v>
      </c>
      <c r="L74" s="1699">
        <f>SUM(L42,L47,L53,L57,L65,L72,L73)</f>
        <v>714865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669273</v>
      </c>
    </row>
    <row r="79" spans="1:14" x14ac:dyDescent="0.2">
      <c r="A79" s="1526" t="s">
        <v>322</v>
      </c>
      <c r="B79" s="615">
        <v>4120</v>
      </c>
      <c r="C79" s="617"/>
      <c r="D79" s="617"/>
      <c r="E79" s="466">
        <v>9598</v>
      </c>
      <c r="F79" s="617"/>
      <c r="G79" s="617"/>
      <c r="H79" s="466"/>
      <c r="I79" s="477"/>
      <c r="J79" s="477"/>
      <c r="K79" s="1693">
        <f t="shared" si="11"/>
        <v>9598</v>
      </c>
      <c r="L79" s="466">
        <v>23389</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31770</v>
      </c>
      <c r="F81" s="617"/>
      <c r="G81" s="617"/>
      <c r="H81" s="466"/>
      <c r="I81" s="477"/>
      <c r="J81" s="477"/>
      <c r="K81" s="1693">
        <f t="shared" si="11"/>
        <v>31770</v>
      </c>
      <c r="L81" s="466">
        <v>27000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41368</v>
      </c>
      <c r="F84" s="617"/>
      <c r="G84" s="617"/>
      <c r="H84" s="1692">
        <f>SUM(H78:H83)</f>
        <v>0</v>
      </c>
      <c r="I84" s="477"/>
      <c r="J84" s="477"/>
      <c r="K84" s="1692">
        <f>SUM(K78:K83)</f>
        <v>41368</v>
      </c>
      <c r="L84" s="1692">
        <f>SUM(L78:L83)</f>
        <v>719662</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41368</v>
      </c>
      <c r="F102" s="617"/>
      <c r="G102" s="617"/>
      <c r="H102" s="1699">
        <f>SUM(H84,H92,H100,H101)</f>
        <v>0</v>
      </c>
      <c r="I102" s="477"/>
      <c r="J102" s="477"/>
      <c r="K102" s="1699">
        <f>SUM(K84,K92,K100,K101)</f>
        <v>41368</v>
      </c>
      <c r="L102" s="1699">
        <f>SUM(L84,L92,L100,L101)</f>
        <v>719662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8250</v>
      </c>
      <c r="M113" s="614"/>
      <c r="N113" s="614"/>
    </row>
    <row r="114" spans="1:14" ht="12.75" customHeight="1" thickTop="1" thickBot="1" x14ac:dyDescent="0.25">
      <c r="A114" s="1690" t="s">
        <v>50</v>
      </c>
      <c r="B114" s="1704"/>
      <c r="C114" s="1692">
        <f>SUM(C33,C74,C75,C102,C112,C113)</f>
        <v>1554826</v>
      </c>
      <c r="D114" s="1692">
        <f t="shared" ref="D114:K114" si="13">SUM(D33,D74,D75,D102,D112,D113)</f>
        <v>407640</v>
      </c>
      <c r="E114" s="1692">
        <f t="shared" si="13"/>
        <v>508272</v>
      </c>
      <c r="F114" s="1692">
        <f t="shared" si="13"/>
        <v>219421</v>
      </c>
      <c r="G114" s="1692">
        <f t="shared" si="13"/>
        <v>14580</v>
      </c>
      <c r="H114" s="1692">
        <f>SUM(H33,H74,H75,H102,H112,H113)</f>
        <v>264224</v>
      </c>
      <c r="I114" s="1692">
        <f t="shared" si="13"/>
        <v>0</v>
      </c>
      <c r="J114" s="1692">
        <f t="shared" si="13"/>
        <v>0</v>
      </c>
      <c r="K114" s="1692">
        <f t="shared" si="13"/>
        <v>2968963</v>
      </c>
      <c r="L114" s="1692">
        <f>SUM(L33,L74,L75,L102,L112,L113)</f>
        <v>3354430</v>
      </c>
    </row>
    <row r="115" spans="1:14" ht="13.5" thickTop="1" x14ac:dyDescent="0.2">
      <c r="A115" s="2175" t="s">
        <v>1053</v>
      </c>
      <c r="B115" s="2176"/>
      <c r="C115" s="619"/>
      <c r="D115" s="619"/>
      <c r="E115" s="619"/>
      <c r="F115" s="619"/>
      <c r="G115" s="619"/>
      <c r="H115" s="619"/>
      <c r="I115" s="619"/>
      <c r="J115" s="619"/>
      <c r="K115" s="1706">
        <f>'Revenues 9-14'!C275-'Expenditures 15-22'!K114</f>
        <v>252548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5" t="s">
        <v>1240</v>
      </c>
      <c r="B152" s="2196"/>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5" t="s">
        <v>1053</v>
      </c>
      <c r="B175" s="2176"/>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5" t="s">
        <v>1053</v>
      </c>
      <c r="B211" s="2176"/>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5" t="s">
        <v>1053</v>
      </c>
      <c r="B296" s="2176"/>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8" t="s">
        <v>1053</v>
      </c>
      <c r="B343" s="2189"/>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5" t="s">
        <v>1053</v>
      </c>
      <c r="B368" s="2176"/>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2036</v>
      </c>
      <c r="D2" s="724" t="s">
        <v>2043</v>
      </c>
      <c r="E2" s="724" t="s">
        <v>2044</v>
      </c>
      <c r="F2" s="1909" t="s">
        <v>2037</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0</v>
      </c>
      <c r="I12" s="1780">
        <f>SUM(I5:I11)</f>
        <v>0</v>
      </c>
      <c r="J12" s="1780">
        <f>SUM(J5:J11)</f>
        <v>0</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0</v>
      </c>
      <c r="I23" s="1780">
        <f>SUM(I14:I16,I21,I22)</f>
        <v>0</v>
      </c>
      <c r="J23" s="1780">
        <f>SUM(J14:J16,J21,J22)</f>
        <v>0</v>
      </c>
      <c r="K23" s="1780">
        <f>SUM(K14:K16,K21,K22)</f>
        <v>0</v>
      </c>
    </row>
    <row r="24" spans="1:11" ht="14.25" thickTop="1" thickBot="1" x14ac:dyDescent="0.25">
      <c r="A24" s="2267" t="s">
        <v>2024</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c r="D12" s="845">
        <v>14580</v>
      </c>
      <c r="E12" s="845"/>
      <c r="F12" s="1782">
        <f>(C12+D12)-E12</f>
        <v>14580</v>
      </c>
      <c r="G12" s="844">
        <v>10</v>
      </c>
      <c r="H12" s="766"/>
      <c r="I12" s="766">
        <v>1458</v>
      </c>
      <c r="J12" s="766"/>
      <c r="K12" s="1791">
        <f>(H12+I12)-J12</f>
        <v>1458</v>
      </c>
      <c r="L12" s="1791">
        <f>F12-K12</f>
        <v>13122</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0</v>
      </c>
      <c r="D16" s="1782">
        <f>SUM(D3,D5:D6,D8:D10,D12:D15)</f>
        <v>14580</v>
      </c>
      <c r="E16" s="1782">
        <f>SUM(E3,E5:E6,E8:E10,E12:E15)</f>
        <v>0</v>
      </c>
      <c r="F16" s="1782">
        <f>SUM(F3,F5:F6,F8:F10,F12:F15)</f>
        <v>14580</v>
      </c>
      <c r="G16" s="844"/>
      <c r="H16" s="1782">
        <f>SUM(H3,H6,H8:H10,H12:H14,)</f>
        <v>0</v>
      </c>
      <c r="I16" s="1782">
        <f>SUM(I3,I6,I8:I10,I12:I14,)</f>
        <v>1458</v>
      </c>
      <c r="J16" s="1782">
        <f>SUM(J3,J6,J8:J10,J12:J14,)</f>
        <v>0</v>
      </c>
      <c r="K16" s="1782">
        <f>(H16+I16)-J16</f>
        <v>1458</v>
      </c>
      <c r="L16" s="1782">
        <f>F16-K16</f>
        <v>13122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1458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2968963</v>
      </c>
      <c r="G8" s="866"/>
    </row>
    <row r="9" spans="1:7" x14ac:dyDescent="0.2">
      <c r="A9" s="870" t="s">
        <v>480</v>
      </c>
      <c r="B9" s="871" t="s">
        <v>1988</v>
      </c>
      <c r="C9" s="872"/>
      <c r="D9" s="870" t="s">
        <v>522</v>
      </c>
      <c r="E9" s="869"/>
      <c r="F9" s="1935">
        <f>'Expenditures 15-22'!K151</f>
        <v>0</v>
      </c>
      <c r="G9" s="873"/>
    </row>
    <row r="10" spans="1:7" x14ac:dyDescent="0.2">
      <c r="A10" s="870" t="s">
        <v>520</v>
      </c>
      <c r="B10" s="871" t="s">
        <v>1989</v>
      </c>
      <c r="C10" s="872"/>
      <c r="D10" s="870" t="s">
        <v>522</v>
      </c>
      <c r="E10" s="869"/>
      <c r="F10" s="1935">
        <f>'Expenditures 15-22'!K174</f>
        <v>0</v>
      </c>
      <c r="G10" s="873"/>
    </row>
    <row r="11" spans="1:7" x14ac:dyDescent="0.2">
      <c r="A11" s="870" t="s">
        <v>481</v>
      </c>
      <c r="B11" s="871" t="s">
        <v>1990</v>
      </c>
      <c r="C11" s="872"/>
      <c r="D11" s="870" t="s">
        <v>522</v>
      </c>
      <c r="E11" s="869"/>
      <c r="F11" s="1935">
        <f>'Expenditures 15-22'!K210</f>
        <v>0</v>
      </c>
      <c r="G11" s="873"/>
    </row>
    <row r="12" spans="1:7" x14ac:dyDescent="0.2">
      <c r="A12" s="870" t="s">
        <v>482</v>
      </c>
      <c r="B12" s="871" t="s">
        <v>1991</v>
      </c>
      <c r="C12" s="872"/>
      <c r="D12" s="870" t="s">
        <v>522</v>
      </c>
      <c r="E12" s="869"/>
      <c r="F12" s="1935">
        <f>'Expenditures 15-22'!K295</f>
        <v>0</v>
      </c>
      <c r="G12" s="873"/>
    </row>
    <row r="13" spans="1:7" x14ac:dyDescent="0.2">
      <c r="A13" s="870" t="s">
        <v>108</v>
      </c>
      <c r="B13" s="871" t="s">
        <v>1992</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2968963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41368</v>
      </c>
      <c r="G53" s="866"/>
    </row>
    <row r="54" spans="1:7" x14ac:dyDescent="0.2">
      <c r="A54" s="870" t="s">
        <v>479</v>
      </c>
      <c r="B54" s="870" t="s">
        <v>1552</v>
      </c>
      <c r="C54" s="890" t="s">
        <v>1039</v>
      </c>
      <c r="D54" s="886" t="s">
        <v>1157</v>
      </c>
      <c r="E54" s="869"/>
      <c r="F54" s="1939">
        <f>'Expenditures 15-22'!G114</f>
        <v>14580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55948</v>
      </c>
      <c r="G76" s="866"/>
    </row>
    <row r="77" spans="1:8" s="894" customFormat="1" ht="12" customHeight="1" thickTop="1" thickBot="1" x14ac:dyDescent="0.25">
      <c r="A77" s="1801"/>
      <c r="B77" s="1798"/>
      <c r="C77" s="1794"/>
      <c r="D77" s="1799" t="s">
        <v>2011</v>
      </c>
      <c r="E77" s="1796"/>
      <c r="F77" s="1802">
        <f>(F14-F76)</f>
        <v>2913015</v>
      </c>
      <c r="G77" s="870"/>
    </row>
    <row r="78" spans="1:8" s="894" customFormat="1" ht="12" customHeight="1" thickTop="1" x14ac:dyDescent="0.2">
      <c r="A78" s="1803"/>
      <c r="B78" s="1798"/>
      <c r="C78" s="1794"/>
      <c r="D78" s="1799" t="s">
        <v>2057</v>
      </c>
      <c r="E78" s="1796"/>
      <c r="F78" s="899">
        <v>0</v>
      </c>
      <c r="G78" s="900"/>
      <c r="H78" s="870"/>
    </row>
    <row r="79" spans="1:8" s="894" customFormat="1" ht="12" customHeight="1" thickBot="1" x14ac:dyDescent="0.25">
      <c r="A79" s="1804"/>
      <c r="B79" s="1798"/>
      <c r="C79" s="1794"/>
      <c r="D79" s="1799" t="s">
        <v>2012</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44621</v>
      </c>
      <c r="G95" s="913"/>
    </row>
    <row r="96" spans="1:7" x14ac:dyDescent="0.2">
      <c r="A96" s="909" t="s">
        <v>479</v>
      </c>
      <c r="B96" s="909" t="s">
        <v>178</v>
      </c>
      <c r="C96" s="911">
        <f>'Revenues 9-14'!B84</f>
        <v>1811</v>
      </c>
      <c r="D96" s="912" t="str">
        <f>'Revenues 9-14'!A84</f>
        <v>Rentals - Regular Textbooks</v>
      </c>
      <c r="E96" s="907"/>
      <c r="F96" s="1811">
        <f>'Revenues 9-14'!C84</f>
        <v>16160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70300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8158</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139239</v>
      </c>
    </row>
    <row r="179" spans="1:7" ht="12" customHeight="1" x14ac:dyDescent="0.2">
      <c r="A179" s="1792"/>
      <c r="B179" s="1806"/>
      <c r="C179" s="1807"/>
      <c r="D179" s="1808" t="s">
        <v>2014</v>
      </c>
      <c r="E179" s="1809"/>
      <c r="F179" s="1811">
        <f>'PCTC-OEPP 27-28'!F77-F178</f>
        <v>2773776</v>
      </c>
    </row>
    <row r="180" spans="1:7" ht="12" customHeight="1" x14ac:dyDescent="0.2">
      <c r="A180" s="1792"/>
      <c r="B180" s="1806"/>
      <c r="C180" s="1807"/>
      <c r="D180" s="1808" t="s">
        <v>1924</v>
      </c>
      <c r="E180" s="1809"/>
      <c r="F180" s="1811">
        <f>'Cap Outlay Deprec 26'!I18</f>
        <v>1458</v>
      </c>
    </row>
    <row r="181" spans="1:7" ht="12" customHeight="1" x14ac:dyDescent="0.2">
      <c r="A181" s="1792"/>
      <c r="B181" s="1806"/>
      <c r="C181" s="1807"/>
      <c r="D181" s="1808" t="s">
        <v>2015</v>
      </c>
      <c r="E181" s="1809"/>
      <c r="F181" s="1811">
        <f>F179+F180</f>
        <v>2775234</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2016</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2094</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14994</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2010047</v>
      </c>
      <c r="F19" s="1822"/>
      <c r="G19" s="1824">
        <f>'Expenditures 15-22'!K33-SUM('Expenditures 15-22'!G33,'Expenditures 15-22'!I33)+'Expenditures 15-22'!D229</f>
        <v>2010047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73603</v>
      </c>
      <c r="F21" s="1825"/>
      <c r="G21" s="1828">
        <f>'Expenditures 15-22'!K42-SUM('Expenditures 15-22'!G42,'Expenditures 15-22'!I42)+'Expenditures 15-22'!K120-SUM('Expenditures 15-22'!G120,'Expenditures 15-22'!I120)+'Expenditures 15-22'!K180-SUM('Expenditures 15-22'!G180,'Expenditures 15-22'!I180)+'Expenditures 15-22'!D238</f>
        <v>73603</v>
      </c>
      <c r="H21" s="988"/>
      <c r="I21" s="162"/>
    </row>
    <row r="22" spans="1:9" s="669" customFormat="1" ht="12" customHeight="1" x14ac:dyDescent="0.2">
      <c r="A22" s="995" t="s">
        <v>585</v>
      </c>
      <c r="B22" s="996"/>
      <c r="C22" s="994">
        <v>2200</v>
      </c>
      <c r="D22" s="1825"/>
      <c r="E22" s="1827">
        <f>'Expenditures 15-22'!K47-SUM('Expenditures 15-22'!G47,'Expenditures 15-22'!I47)+'Expenditures 15-22'!D243</f>
        <v>53742</v>
      </c>
      <c r="F22" s="1825"/>
      <c r="G22" s="1828">
        <f>'Expenditures 15-22'!K47-SUM('Expenditures 15-22'!G47,'Expenditures 15-22'!I47)+'Expenditures 15-22'!D243</f>
        <v>53742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44051</v>
      </c>
      <c r="F23" s="1825"/>
      <c r="G23" s="1827">
        <f>'Expenditures 15-22'!K53-SUM('Expenditures 15-22'!G53,'Expenditures 15-22'!I53)+'Expenditures 15-22'!D257+'Expenditures 15-22'!K330-SUM('Expenditures 15-22'!G330,'Expenditures 15-22'!I330)</f>
        <v>44051</v>
      </c>
      <c r="H23" s="988"/>
      <c r="I23" s="162"/>
    </row>
    <row r="24" spans="1:9" s="669" customFormat="1" ht="12" customHeight="1" x14ac:dyDescent="0.2">
      <c r="A24" s="995" t="s">
        <v>587</v>
      </c>
      <c r="B24" s="996"/>
      <c r="C24" s="994">
        <v>2400</v>
      </c>
      <c r="D24" s="1825"/>
      <c r="E24" s="1827">
        <f>'Expenditures 15-22'!K57-SUM('Expenditures 15-22'!G57,'Expenditures 15-22'!I57)+'Expenditures 15-22'!D261</f>
        <v>153983</v>
      </c>
      <c r="F24" s="1825"/>
      <c r="G24" s="1828">
        <f>'Expenditures 15-22'!K57-SUM('Expenditures 15-22'!G57,'Expenditures 15-22'!I57)+'Expenditures 15-22'!D261</f>
        <v>153983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45349</v>
      </c>
      <c r="E27" s="1827">
        <f>E8</f>
        <v>0</v>
      </c>
      <c r="F27" s="1827">
        <f>'Expenditures 15-22'!K60-SUM('Expenditures 15-22'!G60,'Expenditures 15-22'!I60)+'Expenditures 15-22'!D264-E8</f>
        <v>45349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494546</v>
      </c>
      <c r="F28" s="1829">
        <f>'Expenditures 15-22'!K61-SUM('Expenditures 15-22'!G61,'Expenditures 15-22'!I61)+'Expenditures 15-22'!K124-SUM('Expenditures 15-22'!G124,'Expenditures 15-22'!I124)+'Expenditures 15-22'!D266-E9</f>
        <v>494546</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22700</v>
      </c>
      <c r="F29" s="1825"/>
      <c r="G29" s="1828">
        <f>'Expenditures 15-22'!K62-SUM('Expenditures 15-22'!G62,'Expenditures 15-22'!I62)+'Expenditures 15-22'!K125-SUM('Expenditures 15-22'!G125,'Expenditures 15-22'!I125)+'Expenditures 15-22'!K182-SUM('Expenditures 15-22'!G182,'Expenditures 15-22'!I182)+'Expenditures 15-22'!D267</f>
        <v>22700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45349</v>
      </c>
      <c r="E41" s="1829">
        <f>SUM(E19:E40)</f>
        <v>2852672</v>
      </c>
      <c r="F41" s="1829">
        <f>SUM(F19:F39)</f>
        <v>539895</v>
      </c>
      <c r="G41" s="1829">
        <f>SUM(G19:G40)</f>
        <v>2358126</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45349</v>
      </c>
      <c r="F43" s="1830" t="s">
        <v>495</v>
      </c>
      <c r="G43" s="1831">
        <f>F41</f>
        <v>539895</v>
      </c>
    </row>
    <row r="44" spans="1:7" ht="12" customHeight="1" x14ac:dyDescent="0.2">
      <c r="A44" s="988"/>
      <c r="B44" s="162"/>
      <c r="C44" s="1002"/>
      <c r="D44" s="1830" t="s">
        <v>494</v>
      </c>
      <c r="E44" s="1831">
        <f>E41</f>
        <v>2852672</v>
      </c>
      <c r="F44" s="1830" t="s">
        <v>494</v>
      </c>
      <c r="G44" s="1831">
        <f>G41</f>
        <v>2358126</v>
      </c>
    </row>
    <row r="45" spans="1:7" ht="12" customHeight="1" x14ac:dyDescent="0.2">
      <c r="A45" s="988"/>
      <c r="B45" s="162"/>
      <c r="C45" s="162"/>
      <c r="D45" s="1832" t="s">
        <v>1063</v>
      </c>
      <c r="E45" s="1833">
        <f>(E43/E44)</f>
        <v>1.5897025665761785E-2</v>
      </c>
      <c r="F45" s="1832" t="s">
        <v>1063</v>
      </c>
      <c r="G45" s="1833">
        <f>(G43/G44)</f>
        <v>0.22895087030972899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Bismarck Henning Rossville Alvin Coop HS</v>
      </c>
      <c r="D6" s="2327"/>
      <c r="E6" s="2327"/>
      <c r="F6" s="1877"/>
    </row>
    <row r="7" spans="1:10" ht="11.25" customHeight="1" thickBot="1" x14ac:dyDescent="0.3">
      <c r="A7" s="1875"/>
      <c r="B7" s="1876"/>
      <c r="C7" s="2328">
        <f>COVER!A13</f>
        <v>54092800080</v>
      </c>
      <c r="D7" s="2328"/>
      <c r="E7" s="2328"/>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t="s">
        <v>2077</v>
      </c>
      <c r="E26" s="1893" t="s">
        <v>2077</v>
      </c>
      <c r="F26" s="1892" t="s">
        <v>2095</v>
      </c>
      <c r="H26" s="1903">
        <f t="shared" si="0"/>
        <v>0</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5</v>
      </c>
      <c r="J34" s="1903">
        <f>SUM(J11:J32)</f>
        <v>5</v>
      </c>
      <c r="K34" s="1903">
        <f>SUM(H34:J34)</f>
        <v>10</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Bismarck Henning Rossville Alvin Coop HS</v>
      </c>
      <c r="J6" s="2337"/>
      <c r="Q6" s="1686"/>
    </row>
    <row r="7" spans="1:17" x14ac:dyDescent="0.2">
      <c r="A7" s="2338" t="s">
        <v>924</v>
      </c>
      <c r="B7" s="2339"/>
      <c r="C7" s="2339"/>
      <c r="D7" s="2339"/>
      <c r="E7" s="2340"/>
      <c r="F7" s="1018"/>
      <c r="G7" s="1010"/>
      <c r="H7" s="1017" t="s">
        <v>390</v>
      </c>
      <c r="I7" s="2341">
        <f>COVER!A13</f>
        <v>54092800080</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0</v>
      </c>
      <c r="F19" s="1836">
        <f t="shared" si="2"/>
        <v>0</v>
      </c>
      <c r="G19" s="1836">
        <f t="shared" si="2"/>
        <v>0</v>
      </c>
      <c r="H19" s="1836">
        <f t="shared" si="2"/>
        <v>0</v>
      </c>
      <c r="I19" s="1836">
        <f t="shared" si="2"/>
        <v>0</v>
      </c>
      <c r="J19" s="1836">
        <f t="shared" si="2"/>
        <v>0</v>
      </c>
    </row>
    <row r="20" spans="1:10" ht="13.5" thickTop="1" x14ac:dyDescent="0.2">
      <c r="A20" s="1036">
        <v>9</v>
      </c>
      <c r="B20" s="2348" t="s">
        <v>1703</v>
      </c>
      <c r="C20" s="2348"/>
      <c r="D20" s="2349"/>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8" t="s">
        <v>2096</v>
      </c>
    </row>
    <row r="6" spans="1:2" x14ac:dyDescent="0.2">
      <c r="A6" s="1069"/>
      <c r="B6" s="1957" t="s">
        <v>2097</v>
      </c>
    </row>
    <row r="7" spans="1:2" x14ac:dyDescent="0.2">
      <c r="A7" s="1069"/>
      <c r="B7" s="329" t="s">
        <v>2098</v>
      </c>
    </row>
    <row r="8" spans="1:2" x14ac:dyDescent="0.2">
      <c r="A8" s="1069"/>
      <c r="B8" s="329" t="s">
        <v>2099</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Bismarck Henning Rossville Alvin Coop HS</v>
      </c>
    </row>
    <row r="65" spans="2:2" x14ac:dyDescent="0.2">
      <c r="B65" s="1071">
        <f>COVER!A13</f>
        <v>54092800080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447675</xdr:colOff>
                <xdr:row>3</xdr:row>
                <xdr:rowOff>19050</xdr:rowOff>
              </from>
              <to>
                <xdr:col>1</xdr:col>
                <xdr:colOff>1362075</xdr:colOff>
                <xdr:row>7</xdr:row>
                <xdr:rowOff>57150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3221511</v>
      </c>
      <c r="C8" s="1838">
        <f>'Acct Summary 7-8'!D8</f>
        <v>0</v>
      </c>
      <c r="D8" s="1838">
        <f>'Acct Summary 7-8'!F8</f>
        <v>0</v>
      </c>
      <c r="E8" s="1838">
        <f>'Acct Summary 7-8'!I8</f>
        <v>0</v>
      </c>
      <c r="F8" s="1838">
        <f>SUM(B8:E8)</f>
        <v>3221511</v>
      </c>
    </row>
    <row r="9" spans="1:8" s="1080" customFormat="1" ht="14.25" customHeight="1" thickBot="1" x14ac:dyDescent="0.25">
      <c r="A9" s="1079" t="s">
        <v>1436</v>
      </c>
      <c r="B9" s="1839">
        <f>'Acct Summary 7-8'!C17</f>
        <v>2968963</v>
      </c>
      <c r="C9" s="1839">
        <f>'Acct Summary 7-8'!D17</f>
        <v>0</v>
      </c>
      <c r="D9" s="1839">
        <f>'Acct Summary 7-8'!F17</f>
        <v>0</v>
      </c>
      <c r="E9" s="1838"/>
      <c r="F9" s="1838">
        <f>SUM(B9:E9)</f>
        <v>2968963</v>
      </c>
    </row>
    <row r="10" spans="1:8" s="1080" customFormat="1" ht="14.25" thickTop="1" thickBot="1" x14ac:dyDescent="0.25">
      <c r="A10" s="1081" t="s">
        <v>1437</v>
      </c>
      <c r="B10" s="1840">
        <f>(B8-B9)</f>
        <v>252548</v>
      </c>
      <c r="C10" s="1840">
        <f>(C8-C9)</f>
        <v>0</v>
      </c>
      <c r="D10" s="1840">
        <f>(D8-D9)</f>
        <v>0</v>
      </c>
      <c r="E10" s="1839">
        <f>(E8-E9)</f>
        <v>0</v>
      </c>
      <c r="F10" s="1841">
        <f>SUM(F8-F9)</f>
        <v>252548</v>
      </c>
    </row>
    <row r="11" spans="1:8" s="1080" customFormat="1" ht="14.25" thickTop="1" thickBot="1" x14ac:dyDescent="0.25">
      <c r="A11" s="1082" t="s">
        <v>1785</v>
      </c>
      <c r="B11" s="1842">
        <f>'Acct Summary 7-8'!C81</f>
        <v>252548</v>
      </c>
      <c r="C11" s="1842">
        <f>'Acct Summary 7-8'!D81</f>
        <v>0</v>
      </c>
      <c r="D11" s="1842">
        <f>'Acct Summary 7-8'!F81</f>
        <v>0</v>
      </c>
      <c r="E11" s="1842">
        <f>'Acct Summary 7-8'!I81</f>
        <v>0</v>
      </c>
      <c r="F11" s="1843">
        <f>SUM(B11:E11)</f>
        <v>252548</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54092800080</v>
      </c>
    </row>
    <row r="3" spans="1:2" x14ac:dyDescent="0.2">
      <c r="A3" t="s">
        <v>1013</v>
      </c>
      <c r="B3" s="138" t="str">
        <f>COVER!A15</f>
        <v>VERMILION</v>
      </c>
    </row>
    <row r="4" spans="1:2" x14ac:dyDescent="0.2">
      <c r="A4" t="s">
        <v>1064</v>
      </c>
      <c r="B4" s="138" t="str">
        <f>COVER!A17</f>
        <v>Bismarck Henning Rossville Alvin Coop HS</v>
      </c>
    </row>
    <row r="5" spans="1:2" x14ac:dyDescent="0.2">
      <c r="A5" t="s">
        <v>728</v>
      </c>
      <c r="B5" s="138" t="str">
        <f>COVER!A38</f>
        <v>Scott Watson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356876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104328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104328</v>
      </c>
      <c r="C91" s="2" t="s">
        <v>594</v>
      </c>
      <c r="D91" s="2" t="str">
        <f t="shared" si="0"/>
        <v>Error?</v>
      </c>
    </row>
    <row r="92" spans="1:4" x14ac:dyDescent="0.2">
      <c r="A92" s="5">
        <v>31</v>
      </c>
      <c r="B92" s="138">
        <f>'Assets-Liab 5-6'!C39</f>
        <v>252548</v>
      </c>
      <c r="D92" s="2" t="str">
        <f t="shared" si="0"/>
        <v>Error?</v>
      </c>
    </row>
    <row r="93" spans="1:4" x14ac:dyDescent="0.2">
      <c r="A93" s="5">
        <v>32</v>
      </c>
      <c r="B93" s="138">
        <f>'Assets-Liab 5-6'!C41</f>
        <v>356876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14580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14580</v>
      </c>
      <c r="C279" s="2" t="s">
        <v>594</v>
      </c>
      <c r="D279" s="2" t="str">
        <f t="shared" si="3"/>
        <v>Error?</v>
      </c>
    </row>
    <row r="280" spans="1:4" x14ac:dyDescent="0.2">
      <c r="A280" s="5">
        <v>219</v>
      </c>
      <c r="B280" s="138">
        <f>'Assets-Liab 5-6'!M40</f>
        <v>14580</v>
      </c>
      <c r="D280" s="2" t="str">
        <f t="shared" si="3"/>
        <v>Error?</v>
      </c>
    </row>
    <row r="281" spans="1:4" x14ac:dyDescent="0.2">
      <c r="A281" s="5">
        <v>220</v>
      </c>
      <c r="B281" s="138">
        <f>'Assets-Liab 5-6'!M41</f>
        <v>14580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915516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93055</v>
      </c>
      <c r="D717" s="2" t="str">
        <f t="shared" si="10"/>
        <v>Error?</v>
      </c>
    </row>
    <row r="718" spans="1:4" x14ac:dyDescent="0.2">
      <c r="A718" s="5">
        <v>657</v>
      </c>
      <c r="B718" s="138">
        <f>'Expenditures 15-22'!C14</f>
        <v>83955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1278637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59071</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59071</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36360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36360</v>
      </c>
      <c r="C731" s="2" t="s">
        <v>594</v>
      </c>
      <c r="D731" s="2" t="str">
        <f t="shared" si="10"/>
        <v>Error?</v>
      </c>
    </row>
    <row r="732" spans="1:4" x14ac:dyDescent="0.2">
      <c r="A732" s="5">
        <v>671</v>
      </c>
      <c r="B732" s="138">
        <f>'Expenditures 15-22'!C49</f>
        <v>3754</v>
      </c>
      <c r="D732" s="2" t="str">
        <f t="shared" si="10"/>
        <v>Error?</v>
      </c>
    </row>
    <row r="733" spans="1:4" x14ac:dyDescent="0.2">
      <c r="A733" s="5">
        <v>672</v>
      </c>
      <c r="B733" s="138">
        <f>'Expenditures 15-22'!C50</f>
        <v>0</v>
      </c>
      <c r="D733" s="2" t="str">
        <f t="shared" si="10"/>
        <v>Error?</v>
      </c>
    </row>
    <row r="734" spans="1:4" x14ac:dyDescent="0.2">
      <c r="A734" s="5">
        <v>673</v>
      </c>
      <c r="B734" s="138">
        <f>'Expenditures 15-22'!C53</f>
        <v>3754</v>
      </c>
      <c r="C734" s="2" t="s">
        <v>594</v>
      </c>
      <c r="D734" s="2" t="str">
        <f t="shared" si="10"/>
        <v>Error?</v>
      </c>
    </row>
    <row r="735" spans="1:4" x14ac:dyDescent="0.2">
      <c r="A735" s="5">
        <v>674</v>
      </c>
      <c r="B735" s="138">
        <f>'Expenditures 15-22'!C55</f>
        <v>118421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118421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32274</v>
      </c>
      <c r="D739" s="2" t="str">
        <f t="shared" si="10"/>
        <v>Error?</v>
      </c>
    </row>
    <row r="740" spans="1:4" x14ac:dyDescent="0.2">
      <c r="A740" s="5">
        <v>679</v>
      </c>
      <c r="B740" s="138">
        <f>'Expenditures 15-22'!C61</f>
        <v>26309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58583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276189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1554826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238068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24865</v>
      </c>
      <c r="D775" s="2" t="str">
        <f t="shared" si="11"/>
        <v>Error?</v>
      </c>
    </row>
    <row r="776" spans="1:4" x14ac:dyDescent="0.2">
      <c r="A776" s="5">
        <v>715</v>
      </c>
      <c r="B776" s="138">
        <f>'Expenditures 15-22'!D14</f>
        <v>7975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321716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14296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14296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11323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11323</v>
      </c>
      <c r="C789" s="2" t="s">
        <v>594</v>
      </c>
      <c r="D789" s="2" t="str">
        <f t="shared" si="11"/>
        <v>Error?</v>
      </c>
    </row>
    <row r="790" spans="1:4" x14ac:dyDescent="0.2">
      <c r="A790" s="5">
        <v>729</v>
      </c>
      <c r="B790" s="138">
        <f>'Expenditures 15-22'!D49</f>
        <v>2069</v>
      </c>
      <c r="D790" s="2" t="str">
        <f t="shared" si="11"/>
        <v>Error?</v>
      </c>
    </row>
    <row r="791" spans="1:4" x14ac:dyDescent="0.2">
      <c r="A791" s="5">
        <v>730</v>
      </c>
      <c r="B791" s="138">
        <f>'Expenditures 15-22'!D50</f>
        <v>0</v>
      </c>
      <c r="D791" s="2" t="str">
        <f t="shared" si="11"/>
        <v>Error?</v>
      </c>
    </row>
    <row r="792" spans="1:4" x14ac:dyDescent="0.2">
      <c r="A792" s="5">
        <v>731</v>
      </c>
      <c r="B792" s="138">
        <f>'Expenditures 15-22'!D53</f>
        <v>2069</v>
      </c>
      <c r="C792" s="2" t="s">
        <v>594</v>
      </c>
      <c r="D792" s="2" t="str">
        <f t="shared" si="11"/>
        <v>Error?</v>
      </c>
    </row>
    <row r="793" spans="1:4" x14ac:dyDescent="0.2">
      <c r="A793" s="5">
        <v>732</v>
      </c>
      <c r="B793" s="138">
        <f>'Expenditures 15-22'!D55</f>
        <v>30321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30321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12779</v>
      </c>
      <c r="D797" s="2" t="str">
        <f t="shared" si="11"/>
        <v>Error?</v>
      </c>
    </row>
    <row r="798" spans="1:4" x14ac:dyDescent="0.2">
      <c r="A798" s="5">
        <v>737</v>
      </c>
      <c r="B798" s="138">
        <f>'Expenditures 15-22'!D61</f>
        <v>15136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27915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85924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407640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254460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226</v>
      </c>
      <c r="D833" s="2" t="str">
        <f t="shared" si="12"/>
        <v>Error?</v>
      </c>
    </row>
    <row r="834" spans="1:4" x14ac:dyDescent="0.2">
      <c r="A834" s="5">
        <v>773</v>
      </c>
      <c r="B834" s="138">
        <f>'Expenditures 15-22'!E14</f>
        <v>25757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281415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102</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38228</v>
      </c>
      <c r="C850" s="2" t="s">
        <v>594</v>
      </c>
      <c r="D850" s="2" t="str">
        <f t="shared" si="12"/>
        <v>Error?</v>
      </c>
    </row>
    <row r="851" spans="1:4" x14ac:dyDescent="0.2">
      <c r="A851" s="5">
        <v>790</v>
      </c>
      <c r="B851" s="138">
        <f>'Expenditures 15-22'!E55</f>
        <v>2617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2617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121380</v>
      </c>
      <c r="D856" s="2" t="str">
        <f t="shared" si="12"/>
        <v>Error?</v>
      </c>
    </row>
    <row r="857" spans="1:4" x14ac:dyDescent="0.2">
      <c r="A857" s="5">
        <v>796</v>
      </c>
      <c r="B857" s="138">
        <f>'Expenditures 15-22'!E62</f>
        <v>22700</v>
      </c>
      <c r="D857" s="2" t="str">
        <f t="shared" si="12"/>
        <v>Error?</v>
      </c>
    </row>
    <row r="858" spans="1:4" x14ac:dyDescent="0.2">
      <c r="A858" s="5">
        <v>797</v>
      </c>
      <c r="B858" s="138">
        <f>'Expenditures 15-22'!E63</f>
        <v>462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144542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185489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508272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68814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2755</v>
      </c>
      <c r="D891" s="2" t="str">
        <f t="shared" si="12"/>
        <v>Error?</v>
      </c>
    </row>
    <row r="892" spans="1:4" x14ac:dyDescent="0.2">
      <c r="A892" s="5">
        <v>831</v>
      </c>
      <c r="B892" s="138">
        <f>'Expenditures 15-22'!F14</f>
        <v>46284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118889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134</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2782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2782</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1938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1938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296</v>
      </c>
      <c r="D913" s="2" t="str">
        <f t="shared" si="13"/>
        <v>Error?</v>
      </c>
    </row>
    <row r="914" spans="1:4" x14ac:dyDescent="0.2">
      <c r="A914" s="5">
        <v>853</v>
      </c>
      <c r="B914" s="138">
        <f>'Expenditures 15-22'!F61</f>
        <v>80850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14532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95678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100532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219421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11326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952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12278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918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918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1384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1384</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2302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14580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7902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1488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9390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3277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3277</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686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686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250871</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250871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254834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264224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1496086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120901</v>
      </c>
      <c r="C1105" s="2" t="s">
        <v>594</v>
      </c>
      <c r="D1105" s="2" t="str">
        <f t="shared" si="16"/>
        <v>Error?</v>
      </c>
    </row>
    <row r="1106" spans="1:4" x14ac:dyDescent="0.2">
      <c r="A1106" s="5">
        <v>1045</v>
      </c>
      <c r="B1106" s="138">
        <f>'Expenditures 15-22'!K14</f>
        <v>166411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2022325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73603</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73603</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54660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54660</v>
      </c>
      <c r="C1119" s="2" t="s">
        <v>594</v>
      </c>
      <c r="D1119" s="2" t="str">
        <f t="shared" si="16"/>
        <v>Error?</v>
      </c>
    </row>
    <row r="1120" spans="1:4" x14ac:dyDescent="0.2">
      <c r="A1120" s="5">
        <v>1059</v>
      </c>
      <c r="B1120" s="138">
        <f>'Expenditures 15-22'!K49</f>
        <v>5823</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44051</v>
      </c>
      <c r="C1122" s="2" t="s">
        <v>594</v>
      </c>
      <c r="D1122" s="2" t="str">
        <f t="shared" si="16"/>
        <v>Error?</v>
      </c>
    </row>
    <row r="1123" spans="1:4" x14ac:dyDescent="0.2">
      <c r="A1123" s="5">
        <v>1062</v>
      </c>
      <c r="B1123" s="138">
        <f>'Expenditures 15-22'!K55</f>
        <v>155367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155367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45349</v>
      </c>
      <c r="C1127" s="2" t="s">
        <v>594</v>
      </c>
      <c r="D1127" s="2" t="str">
        <f t="shared" si="16"/>
        <v>Error?</v>
      </c>
    </row>
    <row r="1128" spans="1:4" x14ac:dyDescent="0.2">
      <c r="A1128" s="5">
        <v>1067</v>
      </c>
      <c r="B1128" s="138">
        <f>'Expenditures 15-22'!K61</f>
        <v>494546</v>
      </c>
      <c r="C1128" s="2" t="s">
        <v>594</v>
      </c>
      <c r="D1128" s="2" t="str">
        <f t="shared" si="16"/>
        <v>Error?</v>
      </c>
    </row>
    <row r="1129" spans="1:4" x14ac:dyDescent="0.2">
      <c r="A1129" s="5">
        <v>1068</v>
      </c>
      <c r="B1129" s="138">
        <f>'Expenditures 15-22'!K62</f>
        <v>22700</v>
      </c>
      <c r="C1129" s="2" t="s">
        <v>594</v>
      </c>
      <c r="D1129" s="2" t="str">
        <f t="shared" si="16"/>
        <v>Error?</v>
      </c>
    </row>
    <row r="1130" spans="1:4" x14ac:dyDescent="0.2">
      <c r="A1130" s="5">
        <v>1069</v>
      </c>
      <c r="B1130" s="138">
        <f>'Expenditures 15-22'!K63</f>
        <v>14994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577589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905270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41368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2968963</v>
      </c>
      <c r="C1152" s="2" t="s">
        <v>594</v>
      </c>
      <c r="D1152" s="2" t="str">
        <f t="shared" si="17"/>
        <v>Error?</v>
      </c>
    </row>
    <row r="1153" spans="1:4" x14ac:dyDescent="0.2">
      <c r="A1153" s="5">
        <v>1092</v>
      </c>
      <c r="B1153" s="138">
        <f>'Expenditures 15-22'!K115</f>
        <v>252548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252548</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14580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14580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14580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14580</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1458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1458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1458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1458</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13122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13122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41368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3143053</v>
      </c>
      <c r="C2551" s="2" t="s">
        <v>594</v>
      </c>
      <c r="D2551" s="2" t="str">
        <f t="shared" si="38"/>
        <v>Error?</v>
      </c>
    </row>
    <row r="2552" spans="1:4" x14ac:dyDescent="0.2">
      <c r="A2552" s="10">
        <v>2491</v>
      </c>
      <c r="D2552" s="2" t="str">
        <f t="shared" si="38"/>
        <v>OK</v>
      </c>
    </row>
    <row r="2553" spans="1:4" x14ac:dyDescent="0.2">
      <c r="A2553" s="5">
        <v>2492</v>
      </c>
      <c r="B2553" s="138">
        <f>'Acct Summary 7-8'!C6</f>
        <v>78458</v>
      </c>
      <c r="C2553" s="2" t="s">
        <v>594</v>
      </c>
      <c r="D2553" s="2" t="str">
        <f t="shared" si="38"/>
        <v>Error?</v>
      </c>
    </row>
    <row r="2554" spans="1:4" x14ac:dyDescent="0.2">
      <c r="A2554" s="5">
        <v>2493</v>
      </c>
      <c r="B2554" s="138">
        <f>'Acct Summary 7-8'!C7</f>
        <v>0</v>
      </c>
      <c r="C2554" s="2" t="s">
        <v>594</v>
      </c>
      <c r="D2554" s="2" t="str">
        <f t="shared" si="38"/>
        <v>Error?</v>
      </c>
    </row>
    <row r="2555" spans="1:4" x14ac:dyDescent="0.2">
      <c r="A2555" s="5">
        <v>2494</v>
      </c>
      <c r="B2555" s="138">
        <f>'Acct Summary 7-8'!C8</f>
        <v>3221511</v>
      </c>
      <c r="C2555" s="2" t="s">
        <v>594</v>
      </c>
      <c r="D2555" s="2" t="str">
        <f t="shared" si="38"/>
        <v>Error?</v>
      </c>
    </row>
    <row r="2556" spans="1:4" x14ac:dyDescent="0.2">
      <c r="A2556" s="5">
        <v>2495</v>
      </c>
      <c r="B2556" s="138">
        <f>'Acct Summary 7-8'!C12</f>
        <v>2022325</v>
      </c>
      <c r="C2556" s="2" t="s">
        <v>594</v>
      </c>
      <c r="D2556" s="2" t="str">
        <f t="shared" si="38"/>
        <v>Error?</v>
      </c>
    </row>
    <row r="2557" spans="1:4" x14ac:dyDescent="0.2">
      <c r="A2557" s="5">
        <v>2496</v>
      </c>
      <c r="B2557" s="138">
        <f>'Acct Summary 7-8'!C13</f>
        <v>905270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41368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2968963</v>
      </c>
      <c r="C2561" s="2" t="s">
        <v>594</v>
      </c>
      <c r="D2561" s="2" t="str">
        <f t="shared" si="39"/>
        <v>Error?</v>
      </c>
    </row>
    <row r="2562" spans="1:4" x14ac:dyDescent="0.2">
      <c r="A2562" s="5">
        <v>2501</v>
      </c>
      <c r="B2562" s="138">
        <f>'Acct Summary 7-8'!C20</f>
        <v>252548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41368</v>
      </c>
      <c r="C2789" s="2" t="s">
        <v>594</v>
      </c>
      <c r="D2789" s="2" t="str">
        <f t="shared" si="42"/>
        <v>Error?</v>
      </c>
    </row>
    <row r="2790" spans="1:4" x14ac:dyDescent="0.2">
      <c r="A2790" s="5">
        <v>2729</v>
      </c>
      <c r="B2790" s="138">
        <f>'Expenditures 15-22'!E102</f>
        <v>41368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189595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189595</v>
      </c>
      <c r="D2914" s="2" t="str">
        <f t="shared" si="44"/>
        <v>Error?</v>
      </c>
    </row>
    <row r="2915" spans="1:4" x14ac:dyDescent="0.2">
      <c r="A2915" s="10">
        <v>2854</v>
      </c>
      <c r="D2915" s="2" t="str">
        <f t="shared" si="44"/>
        <v>OK</v>
      </c>
    </row>
    <row r="2916" spans="1:4" x14ac:dyDescent="0.2">
      <c r="A2916" s="5">
        <v>2855</v>
      </c>
      <c r="B2916" s="138">
        <f>'Assets-Liab 5-6'!L34</f>
        <v>189595</v>
      </c>
      <c r="C2916" s="2" t="s">
        <v>594</v>
      </c>
      <c r="D2916" s="2" t="str">
        <f t="shared" si="44"/>
        <v>Error?</v>
      </c>
    </row>
    <row r="2917" spans="1:4" x14ac:dyDescent="0.2">
      <c r="A2917" s="5">
        <v>2856</v>
      </c>
      <c r="B2917" s="138">
        <f>'Assets-Liab 5-6'!L41</f>
        <v>189595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9598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31770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9598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31770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252548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186111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50808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972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238927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356876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189595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14994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3221511</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2968963</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252548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3023786</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3023786</v>
      </c>
      <c r="C5087" s="2" t="s">
        <v>594</v>
      </c>
      <c r="D5087" s="2" t="str">
        <f t="shared" si="78"/>
        <v>Error?</v>
      </c>
    </row>
    <row r="5088" spans="1:4" x14ac:dyDescent="0.2">
      <c r="A5088" s="5">
        <v>5027</v>
      </c>
      <c r="B5088" s="138">
        <f>'Revenues 9-14'!C65</f>
        <v>417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38471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6150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44621</v>
      </c>
      <c r="C5102" s="2" t="s">
        <v>594</v>
      </c>
      <c r="D5102" s="2" t="str">
        <f t="shared" si="78"/>
        <v>Error?</v>
      </c>
    </row>
    <row r="5103" spans="1:4" x14ac:dyDescent="0.2">
      <c r="A5103" s="5">
        <v>5042</v>
      </c>
      <c r="B5103" s="138">
        <f>'Revenues 9-14'!C84</f>
        <v>16160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16160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39250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11419</v>
      </c>
      <c r="D5119" s="2" t="str">
        <f t="shared" ref="D5119:D5182" si="79">IF(ISBLANK(B5119),"OK",IF(A5119-B5119=0,"OK","Error?"))</f>
        <v>Error?</v>
      </c>
    </row>
    <row r="5120" spans="1:4" x14ac:dyDescent="0.2">
      <c r="A5120" s="5">
        <v>5059</v>
      </c>
      <c r="B5120" s="138">
        <f>'Revenues 9-14'!C108</f>
        <v>58069</v>
      </c>
      <c r="C5120" s="2" t="s">
        <v>594</v>
      </c>
      <c r="D5120" s="2" t="str">
        <f t="shared" si="79"/>
        <v>Error?</v>
      </c>
    </row>
    <row r="5121" spans="1:4" x14ac:dyDescent="0.2">
      <c r="A5121" s="5">
        <v>5060</v>
      </c>
      <c r="B5121" s="138">
        <f>'Revenues 9-14'!C109</f>
        <v>3143053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34000</v>
      </c>
      <c r="D5134" s="2" t="str">
        <f t="shared" si="79"/>
        <v>Error?</v>
      </c>
    </row>
    <row r="5135" spans="1:4" x14ac:dyDescent="0.2">
      <c r="A5135" s="5">
        <v>5074</v>
      </c>
      <c r="B5135" s="138">
        <f>'Revenues 9-14'!C126</f>
        <v>36300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70300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8158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78458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78458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0</v>
      </c>
      <c r="C5326" s="2" t="s">
        <v>594</v>
      </c>
      <c r="D5326" s="2" t="str">
        <f t="shared" si="82"/>
        <v>Error?</v>
      </c>
    </row>
    <row r="5327" spans="1:4" x14ac:dyDescent="0.2">
      <c r="A5327" s="5">
        <v>5266</v>
      </c>
      <c r="B5327" s="138">
        <f>'Revenues 9-14'!C275</f>
        <v>3221511</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252548</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1</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7400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38228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38228</v>
      </c>
      <c r="D6940" s="2" t="str">
        <f t="shared" si="107"/>
        <v>Error?</v>
      </c>
    </row>
    <row r="6941" spans="1:4" x14ac:dyDescent="0.2">
      <c r="A6941">
        <v>6880</v>
      </c>
      <c r="B6941" s="138">
        <f>'Expenditures 15-22'!L52</f>
        <v>14783</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Bismarck Henning Rossville Alvin Coop HS</v>
      </c>
      <c r="B7" s="2404"/>
      <c r="C7" s="2404"/>
      <c r="D7" s="2441"/>
      <c r="E7" s="2442">
        <f>COVER!A13</f>
        <v>54092800080</v>
      </c>
      <c r="F7" s="2443"/>
      <c r="G7" s="2410" t="str">
        <f>COVER!T23</f>
        <v>065.018319</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RUSSELL LEIGH &amp; ASSOCIATES</v>
      </c>
      <c r="H9" s="2417"/>
      <c r="I9" s="2417"/>
      <c r="J9" s="2417"/>
      <c r="K9" s="2417"/>
      <c r="L9" s="2418"/>
    </row>
    <row r="10" spans="1:29" ht="13.5" customHeight="1" x14ac:dyDescent="0.2">
      <c r="A10" s="2400" t="str">
        <f>COVER!A38</f>
        <v>Scott Watson</v>
      </c>
      <c r="B10" s="2401"/>
      <c r="C10" s="2401"/>
      <c r="D10" s="2401"/>
      <c r="E10" s="2401"/>
      <c r="F10" s="2402"/>
      <c r="G10" s="2416" t="str">
        <f>COVER!T17</f>
        <v>228 E MAIN ST</v>
      </c>
      <c r="H10" s="2429"/>
      <c r="I10" s="2429"/>
      <c r="J10" s="2429"/>
      <c r="K10" s="2429"/>
      <c r="L10" s="2430"/>
    </row>
    <row r="11" spans="1:29" ht="13.5" customHeight="1" x14ac:dyDescent="0.2">
      <c r="A11" s="1185" t="s">
        <v>1599</v>
      </c>
      <c r="B11" s="1186"/>
      <c r="C11" s="1187"/>
      <c r="D11" s="1192"/>
      <c r="E11" s="1187"/>
      <c r="F11" s="1191"/>
      <c r="G11" s="2416" t="str">
        <f>COVER!T19</f>
        <v>HOOPESTON</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admin@russleigh.com</v>
      </c>
      <c r="J13" s="2438"/>
      <c r="K13" s="2438"/>
      <c r="L13" s="2439"/>
    </row>
    <row r="14" spans="1:29" ht="13.5" customHeight="1" x14ac:dyDescent="0.2">
      <c r="A14" s="2416" t="str">
        <f>COVER!A19</f>
        <v>17268 E 2750 NORTH RD</v>
      </c>
      <c r="B14" s="2429"/>
      <c r="C14" s="2429"/>
      <c r="D14" s="2429"/>
      <c r="E14" s="2429"/>
      <c r="F14" s="2430"/>
      <c r="G14" s="1196" t="s">
        <v>1247</v>
      </c>
      <c r="H14" s="1194"/>
      <c r="I14" s="1194"/>
      <c r="J14" s="1194"/>
      <c r="K14" s="1194"/>
      <c r="L14" s="1195"/>
    </row>
    <row r="15" spans="1:29" ht="13.5" customHeight="1" x14ac:dyDescent="0.2">
      <c r="A15" s="2416" t="str">
        <f>COVER!A21</f>
        <v>Bismarck</v>
      </c>
      <c r="B15" s="2429"/>
      <c r="C15" s="2429"/>
      <c r="D15" s="2429"/>
      <c r="E15" s="2429"/>
      <c r="F15" s="2430"/>
      <c r="G15" s="2426" t="str">
        <f>COVER!T15</f>
        <v>RUSS LEIGH</v>
      </c>
      <c r="H15" s="2427"/>
      <c r="I15" s="2427"/>
      <c r="J15" s="2427"/>
      <c r="K15" s="2427"/>
      <c r="L15" s="2428"/>
    </row>
    <row r="16" spans="1:29" ht="12.2" customHeight="1" x14ac:dyDescent="0.2">
      <c r="A16" s="2406">
        <f>COVER!A25</f>
        <v>61814</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217-283-9336</v>
      </c>
      <c r="H18" s="2404"/>
      <c r="I18" s="2404"/>
      <c r="J18" s="2404"/>
      <c r="K18" s="2403" t="str">
        <f>COVER!X21</f>
        <v>217-283-9736</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Bismarck Henning Rossville Alvin Coop HS</v>
      </c>
      <c r="B1" s="2440"/>
      <c r="C1" s="2440"/>
      <c r="D1" s="2440"/>
    </row>
    <row r="2" spans="1:11" s="1215" customFormat="1" ht="12.75" x14ac:dyDescent="0.2">
      <c r="A2" s="2445">
        <f>'Single Audit Cover'!E7</f>
        <v>54092800080</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Bismarck Henning Rossville Alvin Coop HS</v>
      </c>
      <c r="B1" s="2448"/>
      <c r="C1" s="2448"/>
      <c r="D1" s="2448"/>
      <c r="E1" s="2448"/>
    </row>
    <row r="2" spans="1:5" x14ac:dyDescent="0.2">
      <c r="A2" s="2449">
        <f>'Single Audit Cover'!E7</f>
        <v>54092800080</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Bismarck Henning Rossville Alvin Coop HS</v>
      </c>
      <c r="B1" s="2453"/>
      <c r="C1" s="2453"/>
      <c r="D1" s="2453"/>
      <c r="E1" s="2453"/>
      <c r="F1" s="2453"/>
    </row>
    <row r="2" spans="1:7" ht="13.5" customHeight="1" x14ac:dyDescent="0.2">
      <c r="A2" s="2454">
        <f>'Single Audit Cover'!E7</f>
        <v>54092800080</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Bismarck Henning Rossville Alvin Coop HS</v>
      </c>
      <c r="C1" s="2465"/>
      <c r="D1" s="2465"/>
      <c r="E1" s="2465"/>
      <c r="F1" s="2465"/>
      <c r="G1" s="2465"/>
      <c r="H1" s="2465"/>
      <c r="I1" s="2465"/>
      <c r="J1" s="2465"/>
      <c r="K1" s="2465"/>
      <c r="L1" s="2465"/>
      <c r="M1" s="2465"/>
    </row>
    <row r="2" spans="2:14" ht="15" x14ac:dyDescent="0.2">
      <c r="B2" s="2454">
        <f>'Single Audit Cover'!E7</f>
        <v>54092800080</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Bismarck Henning Rossville Alvin Coop HS</v>
      </c>
      <c r="C1" s="2473"/>
      <c r="D1" s="2473"/>
      <c r="E1" s="2473"/>
      <c r="F1" s="2473"/>
      <c r="G1" s="2473"/>
      <c r="H1" s="2473"/>
      <c r="I1" s="2473"/>
      <c r="J1" s="1422"/>
    </row>
    <row r="2" spans="2:10" s="317" customFormat="1" ht="12.75" customHeight="1" x14ac:dyDescent="0.2">
      <c r="B2" s="2474">
        <f>'Single Audit Cover'!E7</f>
        <v>54092800080</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1951</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Bismarck Henning Rossville Alvin Coop HS</v>
      </c>
      <c r="C1" s="2472"/>
      <c r="D1" s="2472"/>
      <c r="E1" s="2472"/>
      <c r="F1" s="2472"/>
      <c r="G1" s="2472"/>
      <c r="H1" s="2472"/>
      <c r="I1" s="2472"/>
      <c r="J1" s="2472"/>
      <c r="K1" s="2472"/>
      <c r="L1" s="1374"/>
      <c r="M1" s="1374"/>
    </row>
    <row r="2" spans="1:13" ht="12" customHeight="1" x14ac:dyDescent="0.2">
      <c r="B2" s="2474">
        <f>'Single Audit Cover'!E7</f>
        <v>54092800080</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Bismarck Henning Rossville Alvin Coop HS</v>
      </c>
      <c r="C1" s="2499"/>
      <c r="D1" s="2499"/>
      <c r="E1" s="2499"/>
      <c r="F1" s="2499"/>
      <c r="G1" s="2499"/>
      <c r="H1" s="2499"/>
      <c r="I1" s="2499"/>
      <c r="J1" s="2499"/>
      <c r="K1" s="2499"/>
      <c r="L1" s="1465"/>
    </row>
    <row r="2" spans="1:12" ht="12.75" customHeight="1" x14ac:dyDescent="0.2">
      <c r="B2" s="2500">
        <f>'Single Audit Cover'!E7</f>
        <v>54092800080</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Bismarck Henning Rossville Alvin Coop HS</v>
      </c>
      <c r="C1" s="2472"/>
      <c r="D1" s="2472"/>
      <c r="E1" s="1491"/>
    </row>
    <row r="2" spans="2:5" s="1282" customFormat="1" ht="12.75" customHeight="1" x14ac:dyDescent="0.2">
      <c r="B2" s="2474">
        <f>'Single Audit Cover'!E7</f>
        <v>54092800080</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6ce3111e-7420-4802-b50a-75d4e9a0b980"/>
    <ds:schemaRef ds:uri="http://purl.org/dc/terms/"/>
    <ds:schemaRef ds:uri="http://purl.org/dc/dcmitype/"/>
    <ds:schemaRef ds:uri="http://schemas.microsoft.com/office/infopath/2007/PartnerControls"/>
    <ds:schemaRef ds:uri="http://schemas.microsoft.com/office/2006/metadata/properties"/>
    <ds:schemaRef ds:uri="4d435f69-8686-490b-bd6d-b153bf22ab50"/>
    <ds:schemaRef ds:uri="d21dc803-237d-4c68-8692-8d731fd29118"/>
    <ds:schemaRef ds:uri="http://schemas.microsoft.com/office/2006/documentManagement/types"/>
    <ds:schemaRef ds:uri="http://schemas.openxmlformats.org/package/2006/metadata/core-properti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2018-10-29T14:43:39Z</cp:lastPrinted>
  <dcterms:created xsi:type="dcterms:W3CDTF">2003-10-29T19:06:34Z</dcterms:created>
  <dcterms:modified xsi:type="dcterms:W3CDTF">2018-11-19T22:02:28Z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