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532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81" i="29" l="1"/>
  <c r="L49" i="29"/>
  <c r="L51" i="29"/>
  <c r="E124" i="29" l="1"/>
  <c r="H13" i="145" l="1"/>
  <c r="A40" i="2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B2805" i="106" s="1"/>
  <c r="D2805" i="106" s="1"/>
  <c r="K185" i="29"/>
  <c r="K122" i="29"/>
  <c r="F15" i="145" s="1"/>
  <c r="F19" i="145" s="1"/>
  <c r="K67" i="29"/>
  <c r="K64" i="29"/>
  <c r="K59" i="29"/>
  <c r="E15" i="145"/>
  <c r="G15" i="145" s="1"/>
  <c r="K56" i="29"/>
  <c r="E14" i="145" s="1"/>
  <c r="G14" i="145" s="1"/>
  <c r="K51"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s="1"/>
  <c r="D1865" i="106" s="1"/>
  <c r="B1866" i="106"/>
  <c r="D1866" i="106" s="1"/>
  <c r="F6" i="8"/>
  <c r="F7" i="8"/>
  <c r="B1868" i="106"/>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s="1"/>
  <c r="B5243" i="106"/>
  <c r="D5243" i="106" s="1"/>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s="1"/>
  <c r="B6302" i="106"/>
  <c r="D6302" i="106" s="1"/>
  <c r="B6303" i="106"/>
  <c r="D6303" i="106" s="1"/>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c r="B6315" i="106"/>
  <c r="D6315" i="106" s="1"/>
  <c r="B6316" i="106"/>
  <c r="D6316" i="106"/>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c r="B6381" i="106"/>
  <c r="D6381" i="106" s="1"/>
  <c r="B6382" i="106"/>
  <c r="D6382" i="106"/>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c r="B6622" i="106"/>
  <c r="D6622" i="106" s="1"/>
  <c r="B6623" i="106"/>
  <c r="D6623" i="106"/>
  <c r="B6624" i="106"/>
  <c r="D6624" i="106" s="1"/>
  <c r="B6625" i="106"/>
  <c r="D6625" i="106"/>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c r="B6656" i="106"/>
  <c r="D6656" i="106" s="1"/>
  <c r="B6657" i="106"/>
  <c r="D6657" i="106"/>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c r="B6672" i="106"/>
  <c r="D6672" i="106" s="1"/>
  <c r="B6673" i="106"/>
  <c r="D6673" i="106"/>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c r="B6704" i="106"/>
  <c r="D6704" i="106" s="1"/>
  <c r="B6705" i="106"/>
  <c r="D6705" i="106"/>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s="1"/>
  <c r="B6718" i="106"/>
  <c r="D6718" i="106"/>
  <c r="B6719" i="106"/>
  <c r="D6719" i="106" s="1"/>
  <c r="B6720" i="106"/>
  <c r="D6720" i="106" s="1"/>
  <c r="B6721" i="106"/>
  <c r="D6721" i="106" s="1"/>
  <c r="B6722" i="106"/>
  <c r="D6722" i="106"/>
  <c r="B6723" i="106"/>
  <c r="D6723" i="106" s="1"/>
  <c r="B6724" i="106"/>
  <c r="D6724" i="106" s="1"/>
  <c r="B6725" i="106"/>
  <c r="D6725" i="106" s="1"/>
  <c r="B6726" i="106"/>
  <c r="D6726" i="106"/>
  <c r="B6727" i="106"/>
  <c r="D6727" i="106" s="1"/>
  <c r="B6728" i="106"/>
  <c r="D6728" i="106"/>
  <c r="B6729" i="106"/>
  <c r="D6729" i="106"/>
  <c r="B6730" i="106"/>
  <c r="D6730" i="106"/>
  <c r="B6731" i="106"/>
  <c r="D6731" i="106" s="1"/>
  <c r="B6732" i="106"/>
  <c r="D6732" i="106"/>
  <c r="B6733" i="106"/>
  <c r="D6733" i="106"/>
  <c r="B6734" i="106"/>
  <c r="D6734" i="106"/>
  <c r="B6735" i="106"/>
  <c r="D6735" i="106" s="1"/>
  <c r="B6736" i="106"/>
  <c r="D6736" i="106"/>
  <c r="B6737" i="106"/>
  <c r="D6737" i="106"/>
  <c r="B6738" i="106"/>
  <c r="D6738" i="106"/>
  <c r="B6739" i="106"/>
  <c r="D6739" i="106" s="1"/>
  <c r="B6740" i="106"/>
  <c r="D6740" i="106"/>
  <c r="B6741" i="106"/>
  <c r="D6741" i="106"/>
  <c r="B6742" i="106"/>
  <c r="D6742" i="106"/>
  <c r="B6743" i="106"/>
  <c r="D6743" i="106" s="1"/>
  <c r="B6744" i="106"/>
  <c r="D6744" i="106"/>
  <c r="B6745" i="106"/>
  <c r="D6745" i="106"/>
  <c r="B6746" i="106"/>
  <c r="D6746" i="106"/>
  <c r="B6747" i="106"/>
  <c r="D6747" i="106" s="1"/>
  <c r="B6748" i="106"/>
  <c r="D6748" i="106"/>
  <c r="B6749" i="106"/>
  <c r="D6749" i="106"/>
  <c r="B6750" i="106"/>
  <c r="D6750" i="106"/>
  <c r="B6751" i="106"/>
  <c r="D6751" i="106" s="1"/>
  <c r="B6752" i="106"/>
  <c r="D6752" i="106"/>
  <c r="B6753" i="106"/>
  <c r="D6753" i="106"/>
  <c r="B6754" i="106"/>
  <c r="D6754" i="106"/>
  <c r="B6755" i="106"/>
  <c r="D6755" i="106" s="1"/>
  <c r="B6756" i="106"/>
  <c r="D6756" i="106"/>
  <c r="B6757" i="106"/>
  <c r="D6757" i="106"/>
  <c r="B6758" i="106"/>
  <c r="D6758" i="106"/>
  <c r="B6759" i="106"/>
  <c r="D6759" i="106" s="1"/>
  <c r="B6760" i="106"/>
  <c r="D6760" i="106"/>
  <c r="B6761" i="106"/>
  <c r="D6761" i="106"/>
  <c r="B6762" i="106"/>
  <c r="D6762" i="106"/>
  <c r="B6763" i="106"/>
  <c r="D6763" i="106" s="1"/>
  <c r="B6764" i="106"/>
  <c r="D6764" i="106"/>
  <c r="B6765" i="106"/>
  <c r="D6765" i="106"/>
  <c r="B6766" i="106"/>
  <c r="D6766" i="106"/>
  <c r="B6767" i="106"/>
  <c r="D6767" i="106" s="1"/>
  <c r="B6768" i="106"/>
  <c r="D6768" i="106"/>
  <c r="B6769" i="106"/>
  <c r="D6769" i="106"/>
  <c r="B6770" i="106"/>
  <c r="D6770" i="106"/>
  <c r="B6771" i="106"/>
  <c r="D6771" i="106" s="1"/>
  <c r="B6772" i="106"/>
  <c r="D6772" i="106"/>
  <c r="B6773" i="106"/>
  <c r="D6773" i="106"/>
  <c r="B6774" i="106"/>
  <c r="D6774" i="106"/>
  <c r="B6775" i="106"/>
  <c r="D6775" i="106" s="1"/>
  <c r="B6776" i="106"/>
  <c r="D6776" i="106"/>
  <c r="B6777" i="106"/>
  <c r="D6777" i="106"/>
  <c r="B6778" i="106"/>
  <c r="D6778" i="106"/>
  <c r="B6779" i="106"/>
  <c r="D6779" i="106" s="1"/>
  <c r="B6780" i="106"/>
  <c r="D6780" i="106"/>
  <c r="B6781" i="106"/>
  <c r="D6781" i="106"/>
  <c r="B6782" i="106"/>
  <c r="D6782" i="106"/>
  <c r="B6783" i="106"/>
  <c r="D6783" i="106" s="1"/>
  <c r="B6784" i="106"/>
  <c r="D6784" i="106"/>
  <c r="B6785" i="106"/>
  <c r="D6785" i="106"/>
  <c r="B6786" i="106"/>
  <c r="D6786" i="106"/>
  <c r="B6787" i="106"/>
  <c r="D6787" i="106" s="1"/>
  <c r="B6788" i="106"/>
  <c r="D6788" i="106"/>
  <c r="B6789" i="106"/>
  <c r="D6789" i="106"/>
  <c r="B6790" i="106"/>
  <c r="D6790" i="106"/>
  <c r="B6791" i="106"/>
  <c r="D6791" i="106" s="1"/>
  <c r="B6792" i="106"/>
  <c r="D6792" i="106"/>
  <c r="B6793" i="106"/>
  <c r="D6793" i="106"/>
  <c r="B6794" i="106"/>
  <c r="D6794" i="106"/>
  <c r="B6795" i="106"/>
  <c r="D6795" i="106" s="1"/>
  <c r="B6796" i="106"/>
  <c r="D6796" i="106"/>
  <c r="B6797" i="106"/>
  <c r="D6797" i="106"/>
  <c r="B6798" i="106"/>
  <c r="D6798" i="106"/>
  <c r="B6799" i="106"/>
  <c r="D6799" i="106" s="1"/>
  <c r="B6800" i="106"/>
  <c r="D6800" i="106"/>
  <c r="B6801" i="106"/>
  <c r="D6801" i="106"/>
  <c r="B6802" i="106"/>
  <c r="D6802" i="106"/>
  <c r="B6803" i="106"/>
  <c r="D6803" i="106" s="1"/>
  <c r="B6804" i="106"/>
  <c r="D6804" i="106"/>
  <c r="B6805" i="106"/>
  <c r="D6805" i="106"/>
  <c r="B6806" i="106"/>
  <c r="D6806" i="106"/>
  <c r="B6807" i="106"/>
  <c r="D6807" i="106" s="1"/>
  <c r="B6808" i="106"/>
  <c r="D6808" i="106"/>
  <c r="B6809" i="106"/>
  <c r="D6809" i="106"/>
  <c r="B6810" i="106"/>
  <c r="D6810" i="106"/>
  <c r="B6811" i="106"/>
  <c r="D6811" i="106" s="1"/>
  <c r="B6812" i="106"/>
  <c r="D6812" i="106"/>
  <c r="B6813" i="106"/>
  <c r="D6813" i="106"/>
  <c r="B6814" i="106"/>
  <c r="D6814" i="106"/>
  <c r="B6815" i="106"/>
  <c r="D6815" i="106" s="1"/>
  <c r="B6816" i="106"/>
  <c r="D6816" i="106"/>
  <c r="B6817" i="106"/>
  <c r="D6817" i="106"/>
  <c r="B6818" i="106"/>
  <c r="D6818" i="106"/>
  <c r="B6819" i="106"/>
  <c r="D6819" i="106" s="1"/>
  <c r="B6820" i="106"/>
  <c r="D6820" i="106"/>
  <c r="B6821" i="106"/>
  <c r="D6821" i="106"/>
  <c r="B6822" i="106"/>
  <c r="D6822" i="106"/>
  <c r="B6823" i="106"/>
  <c r="D6823" i="106" s="1"/>
  <c r="B6824" i="106"/>
  <c r="D6824" i="106"/>
  <c r="B6825" i="106"/>
  <c r="D6825" i="106"/>
  <c r="B6826" i="106"/>
  <c r="D6826" i="106"/>
  <c r="B6827" i="106"/>
  <c r="D6827" i="106" s="1"/>
  <c r="B6828" i="106"/>
  <c r="D6828" i="106"/>
  <c r="B6829" i="106"/>
  <c r="D6829" i="106"/>
  <c r="B6830" i="106"/>
  <c r="D6830" i="106"/>
  <c r="B6831" i="106"/>
  <c r="D6831" i="106" s="1"/>
  <c r="B6832" i="106"/>
  <c r="D6832" i="106"/>
  <c r="B6841" i="106"/>
  <c r="D6841" i="106"/>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D109" i="5" s="1"/>
  <c r="B5356" i="106" s="1"/>
  <c r="D5356"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G109" i="5" s="1"/>
  <c r="H18" i="5"/>
  <c r="B5878" i="106"/>
  <c r="D5878" i="106" s="1"/>
  <c r="I18" i="5"/>
  <c r="B5923" i="106"/>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F127" i="34" s="1"/>
  <c r="B5232" i="106"/>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F131" i="34"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5" i="7"/>
  <c r="B1761" i="106" s="1"/>
  <c r="D1761" i="106" s="1"/>
  <c r="D13" i="7"/>
  <c r="B3726" i="106" s="1"/>
  <c r="D3726" i="106" s="1"/>
  <c r="D9" i="7"/>
  <c r="B1767" i="106" s="1"/>
  <c r="D1767" i="106" s="1"/>
  <c r="F136" i="34"/>
  <c r="F111" i="34"/>
  <c r="B5847" i="106"/>
  <c r="D5847" i="106" s="1"/>
  <c r="K274" i="5"/>
  <c r="H109" i="5"/>
  <c r="B6025" i="106" s="1"/>
  <c r="D6025" i="106" s="1"/>
  <c r="B1746" i="106"/>
  <c r="D1746" i="106" s="1"/>
  <c r="D17" i="7"/>
  <c r="B4104" i="106" s="1"/>
  <c r="D4104" i="106" s="1"/>
  <c r="D12" i="7"/>
  <c r="B1769" i="106" s="1"/>
  <c r="D1769" i="106" s="1"/>
  <c r="D11" i="7"/>
  <c r="B1768" i="106" s="1"/>
  <c r="D1768" i="106" s="1"/>
  <c r="B6024" i="106" l="1"/>
  <c r="D6024" i="106" s="1"/>
  <c r="G4" i="4"/>
  <c r="B2603" i="106" s="1"/>
  <c r="D2603" i="106" s="1"/>
  <c r="B1364" i="106"/>
  <c r="D1364" i="106" s="1"/>
  <c r="G210" i="29"/>
  <c r="C172" i="5"/>
  <c r="B4373" i="106"/>
  <c r="D4373" i="106" s="1"/>
  <c r="K173" i="5"/>
  <c r="K6" i="4" s="1"/>
  <c r="B3570" i="106" s="1"/>
  <c r="D3570" i="106" s="1"/>
  <c r="F35" i="34"/>
  <c r="H342" i="29"/>
  <c r="J77" i="4"/>
  <c r="B6262" i="106" s="1"/>
  <c r="D6262" i="106" s="1"/>
  <c r="H173" i="5"/>
  <c r="F128" i="34"/>
  <c r="D4" i="7"/>
  <c r="B1760" i="106" s="1"/>
  <c r="D1760" i="106" s="1"/>
  <c r="J274" i="5"/>
  <c r="B7054" i="106" s="1"/>
  <c r="D7054" i="106" s="1"/>
  <c r="B4413" i="106"/>
  <c r="D4413" i="106" s="1"/>
  <c r="B5730" i="106"/>
  <c r="D5730" i="106" s="1"/>
  <c r="B5334" i="106"/>
  <c r="D5334" i="106" s="1"/>
  <c r="L312" i="29"/>
  <c r="D52" i="36"/>
  <c r="B3649" i="106"/>
  <c r="D3649" i="106" s="1"/>
  <c r="G367" i="29"/>
  <c r="E13" i="145"/>
  <c r="G13" i="145" s="1"/>
  <c r="B2724" i="106"/>
  <c r="D2724" i="106" s="1"/>
  <c r="I210" i="29"/>
  <c r="H4" i="4"/>
  <c r="B2655" i="106" s="1"/>
  <c r="D2655" i="106" s="1"/>
  <c r="D15" i="7"/>
  <c r="B1772" i="106" s="1"/>
  <c r="D1772" i="106" s="1"/>
  <c r="D7" i="7"/>
  <c r="B1763" i="106" s="1"/>
  <c r="D1763" i="106" s="1"/>
  <c r="D5" i="4"/>
  <c r="B3406" i="106" s="1"/>
  <c r="D3406" i="106" s="1"/>
  <c r="G172" i="5"/>
  <c r="B6191" i="106"/>
  <c r="D6191" i="106" s="1"/>
  <c r="J41" i="3"/>
  <c r="F106" i="34"/>
  <c r="F36" i="34"/>
  <c r="F130" i="34"/>
  <c r="E109" i="5"/>
  <c r="E4" i="4" s="1"/>
  <c r="B2630" i="106" s="1"/>
  <c r="D2630" i="106" s="1"/>
  <c r="L367" i="29"/>
  <c r="I342" i="29"/>
  <c r="B7222" i="106" s="1"/>
  <c r="D7222" i="106" s="1"/>
  <c r="B1410" i="106"/>
  <c r="D1410" i="106" s="1"/>
  <c r="F21" i="8"/>
  <c r="K350" i="29"/>
  <c r="B3621" i="106"/>
  <c r="D3621" i="106" s="1"/>
  <c r="C367" i="29"/>
  <c r="L15" i="11"/>
  <c r="B3459" i="106" s="1"/>
  <c r="D3459" i="106" s="1"/>
  <c r="B1329" i="106"/>
  <c r="D1329" i="106" s="1"/>
  <c r="F61" i="34"/>
  <c r="D4" i="4"/>
  <c r="B2564" i="106" s="1"/>
  <c r="D2564"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D19" i="7"/>
  <c r="B1775" i="106" s="1"/>
  <c r="D1775" i="106" s="1"/>
  <c r="B7270" i="106"/>
  <c r="B1879" i="106" l="1"/>
  <c r="D1879" i="106" s="1"/>
  <c r="H22" i="37"/>
  <c r="B7071" i="106"/>
  <c r="D7071" i="106" s="1"/>
  <c r="F66" i="34"/>
  <c r="F275" i="5"/>
  <c r="B1328" i="106"/>
  <c r="D1328" i="106" s="1"/>
  <c r="L16" i="11"/>
  <c r="B2061" i="106" s="1"/>
  <c r="D2061" i="106" s="1"/>
  <c r="F6" i="4"/>
  <c r="B2593" i="106" s="1"/>
  <c r="D2593" i="106" s="1"/>
  <c r="H367" i="29"/>
  <c r="B3660" i="106" s="1"/>
  <c r="D3660" i="106" s="1"/>
  <c r="G173" i="5"/>
  <c r="B5770" i="106"/>
  <c r="D5770" i="106" s="1"/>
  <c r="B5214" i="106"/>
  <c r="D5214" i="106" s="1"/>
  <c r="C173" i="5"/>
  <c r="K367" i="29"/>
  <c r="D7256" i="106"/>
  <c r="D7251" i="106"/>
  <c r="C114" i="29"/>
  <c r="B757" i="106" s="1"/>
  <c r="D757" i="106" s="1"/>
  <c r="K342" i="29"/>
  <c r="F13" i="34" s="1"/>
  <c r="B1365" i="106"/>
  <c r="D1365" i="106" s="1"/>
  <c r="F65" i="34"/>
  <c r="B5906" i="106"/>
  <c r="D5906" i="106" s="1"/>
  <c r="H6" i="4"/>
  <c r="D7252" i="106"/>
  <c r="B3670" i="106"/>
  <c r="D3670" i="106" s="1"/>
  <c r="K352" i="29"/>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B5223" i="106"/>
  <c r="D5223" i="106" s="1"/>
  <c r="C6" i="4"/>
  <c r="B2553" i="106" s="1"/>
  <c r="D2553" i="106" s="1"/>
  <c r="B5778" i="106"/>
  <c r="D5778" i="106" s="1"/>
  <c r="G6" i="4"/>
  <c r="B2604" i="106" s="1"/>
  <c r="D2604" i="106" s="1"/>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123" i="106" l="1"/>
  <c r="D123" i="106" s="1"/>
  <c r="D41" i="3"/>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C41" i="3"/>
  <c r="D76" i="36"/>
  <c r="D45" i="36"/>
  <c r="B124" i="106"/>
  <c r="D12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<sst xmlns="http://schemas.openxmlformats.org/spreadsheetml/2006/main" count="5014" uniqueCount="2094">
  <si>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</si>
  <si>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</si>
  <si>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</si>
  <si>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</si>
  <si>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</si>
  <si>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</si>
  <si>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</si>
  <si>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</si>
  <si>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</si>
  <si>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</si>
  <si>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</si>
  <si>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</si>
  <si>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</si>
  <si>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</si>
  <si>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</si>
  <si>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</si>
  <si>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</si>
  <si>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</si>
  <si>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</si>
  <si>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</si>
  <si>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</si>
  <si>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</si>
  <si>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</si>
  <si>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</si>
  <si>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</si>
  <si>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</si>
  <si>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</si>
  <si>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</si>
  <si>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</si>
  <si>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</si>
  <si>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</si>
  <si>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</si>
  <si>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</si>
  <si>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</si>
  <si>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</si>
  <si>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</si>
  <si>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</si>
  <si>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</si>
  <si>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</si>
  <si>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</si>
  <si>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</si>
  <si>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</si>
  <si>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</si>
  <si>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</si>
  <si>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</si>
  <si>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</si>
  <si>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</si>
  <si>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</si>
  <si>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</si>
  <si>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</si>
  <si>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</si>
  <si>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</si>
  <si>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</si>
  <si>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</si>
  <si>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</si>
  <si>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</si>
  <si>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</si>
  <si>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</si>
  <si>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</si>
  <si>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</si>
  <si>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</si>
  <si>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</si>
  <si>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</si>
  <si>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</si>
  <si>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</si>
  <si>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</si>
  <si>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</si>
  <si>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</si>
  <si>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</si>
  <si>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</si>
  <si>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</si>
  <si>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</si>
  <si>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</si>
  <si>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</si>
  <si>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</si>
  <si>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</si>
  <si>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</si>
  <si>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</si>
  <si>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</si>
  <si>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</si>
  <si>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</si>
  <si>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</si>
  <si>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</si>
  <si>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</si>
  <si>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</si>
  <si>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</si>
  <si>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</si>
  <si>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</si>
  <si>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</si>
  <si>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</si>
  <si>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</si>
  <si>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</si>
  <si>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</si>
  <si>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</si>
  <si>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</si>
  <si>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</si>
  <si>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</si>
  <si>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</si>
  <si>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</si>
  <si>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</si>
  <si>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</si>
  <si>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</si>
  <si>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</si>
  <si>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</si>
  <si>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</si>
  <si>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</si>
  <si>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</si>
  <si>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</si>
  <si>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</si>
  <si>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</si>
  <si>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</si>
  <si>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</si>
  <si>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</si>
  <si>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</si>
  <si>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</si>
  <si>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</si>
  <si>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</si>
  <si>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</si>
  <si>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</si>
  <si>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</si>
  <si>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</si>
  <si>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</si>
  <si>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</si>
  <si>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</si>
  <si>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</si>
  <si>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</si>
  <si>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</si>
  <si>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</si>
  <si>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</si>
  <si>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</si>
  <si>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</si>
  <si>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</si>
  <si>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</si>
  <si>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</si>
  <si>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</si>
  <si>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</si>
  <si>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</si>
  <si>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</si>
  <si>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</si>
  <si>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</si>
  <si>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</si>
  <si>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</si>
  <si>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</si>
  <si>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</si>
  <si>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</si>
  <si>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</si>
  <si>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</si>
  <si>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</si>
  <si>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</si>
  <si>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</si>
  <si>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</si>
  <si>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</si>
  <si>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</si>
  <si>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</si>
  <si>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</si>
  <si>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</si>
  <si>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</si>
  <si>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</si>
  <si>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</si>
  <si>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</si>
  <si>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</si>
  <si>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</si>
  <si>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</si>
  <si>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</si>
  <si>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</si>
  <si>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</si>
  <si>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</si>
  <si>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</si>
  <si>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</si>
  <si>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</si>
  <si>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</si>
  <si>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</si>
  <si>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</si>
  <si>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</si>
  <si>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</si>
  <si>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</si>
  <si>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</si>
  <si>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</si>
  <si>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</si>
  <si>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</si>
  <si>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</si>
  <si>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</si>
  <si>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</si>
  <si>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</si>
  <si>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</si>
  <si>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</si>
  <si>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</si>
  <si>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</si>
  <si>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</si>
  <si>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</si>
  <si>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</si>
  <si>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</si>
  <si>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</si>
  <si>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</si>
  <si>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</si>
  <si>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</si>
  <si>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</si>
  <si>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</si>
  <si>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</si>
  <si>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</si>
  <si>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</si>
  <si>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</si>
  <si>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</si>
  <si>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</si>
  <si>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</si>
  <si>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</si>
  <si>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</si>
  <si>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</si>
  <si>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</si>
  <si>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</si>
  <si>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</si>
  <si>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</si>
  <si>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</si>
  <si>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</si>
  <si>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</si>
  <si>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</si>
  <si>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</si>
  <si>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</si>
  <si>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</si>
  <si>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</si>
  <si>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</si>
  <si>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</si>
  <si>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</si>
  <si>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</si>
  <si>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</si>
  <si>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</si>
  <si>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</si>
  <si>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</si>
  <si>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</si>
  <si>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</si>
  <si>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</si>
  <si>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</si>
  <si>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</si>
  <si>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</si>
  <si>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</si>
  <si>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</si>
  <si>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</si>
  <si>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</si>
  <si>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</si>
  <si>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</si>
  <si>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</si>
  <si>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</si>
  <si>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</si>
  <si>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</si>
  <si>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</si>
  <si>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</si>
  <si>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</si>
  <si>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</si>
  <si>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</si>
  <si>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</si>
  <si>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</si>
  <si>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</si>
  <si>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</si>
  <si>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</si>
  <si>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</si>
  <si>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</si>
  <si>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</si>
  <si>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</si>
  <si>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</si>
  <si>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</si>
  <si>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</si>
  <si>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</si>
  <si>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</si>
  <si>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</si>
  <si>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</si>
  <si>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</si>
  <si>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</si>
  <si>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</si>
  <si>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</si>
  <si>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</si>
  <si>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</si>
  <si>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</si>
  <si>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</si>
  <si>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</si>
  <si>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</si>
  <si>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</si>
  <si>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</si>
  <si>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</si>
  <si>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</si>
  <si>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</si>
  <si>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</si>
  <si>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</si>
  <si>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</si>
  <si>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</si>
  <si>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</si>
  <si>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</si>
  <si>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</si>
  <si>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</si>
  <si>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</si>
  <si>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</si>
  <si>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</si>
  <si>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</si>
  <si>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</si>
  <si>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</si>
  <si>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</si>
  <si>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</si>
  <si>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</si>
  <si>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</si>
  <si>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</si>
  <si>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</si>
  <si>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</si>
  <si>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</si>
  <si>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</si>
  <si>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</si>
  <si>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</si>
  <si>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</si>
  <si>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</si>
  <si>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</si>
  <si>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</si>
  <si>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</si>
  <si>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</si>
  <si>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</si>
  <si>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</si>
  <si>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</si>
  <si>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</si>
  <si>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</si>
  <si>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</si>
  <si>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</si>
  <si>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</si>
  <si>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</si>
  <si>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</si>
  <si>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</si>
  <si>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</si>
  <si>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</si>
  <si>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</si>
  <si>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</si>
  <si>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</si>
  <si>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</si>
  <si>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</si>
  <si>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</si>
  <si>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</si>
  <si>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</si>
  <si>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</si>
  <si>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</si>
  <si>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</si>
  <si>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</si>
  <si>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</si>
  <si>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</si>
  <si>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</si>
  <si>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</si>
  <si>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</si>
  <si>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</si>
  <si>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</si>
  <si>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</si>
  <si>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</si>
  <si>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</si>
  <si>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</si>
  <si>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</si>
  <si>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</si>
  <si>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</si>
  <si>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</si>
  <si>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</si>
  <si>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</si>
  <si>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</si>
  <si>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</si>
  <si>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</si>
  <si>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</si>
  <si>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</si>
  <si>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</si>
  <si>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</si>
  <si>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</si>
  <si>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</si>
  <si>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</si>
  <si>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</si>
  <si>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</si>
  <si>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</si>
  <si>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</si>
  <si>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</si>
  <si>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</si>
  <si>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</si>
  <si>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</si>
  <si>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</si>
  <si>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</si>
  <si>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</si>
  <si>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</si>
  <si>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</si>
  <si>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</si>
  <si>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</si>
  <si>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</si>
  <si>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</si>
  <si>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</si>
  <si>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</si>
  <si>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</si>
  <si>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</si>
  <si>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</si>
  <si>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</si>
  <si>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</si>
  <si>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</si>
  <si>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</si>
  <si>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</si>
  <si>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</si>
  <si>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</si>
  <si>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</si>
  <si>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</si>
  <si>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</si>
  <si>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</si>
  <si>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</si>
  <si>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</si>
  <si>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</si>
  <si>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</si>
  <si>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</si>
  <si>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</si>
  <si>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</si>
  <si>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</si>
  <si>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</si>
  <si>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</si>
  <si>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</si>
  <si>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</si>
  <si>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</si>
  <si>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</si>
  <si>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</si>
  <si>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</si>
  <si>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</si>
  <si>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</si>
  <si>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</si>
  <si>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</si>
  <si>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</si>
  <si>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</si>
  <si>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</si>
  <si>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</si>
  <si>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</si>
  <si>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</si>
  <si>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</si>
  <si>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</si>
  <si>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</si>
  <si>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</si>
  <si>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</si>
  <si>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</si>
  <si>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</si>
  <si>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</si>
  <si>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</si>
  <si>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</si>
  <si>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</si>
  <si>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</si>
  <si>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</si>
  <si>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</si>
  <si>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</si>
  <si>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</si>
  <si>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</si>
  <si>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</si>
  <si>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</si>
  <si>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</si>
  <si>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</si>
  <si>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</si>
  <si>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</si>
  <si>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</si>
  <si>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</si>
  <si>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</si>
  <si>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</si>
  <si>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</si>
  <si>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</si>
  <si>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</si>
  <si>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</si>
  <si>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</si>
  <si>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</si>
  <si>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</si>
  <si>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</si>
  <si>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</si>
  <si>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</si>
  <si>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</si>
  <si>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</si>
  <si>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</si>
  <si>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</si>
  <si>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</si>
  <si>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</si>
  <si>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</si>
  <si>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</si>
  <si>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</si>
  <si>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</si>
  <si>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</si>
  <si>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</si>
  <si>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</si>
  <si>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</si>
  <si>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</si>
  <si>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</si>
  <si>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</si>
  <si>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</si>
  <si>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</si>
  <si>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</si>
  <si>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</si>
  <si>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</si>
  <si>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</si>
  <si>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</si>
  <si>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</si>
  <si>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</si>
  <si>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</si>
  <si>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</si>
  <si>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</si>
  <si>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</si>
  <si>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</si>
  <si>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</si>
  <si>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</si>
  <si>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</si>
  <si>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</si>
  <si>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</si>
  <si>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</si>
  <si>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</si>
  <si>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</si>
  <si>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</si>
  <si>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</si>
  <si>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</si>
  <si>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</si>
  <si>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</si>
  <si>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</si>
  <si>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</si>
  <si>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</si>
  <si>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</si>
  <si>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</si>
  <si>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</si>
  <si>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</si>
  <si>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</si>
  <si>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</si>
  <si>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</si>
  <si>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</si>
  <si>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</si>
  <si>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</si>
  <si>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</si>
  <si>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</si>
  <si>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</si>
  <si>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</si>
  <si>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</si>
  <si>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</si>
  <si>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</si>
  <si>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</si>
  <si>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</si>
  <si>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</si>
  <si>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</si>
  <si>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</si>
  <si>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</si>
  <si>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</si>
  <si>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</si>
  <si>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</si>
  <si>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</si>
  <si>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</si>
  <si>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</si>
  <si>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</si>
  <si>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</si>
  <si>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</si>
  <si>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</si>
  <si>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</si>
  <si>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</si>
  <si>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</si>
  <si>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</si>
  <si>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</si>
  <si>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</si>
  <si>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</si>
  <si>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</si>
  <si>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</si>
  <si>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</si>
  <si>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</si>
  <si>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</si>
  <si>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</si>
  <si>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</si>
  <si>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</si>
  <si>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</si>
  <si>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</si>
  <si>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</si>
  <si>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</si>
  <si>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</si>
  <si>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</si>
  <si>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</si>
  <si>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</si>
  <si>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</si>
  <si>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</si>
  <si>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</si>
  <si>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</si>
  <si>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</si>
  <si>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</si>
  <si>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</si>
  <si>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</si>
  <si>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</si>
  <si>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</si>
  <si>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</si>
  <si>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</si>
  <si>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</si>
  <si>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</si>
  <si>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</si>
  <si>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</si>
  <si>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</si>
  <si>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</si>
  <si>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</si>
  <si>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</si>
  <si>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</si>
  <si>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</si>
  <si>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</si>
  <si>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</si>
  <si>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</si>
  <si>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</si>
  <si>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</si>
  <si>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</si>
  <si>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</si>
  <si>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</si>
  <si>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</si>
  <si>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</si>
  <si>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</si>
  <si>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</si>
  <si>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</si>
  <si>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</si>
  <si>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</si>
  <si>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</si>
  <si>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</si>
  <si>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</si>
  <si>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</si>
  <si>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</si>
  <si>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</si>
  <si>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</si>
  <si>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</si>
  <si>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</si>
  <si>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</si>
  <si>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</si>
  <si>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</si>
  <si>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</si>
  <si>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</si>
  <si>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</si>
  <si>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</si>
  <si>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</si>
  <si>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</si>
  <si>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</si>
  <si>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</si>
  <si>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</si>
  <si>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</si>
  <si>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</si>
  <si>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</si>
  <si>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</si>
  <si>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</si>
  <si>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</si>
  <si>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</si>
  <si>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</si>
  <si>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</si>
  <si>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</si>
  <si>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</si>
  <si>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</si>
  <si>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</si>
  <si>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</si>
  <si>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</si>
  <si>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</si>
  <si>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</si>
  <si>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</si>
  <si>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</si>
  <si>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</si>
  <si>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</si>
  <si>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</si>
  <si>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</si>
  <si>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</si>
  <si>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</si>
  <si>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</si>
  <si>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</si>
  <si>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</si>
  <si>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</si>
  <si>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</si>
  <si>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</si>
  <si>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</si>
  <si>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</si>
  <si>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</si>
  <si>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</si>
  <si>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</si>
  <si>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</si>
  <si>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</si>
  <si>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</si>
  <si>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</si>
  <si>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</si>
  <si>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</si>
  <si>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</si>
  <si>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</si>
  <si>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</si>
  <si>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</si>
  <si>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</si>
  <si>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</si>
  <si>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</si>
  <si>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</si>
  <si>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</si>
  <si>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</si>
  <si>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</si>
  <si>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</si>
  <si>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</si>
  <si>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</si>
  <si>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</si>
  <si>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</si>
  <si>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</si>
  <si>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</si>
  <si>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</si>
  <si>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</si>
  <si>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</si>
  <si>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</si>
  <si>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</si>
  <si>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</si>
  <si>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</si>
  <si>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</si>
  <si>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</si>
  <si>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</si>
  <si>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</si>
  <si>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</si>
  <si>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</si>
  <si>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</si>
  <si>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</si>
  <si>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</si>
  <si>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</si>
  <si>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</si>
  <si>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</si>
  <si>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</si>
  <si>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</si>
  <si>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</si>
  <si>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</si>
  <si>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</si>
  <si>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</si>
  <si>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</si>
  <si>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</si>
  <si>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</si>
  <si>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</si>
  <si>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</si>
  <si>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</si>
  <si>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</si>
  <si>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</si>
  <si>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</si>
  <si>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</si>
  <si>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</si>
  <si>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</si>
  <si>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</si>
  <si>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</si>
  <si>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</si>
  <si>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</si>
  <si>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</si>
  <si>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</si>
  <si>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</si>
  <si>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</si>
  <si>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</si>
  <si>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</si>
  <si>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</si>
  <si>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</si>
  <si>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</si>
  <si>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</si>
  <si>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</si>
  <si>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</si>
  <si>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</si>
  <si>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</si>
  <si>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</si>
  <si>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</si>
  <si>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</si>
  <si>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</si>
  <si>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</si>
  <si>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</si>
  <si>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</si>
  <si>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</si>
  <si>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</si>
  <si>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</si>
  <si>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</si>
  <si>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</si>
  <si>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</si>
  <si>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</si>
  <si>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</si>
  <si>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</si>
  <si>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</si>
  <si>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</si>
  <si>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</si>
  <si>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</si>
  <si>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</si>
  <si>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</si>
  <si>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</si>
  <si>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</si>
  <si>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</si>
  <si>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</si>
  <si>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</si>
  <si>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</si>
  <si>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</si>
  <si>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</si>
  <si>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</si>
  <si>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</si>
  <si>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</si>
  <si>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</si>
  <si>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</si>
  <si>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</si>
  <si>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</si>
  <si>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</si>
  <si>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</si>
  <si>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</si>
  <si>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</si>
  <si>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</si>
  <si>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</si>
  <si>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</si>
  <si>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</si>
  <si>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</si>
  <si>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</si>
  <si>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</si>
  <si>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</si>
  <si>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</si>
  <si>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</si>
  <si>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</si>
  <si>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</si>
  <si>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</si>
  <si>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</si>
  <si>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</si>
  <si>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</si>
  <si>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</si>
  <si>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</si>
  <si>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</si>
  <si>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</si>
  <si>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</si>
  <si>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</si>
  <si>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</si>
  <si>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</si>
  <si>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</si>
  <si>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</si>
  <si>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</si>
  <si>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</si>
  <si>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</si>
  <si>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</si>
  <si>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</si>
  <si>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</si>
  <si>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</si>
  <si>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</si>
  <si>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</si>
  <si>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</si>
  <si>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</si>
  <si>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</si>
  <si>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</si>
  <si>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</si>
  <si>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</si>
  <si>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</si>
  <si>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</si>
  <si>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</si>
  <si>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</si>
  <si>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</si>
  <si>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</si>
  <si>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</si>
  <si>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</si>
  <si>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</si>
  <si>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</si>
  <si>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</si>
  <si>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</si>
  <si>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</si>
  <si>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</si>
  <si>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</si>
  <si>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</si>
  <si>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</si>
  <si>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</si>
  <si>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</si>
  <si>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</si>
  <si>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</si>
  <si>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</si>
  <si>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</si>
  <si>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</si>
  <si>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</si>
  <si>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</si>
  <si>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</si>
  <si>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</si>
  <si>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</si>
  <si>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</si>
  <si>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</si>
  <si>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</si>
  <si>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</si>
  <si>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</si>
  <si>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</si>
  <si>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</si>
  <si>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</si>
  <si>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</si>
  <si>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</si>
  <si>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</si>
  <si>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</si>
  <si>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</si>
  <si>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</si>
  <si>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</si>
  <si>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</si>
  <si>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</si>
  <si>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</si>
  <si>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</si>
  <si>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</si>
  <si>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</si>
  <si>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</si>
  <si>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</si>
  <si>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</si>
  <si>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</si>
  <si>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</si>
  <si>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</si>
  <si>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</si>
  <si>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</si>
  <si>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</si>
  <si>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</si>
  <si>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</si>
  <si>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</si>
  <si>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</si>
  <si>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</si>
  <si>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</si>
  <si>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</si>
  <si>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</si>
  <si>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</si>
  <si>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</si>
  <si>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</si>
  <si>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</si>
  <si>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</si>
  <si>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</si>
  <si>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</si>
  <si>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</si>
  <si>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</si>
  <si>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</si>
  <si>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</si>
  <si>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</si>
  <si>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</si>
  <si>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</si>
  <si>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</si>
  <si>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</si>
  <si>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</si>
  <si>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</si>
  <si>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</si>
  <si>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</si>
  <si>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</si>
  <si>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</si>
  <si>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</si>
  <si>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</si>
  <si>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</si>
  <si>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</si>
  <si>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</si>
  <si>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</si>
  <si>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</si>
  <si>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</si>
  <si>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</si>
  <si>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</si>
  <si>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</si>
  <si>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</si>
  <si>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</si>
  <si>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</si>
  <si>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</si>
  <si>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</si>
  <si>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</si>
  <si>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</si>
  <si>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</si>
  <si>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</si>
  <si>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</si>
  <si>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</si>
  <si>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</si>
  <si>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</si>
  <si>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</si>
  <si>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</si>
  <si>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</si>
  <si>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</si>
  <si>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</si>
  <si>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</si>
  <si>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</si>
  <si>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</si>
  <si>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</si>
  <si>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</si>
  <si>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</si>
  <si>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</si>
  <si>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</si>
  <si>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</si>
  <si>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</si>
  <si>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</si>
  <si>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</si>
  <si>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</si>
  <si>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</si>
  <si>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</si>
  <si>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</si>
  <si>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</si>
  <si>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</si>
  <si>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</si>
  <si>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</si>
  <si>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</si>
  <si>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</si>
  <si>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</si>
  <si>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</si>
  <si>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</si>
  <si>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</si>
  <si>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</si>
  <si>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</si>
  <si>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</si>
  <si>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</si>
  <si>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</si>
  <si>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</si>
  <si>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</si>
  <si>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</si>
  <si>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</si>
  <si>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</si>
  <si>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</si>
  <si>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</si>
  <si>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</si>
  <si>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</si>
  <si>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</si>
  <si>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</si>
  <si>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</si>
  <si>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</si>
  <si>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</si>
  <si>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</si>
  <si>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</si>
  <si>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</si>
  <si>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</si>
  <si>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</si>
  <si>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</si>
  <si>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</si>
  <si>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</si>
  <si>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</si>
  <si>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</si>
  <si>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</si>
  <si>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</si>
  <si>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</si>
  <si>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</si>
  <si>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</si>
  <si>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</si>
  <si>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</si>
  <si>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</si>
  <si>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</si>
  <si>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</si>
  <si>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</si>
  <si>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</si>
  <si>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</si>
  <si>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</si>
  <si>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</si>
  <si>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</si>
  <si>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</si>
  <si>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</si>
  <si>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</si>
  <si>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</si>
  <si>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</si>
  <si>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</si>
  <si>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</si>
  <si>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</si>
  <si>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</si>
  <si>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</si>
  <si>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</si>
  <si>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</si>
  <si>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</si>
  <si>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</si>
  <si>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</si>
  <si>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</si>
  <si>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</si>
  <si>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</si>
  <si>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</si>
  <si>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</si>
  <si>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</si>
  <si>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</si>
  <si>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</si>
  <si>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</si>
  <si>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</si>
  <si>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</si>
  <si>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</si>
  <si>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</si>
  <si>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</si>
  <si>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</si>
  <si>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</si>
  <si>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</si>
  <si>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</si>
  <si>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</si>
  <si>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</si>
  <si>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</si>
  <si>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</si>
  <si>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</si>
  <si>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</si>
  <si>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</si>
  <si>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</si>
  <si>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</si>
  <si>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</si>
  <si>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</si>
  <si>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</si>
  <si>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</si>
  <si>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</si>
  <si>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</si>
  <si>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</si>
  <si>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</si>
  <si>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</si>
  <si>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</si>
  <si>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</si>
  <si>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</si>
  <si>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</si>
  <si>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</si>
  <si>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</si>
  <si>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</si>
  <si>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</si>
  <si>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</si>
  <si>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</si>
  <si>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</si>
  <si>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</si>
  <si>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</si>
  <si>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</si>
  <si>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</si>
  <si>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</si>
  <si>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</si>
  <si>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</si>
  <si>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</si>
  <si>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</si>
  <si>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</si>
  <si>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</si>
  <si>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</si>
  <si>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</si>
  <si>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</si>
  <si>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</si>
  <si>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</si>
  <si>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</si>
  <si>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</si>
  <si>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</si>
  <si>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</si>
  <si>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</si>
  <si>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</si>
  <si>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</si>
  <si>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</si>
  <si>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</si>
  <si>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</si>
  <si>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</si>
  <si>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</si>
  <si>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</si>
  <si>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</si>
  <si>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</si>
  <si>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</si>
  <si>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</si>
  <si>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</si>
  <si>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</si>
  <si>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</si>
  <si>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</si>
  <si>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</si>
  <si>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</si>
  <si>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</si>
  <si>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</si>
  <si>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</si>
  <si>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</si>
  <si>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</si>
  <si>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</si>
  <si>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</si>
  <si>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</si>
  <si>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</si>
  <si>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</si>
  <si>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</si>
  <si>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</si>
  <si>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</si>
  <si>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</si>
  <si>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</si>
  <si>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</si>
  <si>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</si>
  <si>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</si>
  <si>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</si>
  <si>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</si>
  <si>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</si>
  <si>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</si>
  <si>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</si>
  <si>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</si>
  <si>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</si>
  <si>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</si>
  <si>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</si>
  <si>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</si>
  <si>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</si>
  <si>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</si>
  <si>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</si>
  <si>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</si>
  <si>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</si>
  <si>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</si>
  <si>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</si>
  <si>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</si>
  <si>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</si>
  <si>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</si>
  <si>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</si>
  <si>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</si>
  <si>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</si>
  <si>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</si>
  <si>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</si>
  <si>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</si>
  <si>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</si>
  <si>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</si>
  <si>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</si>
  <si>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</si>
  <si>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</si>
  <si>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</si>
  <si>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</si>
  <si>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</si>
  <si>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</si>
  <si>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</si>
  <si>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</si>
  <si>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</si>
  <si>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</si>
  <si>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</si>
  <si>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</si>
  <si>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</si>
  <si>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</si>
  <si>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</si>
  <si>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</si>
  <si>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</si>
  <si>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</si>
  <si>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</si>
  <si>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</si>
  <si>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</si>
  <si>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</si>
  <si>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</si>
  <si>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</si>
  <si>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</si>
  <si>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</si>
  <si>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</si>
  <si>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</si>
  <si>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</si>
  <si>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</si>
  <si>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</si>
  <si>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</si>
  <si>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</si>
  <si>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</si>
  <si>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</si>
  <si>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</si>
  <si>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</si>
  <si>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</si>
  <si>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</si>
  <si>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</si>
  <si>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</si>
  <si>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</si>
  <si>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</si>
  <si>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</si>
  <si>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</si>
  <si>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</si>
  <si>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</si>
  <si>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</si>
  <si>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</si>
  <si>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</si>
  <si>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</si>
  <si>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</si>
  <si>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</si>
  <si>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</si>
  <si>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</si>
  <si>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</si>
  <si>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</si>
  <si>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</si>
  <si>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</si>
  <si>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</si>
  <si>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</si>
  <si>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</si>
  <si>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</si>
  <si>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</si>
  <si>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</si>
  <si>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</si>
  <si>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</si>
  <si>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</si>
  <si>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</si>
  <si>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</si>
  <si>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</si>
  <si>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</si>
  <si>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</si>
  <si>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</si>
  <si>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</si>
  <si>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</si>
  <si>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</si>
  <si>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</si>
  <si>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</si>
  <si>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</si>
  <si>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</si>
  <si>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</si>
  <si>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</si>
  <si>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</si>
  <si>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</si>
  <si>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</si>
  <si>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</si>
  <si>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</si>
  <si>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</si>
  <si>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</si>
  <si>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</si>
  <si>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</si>
  <si>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</si>
  <si>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</si>
  <si>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</si>
  <si>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</si>
  <si>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</si>
  <si>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</si>
  <si>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</si>
  <si>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</si>
  <si>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</si>
  <si>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</si>
  <si>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</si>
  <si>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</si>
  <si>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</si>
  <si>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</si>
  <si>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</si>
  <si>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</si>
  <si>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</si>
  <si>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</si>
  <si>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</si>
  <si>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</si>
  <si>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</si>
  <si>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</si>
  <si>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</si>
  <si>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</si>
  <si>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</si>
  <si>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</si>
  <si>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</si>
  <si>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</si>
  <si>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</si>
  <si>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</si>
  <si>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</si>
  <si>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</si>
  <si>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</si>
  <si>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</si>
  <si>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</si>
  <si>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</si>
  <si>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</si>
  <si>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</si>
  <si>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</si>
  <si>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</si>
  <si>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</si>
  <si>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</si>
  <si>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</si>
  <si>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</si>
  <si>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</si>
  <si>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</si>
  <si>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</si>
  <si>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</si>
  <si>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</si>
  <si>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</si>
  <si>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</si>
  <si>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</si>
  <si>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</si>
  <si>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</si>
  <si>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</si>
  <si>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</si>
  <si>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</si>
  <si>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</si>
  <si>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</si>
  <si>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</si>
  <si>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</si>
  <si>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</si>
  <si>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</si>
  <si>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</si>
  <si>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</si>
  <si>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</si>
  <si>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</si>
  <si>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</si>
  <si>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</si>
  <si>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</si>
  <si>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</si>
  <si>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</si>
  <si>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</si>
  <si>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</si>
  <si>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</si>
  <si>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</si>
  <si>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</si>
  <si>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</si>
  <si>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</si>
  <si>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</si>
  <si>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</si>
  <si>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</si>
  <si>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</si>
  <si>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</si>
  <si>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</si>
  <si>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</si>
  <si>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</si>
  <si>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</si>
  <si>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</si>
  <si>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</si>
  <si>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</si>
  <si>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</si>
  <si>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</si>
  <si>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</si>
  <si>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</si>
  <si>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</si>
  <si>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</si>
  <si>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</si>
  <si>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</si>
  <si>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</si>
  <si>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</si>
  <si>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</si>
  <si>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</si>
  <si>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</si>
  <si>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</si>
  <si>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</si>
  <si>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</si>
  <si>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</si>
  <si>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</si>
  <si>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</si>
  <si>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</si>
  <si>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</si>
  <si>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</si>
  <si>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</si>
  <si>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</si>
  <si>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</si>
  <si>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</si>
  <si>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</si>
  <si>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</si>
  <si>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</si>
  <si>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</si>
  <si>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</si>
  <si>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</si>
  <si>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</si>
  <si>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</si>
  <si>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</si>
  <si>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</si>
  <si>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</si>
  <si>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</si>
  <si>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</si>
  <si>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</si>
  <si>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</si>
  <si>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</si>
  <si>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</si>
  <si>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</si>
  <si>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</si>
  <si>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</si>
  <si>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</si>
  <si>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</si>
  <si>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</si>
  <si>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</si>
  <si>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</si>
  <si>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</si>
  <si>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</si>
  <si>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</si>
  <si>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</si>
  <si>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</si>
  <si>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</si>
  <si>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</si>
  <si>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</si>
  <si>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</si>
  <si>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</si>
  <si>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</si>
  <si>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</si>
  <si>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</si>
  <si>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</si>
  <si>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</si>
  <si>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</si>
  <si>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</si>
  <si>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</si>
  <si>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</si>
  <si>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</si>
  <si>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</si>
  <si>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</si>
  <si>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</si>
  <si>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</si>
  <si>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</si>
  <si>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</si>
  <si>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</si>
  <si>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</si>
  <si>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</si>
  <si>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</si>
  <si>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</si>
  <si>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</si>
  <si>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</si>
  <si>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</si>
  <si>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</si>
  <si>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</si>
  <si>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</si>
  <si>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</si>
  <si>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</si>
  <si>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</si>
  <si>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</si>
  <si>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</si>
  <si>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</si>
  <si>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</si>
  <si>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</si>
  <si>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</si>
  <si>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</si>
  <si>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</si>
  <si>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</si>
  <si>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</si>
  <si>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</si>
  <si>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</si>
  <si>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</si>
  <si>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</si>
  <si>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</si>
  <si>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</si>
  <si>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</si>
  <si>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</si>
  <si>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</si>
  <si>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</si>
  <si>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</si>
  <si>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</si>
  <si>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</si>
  <si>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</si>
  <si>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</si>
  <si>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</si>
  <si>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</si>
  <si>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</si>
  <si>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</si>
  <si>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</si>
  <si>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</si>
  <si>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</si>
  <si>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</si>
  <si>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</si>
  <si>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</si>
  <si>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</si>
  <si>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</si>
  <si>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</si>
  <si>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</si>
  <si>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</si>
  <si>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</si>
  <si>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</si>
  <si>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</si>
  <si>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</si>
  <si>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</si>
  <si>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</si>
  <si>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</si>
  <si>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</si>
  <si>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</si>
  <si>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</si>
  <si>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</si>
  <si>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</si>
  <si>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</si>
  <si>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</si>
  <si>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</si>
  <si>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</si>
  <si>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</si>
  <si>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</si>
  <si>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</si>
  <si>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</si>
  <si>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</si>
  <si>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</si>
  <si>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</si>
  <si>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</si>
  <si>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</si>
  <si>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</si>
  <si>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</si>
  <si>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</si>
  <si>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</si>
  <si>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</si>
  <si>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</si>
  <si>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</si>
  <si>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</si>
  <si>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</si>
  <si>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</si>
  <si>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</si>
  <si>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</si>
  <si>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</si>
  <si>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</si>
  <si>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</si>
  <si>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</si>
  <si>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</si>
  <si>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</si>
  <si>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</si>
  <si>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</si>
  <si>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</si>
  <si>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</si>
  <si>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</si>
  <si>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</si>
  <si>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</si>
  <si>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</si>
  <si>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</si>
  <si>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</si>
  <si>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</si>
  <si>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</si>
  <si>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</si>
  <si>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</si>
  <si>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</si>
  <si>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</si>
  <si>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</si>
  <si>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</si>
  <si>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</si>
  <si>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</si>
  <si>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</si>
  <si>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</si>
  <si>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</si>
  <si>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</si>
  <si>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</si>
  <si>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</si>
  <si>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</si>
  <si>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</si>
  <si>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</si>
  <si>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</si>
  <si>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</si>
  <si>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</si>
  <si>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</si>
  <si>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</si>
  <si>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</si>
  <si>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</si>
  <si>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</si>
  <si>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</si>
  <si>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</si>
  <si>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</si>
  <si>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</si>
  <si>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</si>
  <si>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</si>
  <si>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</si>
  <si>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</si>
  <si>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</si>
  <si>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</si>
  <si>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</si>
  <si>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</si>
  <si>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</si>
  <si>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</si>
  <si>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</si>
  <si>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</si>
  <si>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</si>
  <si>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</si>
  <si>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</si>
  <si>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</si>
  <si>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</si>
  <si>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</si>
  <si>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</si>
  <si>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</si>
  <si>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</si>
  <si>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</si>
  <si>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</si>
  <si>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</si>
  <si>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</si>
  <si>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</si>
  <si>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</si>
  <si>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</si>
  <si>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</si>
  <si>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</si>
  <si>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</si>
  <si>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</si>
  <si>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</si>
  <si>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</si>
  <si>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</si>
  <si>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</si>
  <si>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</si>
  <si>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</si>
  <si>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</si>
  <si>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</si>
  <si>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</si>
  <si>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</si>
  <si>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</si>
  <si>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</si>
  <si>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</si>
  <si>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</si>
  <si>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</si>
  <si>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</si>
  <si>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</si>
  <si>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</si>
  <si>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</si>
  <si>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</si>
  <si>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</si>
  <si>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</si>
  <si>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</si>
  <si>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</si>
  <si>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</si>
  <si>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</si>
  <si>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</si>
  <si>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</si>
  <si>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</si>
  <si>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</si>
  <si>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</si>
  <si>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</si>
  <si>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</si>
  <si>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</si>
  <si>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</si>
  <si>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</si>
  <si>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</si>
  <si>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</si>
  <si>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</si>
  <si>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</si>
  <si>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</si>
  <si>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</si>
  <si>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</si>
  <si>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</si>
  <si>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</si>
  <si>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</si>
  <si>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</si>
  <si>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</si>
  <si>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</si>
  <si>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</si>
  <si>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</si>
  <si>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</si>
  <si>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</si>
  <si>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</si>
  <si>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</si>
  <si>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</si>
  <si>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</si>
  <si>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</si>
  <si>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</si>
  <si>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</si>
  <si>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</si>
  <si>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</si>
  <si>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</si>
  <si>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</si>
  <si>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</si>
  <si>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</si>
  <si>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</si>
  <si>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</si>
  <si>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</si>
  <si>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</si>
  <si>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</si>
  <si>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</si>
  <si>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</si>
  <si>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</si>
  <si>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</si>
  <si>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</si>
  <si>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</si>
  <si>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</si>
  <si>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</si>
  <si>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</si>
  <si>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</si>
  <si>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</si>
  <si>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</si>
  <si>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</si>
  <si>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</si>
  <si>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</si>
  <si>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</si>
  <si>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</si>
  <si>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</si>
  <si>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</si>
  <si>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</si>
  <si>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</si>
  <si>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</si>
  <si>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</si>
  <si>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</si>
  <si>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</si>
  <si>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</si>
  <si>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</si>
  <si>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</si>
  <si>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</si>
  <si>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</si>
  <si>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</si>
  <si>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</si>
  <si>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</si>
  <si>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</si>
  <si>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</si>
  <si>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</si>
  <si>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</si>
  <si>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</si>
  <si>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</si>
  <si>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</si>
  <si>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</si>
  <si>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</si>
  <si>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</si>
  <si>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</si>
  <si>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</si>
  <si>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</si>
  <si>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</si>
  <si>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</si>
  <si>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</si>
  <si>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</si>
  <si>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</si>
  <si>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</si>
  <si>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</si>
  <si>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</si>
  <si>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</si>
  <si>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</si>
  <si>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</si>
  <si>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</si>
  <si>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</si>
  <si>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</si>
  <si>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</si>
  <si>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</si>
  <si>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</si>
  <si>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</si>
  <si>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</si>
  <si>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</si>
  <si>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</si>
  <si>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</si>
  <si>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</si>
  <si>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</si>
  <si>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</si>
  <si>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</si>
  <si>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</si>
  <si>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</si>
  <si>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</si>
  <si>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</si>
  <si>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</si>
  <si>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</si>
  <si>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</si>
  <si>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</si>
  <si>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</si>
  <si>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</si>
  <si>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</si>
  <si>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</si>
  <si>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</si>
  <si>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</si>
  <si>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</si>
  <si>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</si>
  <si>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</si>
  <si>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</si>
  <si>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</si>
  <si>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</si>
  <si>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</si>
  <si>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</si>
  <si>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</si>
  <si>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</si>
  <si>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</si>
  <si>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</si>
  <si>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</si>
  <si>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</si>
  <si>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</si>
  <si>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</si>
  <si>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</si>
  <si>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</si>
  <si>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</si>
  <si>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</si>
  <si>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</si>
  <si>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</si>
  <si>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</si>
  <si>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</si>
  <si>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</si>
  <si>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</si>
  <si>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</si>
  <si>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</si>
  <si>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</si>
  <si>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</si>
  <si>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</si>
  <si>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</si>
  <si>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</si>
  <si>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</si>
  <si>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</si>
  <si>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</si>
  <si>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</si>
  <si>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</si>
  <si>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</si>
  <si>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</si>
  <si>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</si>
  <si>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</si>
  <si>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</si>
  <si>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</si>
  <si>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</si>
  <si>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</si>
  <si>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</si>
  <si>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</si>
  <si>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</si>
  <si>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</si>
  <si>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</si>
  <si>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</si>
  <si>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</si>
  <si>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</si>
  <si>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</si>
  <si>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</si>
  <si>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</si>
  <si>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</si>
  <si>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</si>
  <si>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</si>
  <si>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</si>
  <si>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</si>
  <si>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</si>
  <si>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</si>
  <si>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</si>
  <si>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</si>
  <si>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</si>
  <si>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</si>
  <si>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</si>
  <si>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</si>
  <si>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</si>
  <si>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</si>
  <si>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</si>
  <si>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</si>
  <si>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</si>
  <si>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</si>
  <si>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</si>
  <si>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</si>
  <si>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</si>
  <si>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</si>
  <si>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</si>
  <si>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</si>
  <si>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</si>
  <si>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</si>
  <si>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</si>
  <si>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</si>
  <si>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</si>
  <si>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</si>
  <si>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</si>
  <si>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</si>
  <si>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</si>
  <si>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</si>
  <si>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</si>
  <si>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</si>
  <si>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</si>
  <si>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</si>
  <si>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</si>
  <si>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</si>
  <si>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</si>
  <si>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</si>
  <si>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</si>
  <si>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</si>
  <si>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</si>
  <si>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</si>
  <si>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</si>
  <si>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</si>
  <si>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</si>
  <si>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</si>
  <si>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</si>
  <si>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</si>
  <si>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</si>
  <si>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</si>
  <si>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</si>
  <si>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</si>
  <si>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</si>
  <si>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</si>
  <si>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</si>
  <si>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</si>
  <si>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</si>
  <si>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</si>
  <si>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</si>
  <si>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</si>
  <si>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</si>
  <si>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</si>
  <si>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</si>
  <si>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</si>
  <si>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</si>
  <si>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</si>
  <si>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</si>
  <si>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</si>
  <si>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</si>
  <si>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</si>
  <si>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</si>
  <si>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</si>
  <si>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</si>
  <si>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</si>
  <si>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</si>
  <si>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</si>
  <si>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</si>
  <si>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</si>
  <si>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</si>
  <si>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</si>
  <si>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</si>
  <si>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</si>
  <si>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</si>
  <si>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</si>
  <si>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</si>
  <si>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</si>
  <si>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</si>
  <si>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</si>
  <si>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</si>
  <si>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</si>
  <si>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</si>
  <si>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</si>
  <si>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</si>
  <si>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</si>
  <si>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</si>
  <si>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</si>
  <si>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</si>
  <si>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</si>
  <si>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</si>
  <si>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</si>
  <si>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</si>
  <si>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</si>
  <si>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</si>
  <si>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</si>
  <si>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</si>
  <si>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</si>
  <si>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</si>
  <si>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</si>
  <si>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</si>
  <si>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</si>
  <si>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</si>
  <si>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</si>
  <si>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</si>
  <si>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</si>
  <si>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</si>
  <si>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</si>
  <si>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</si>
  <si>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</si>
  <si>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</si>
  <si>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</si>
  <si>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</si>
  <si>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</si>
  <si>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</si>
  <si>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</si>
  <si>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</si>
  <si>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</si>
  <si>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</si>
  <si>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</si>
  <si>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</si>
  <si>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</si>
  <si>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</si>
  <si>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</si>
  <si>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</si>
  <si>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</si>
  <si>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</si>
  <si>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</si>
  <si>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</si>
  <si>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</si>
  <si>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</si>
  <si>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</si>
  <si>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</si>
  <si>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</si>
  <si>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</si>
  <si>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</si>
  <si>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</si>
  <si>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</si>
  <si>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</si>
  <si>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</si>
  <si>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</si>
  <si>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</si>
  <si>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</si>
  <si>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</si>
  <si>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</si>
  <si>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</si>
  <si>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</si>
  <si>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</si>
  <si>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</si>
  <si>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</si>
  <si>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</si>
  <si>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</si>
  <si>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</si>
  <si>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</si>
  <si>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</si>
  <si>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</si>
  <si>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</si>
  <si>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</si>
  <si>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</si>
  <si>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</si>
  <si>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</si>
  <si>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</si>
  <si>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</si>
  <si>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</si>
  <si>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</si>
  <si>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</si>
  <si>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</si>
  <si>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</si>
  <si>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</si>
  <si>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</si>
  <si>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</si>
  <si>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</si>
  <si>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</si>
  <si>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</si>
  <si>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</si>
  <si>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</si>
  <si>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</si>
  <si>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</si>
  <si>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</si>
  <si>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</si>
  <si>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</si>
  <si>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</si>
  <si>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</si>
  <si>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</si>
  <si>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</si>
  <si>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</si>
  <si>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</si>
  <si>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</si>
  <si>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</si>
  <si>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</si>
  <si>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</si>
  <si>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</si>
  <si>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</si>
  <si>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</si>
  <si>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</si>
  <si>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</si>
  <si>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</si>
  <si>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</si>
  <si>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</si>
  <si>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</si>
  <si>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</si>
  <si>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</si>
  <si>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</si>
  <si>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</si>
  <si>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</si>
  <si>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</si>
  <si>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</si>
  <si>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</si>
  <si>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</si>
  <si>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</si>
  <si>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</si>
  <si>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</si>
  <si>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</si>
  <si>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</si>
  <si>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</si>
  <si>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</si>
  <si>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</si>
  <si>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</si>
  <si>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</si>
  <si>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</si>
  <si>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</si>
  <si>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</si>
  <si>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</si>
  <si>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</si>
  <si>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</si>
  <si>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</si>
  <si>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</si>
  <si>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</si>
  <si>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</si>
  <si>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</si>
  <si>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</si>
  <si>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</si>
  <si>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</si>
  <si>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</si>
  <si>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</si>
  <si>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</si>
  <si>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</si>
  <si>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</si>
  <si>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</si>
  <si>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</si>
  <si>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</si>
  <si>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</si>
  <si>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</si>
  <si>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</si>
  <si>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</si>
  <si>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</si>
  <si>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</si>
  <si>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</si>
  <si>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</si>
  <si>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</si>
  <si>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</si>
  <si>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</si>
  <si>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</si>
  <si>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</si>
  <si>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</si>
  <si>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</si>
  <si>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</si>
  <si>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</si>
  <si>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</si>
  <si>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</si>
  <si>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</si>
  <si>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</si>
  <si>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</si>
  <si>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</si>
  <si>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</si>
  <si>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</si>
  <si>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</si>
  <si>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54-002-7400-45</t>
  </si>
  <si>
    <t>Vermilion</t>
  </si>
  <si>
    <t>Vermilion Vocational Educational Delivery System</t>
  </si>
  <si>
    <t>2000 East Main St. Lincoln Hall Room 110</t>
  </si>
  <si>
    <t>Danville</t>
  </si>
  <si>
    <t>nchatterton@votec.k12.il.us</t>
  </si>
  <si>
    <t>Nick Chatterton</t>
  </si>
  <si>
    <t>217-443-8742</t>
  </si>
  <si>
    <t>Daughhetee and Parks Management Consulting PC</t>
  </si>
  <si>
    <t>Phyllis Parks</t>
  </si>
  <si>
    <t>2200 Kickapoo Drive STE A</t>
  </si>
  <si>
    <t>IL</t>
  </si>
  <si>
    <t>217-431-2727</t>
  </si>
  <si>
    <t>217-431-3273</t>
  </si>
  <si>
    <t>065-019320</t>
  </si>
  <si>
    <t>Daughhetee &amp; Parks Management Consulting,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</si>
</sst>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3028950</xdr:colOff>
          <xdr:row>14</xdr:row>
          <xdr:rowOff>104775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F7" sqref="F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c r="C5" s="26" t="s">
        <v>966</v>
      </c>
      <c r="D5" s="84"/>
      <c r="E5" s="84"/>
      <c r="H5" s="38"/>
      <c r="I5" s="2008" t="s">
        <v>701</v>
      </c>
      <c r="J5" s="2007"/>
      <c r="K5" s="2007"/>
      <c r="L5" s="2007"/>
      <c r="M5" s="2007"/>
      <c r="N5" s="2007"/>
      <c r="O5" s="2007"/>
      <c r="P5" s="2007"/>
      <c r="Q5" s="2007"/>
      <c r="R5" s="2007"/>
      <c r="S5" s="2007"/>
    </row>
    <row r="6" spans="1:28" ht="14.1" customHeight="1" x14ac:dyDescent="0.2">
      <c r="B6" s="104" t="s">
        <v>2077</v>
      </c>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3" t="s">
        <v>2078</v>
      </c>
      <c r="B13" s="2034"/>
      <c r="C13" s="2034"/>
      <c r="D13" s="2034"/>
      <c r="E13" s="2034"/>
      <c r="F13" s="2034"/>
      <c r="G13" s="2034"/>
      <c r="H13" s="2035"/>
      <c r="I13" s="31"/>
      <c r="J13" s="30"/>
      <c r="K13" s="28"/>
      <c r="L13" s="30"/>
      <c r="M13" s="30"/>
      <c r="N13" s="30"/>
      <c r="O13" s="30"/>
      <c r="P13" s="30"/>
      <c r="Q13" s="30"/>
      <c r="R13" s="30"/>
      <c r="S13" s="30"/>
      <c r="T13" s="2038" t="s">
        <v>2086</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2079</v>
      </c>
      <c r="B15" s="2036"/>
      <c r="C15" s="2036"/>
      <c r="D15" s="2036"/>
      <c r="E15" s="2036"/>
      <c r="F15" s="2036"/>
      <c r="G15" s="2036"/>
      <c r="H15" s="2037"/>
      <c r="T15" s="2042" t="s">
        <v>2087</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2080</v>
      </c>
      <c r="B17" s="1993"/>
      <c r="C17" s="1993"/>
      <c r="D17" s="1993"/>
      <c r="E17" s="1993"/>
      <c r="F17" s="1993"/>
      <c r="G17" s="1993"/>
      <c r="H17" s="2018"/>
      <c r="T17" s="2049" t="s">
        <v>2088</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2081</v>
      </c>
      <c r="B19" s="1978"/>
      <c r="C19" s="1978"/>
      <c r="D19" s="1978"/>
      <c r="E19" s="1978"/>
      <c r="F19" s="1978"/>
      <c r="G19" s="1978"/>
      <c r="H19" s="1958"/>
      <c r="I19" s="30"/>
      <c r="J19" s="99"/>
      <c r="K19" s="40"/>
      <c r="L19" s="38"/>
      <c r="M19" s="112" t="s">
        <v>333</v>
      </c>
      <c r="P19" s="27"/>
      <c r="Q19" s="27"/>
      <c r="R19" s="27"/>
      <c r="S19" s="31"/>
      <c r="T19" s="2032" t="s">
        <v>2082</v>
      </c>
      <c r="U19" s="1957"/>
      <c r="V19" s="1957"/>
      <c r="W19" s="1958"/>
      <c r="X19" s="2047" t="s">
        <v>2089</v>
      </c>
      <c r="Y19" s="2048"/>
      <c r="Z19" s="2045">
        <v>61832</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2082</v>
      </c>
      <c r="B21" s="1957"/>
      <c r="C21" s="1957"/>
      <c r="D21" s="1957"/>
      <c r="E21" s="1957"/>
      <c r="F21" s="1957"/>
      <c r="G21" s="1957"/>
      <c r="H21" s="1958"/>
      <c r="I21" s="2012" t="s">
        <v>699</v>
      </c>
      <c r="J21" s="2007"/>
      <c r="K21" s="2007"/>
      <c r="L21" s="2007"/>
      <c r="M21" s="2007"/>
      <c r="N21" s="2007"/>
      <c r="O21" s="2007"/>
      <c r="P21" s="2007"/>
      <c r="Q21" s="2007"/>
      <c r="R21" s="2007"/>
      <c r="S21" s="2013"/>
      <c r="T21" s="2056" t="s">
        <v>2090</v>
      </c>
      <c r="U21" s="2057"/>
      <c r="V21" s="2057"/>
      <c r="W21" s="2057"/>
      <c r="X21" s="2062" t="s">
        <v>2091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2083</v>
      </c>
      <c r="B23" s="2010"/>
      <c r="C23" s="2010"/>
      <c r="D23" s="2010"/>
      <c r="E23" s="2010"/>
      <c r="F23" s="2010"/>
      <c r="G23" s="2010"/>
      <c r="H23" s="2011"/>
      <c r="T23" s="1992" t="s">
        <v>2092</v>
      </c>
      <c r="U23" s="2055"/>
      <c r="V23" s="2055"/>
      <c r="W23" s="2055"/>
      <c r="X23" s="2059">
        <v>43373</v>
      </c>
      <c r="Y23" s="2060"/>
      <c r="Z23" s="2060"/>
      <c r="AA23" s="2061"/>
    </row>
    <row r="24" spans="1:27" ht="14.1" customHeight="1" x14ac:dyDescent="0.2">
      <c r="A24" s="88" t="s">
        <v>698</v>
      </c>
      <c r="B24" s="49"/>
      <c r="C24" s="49"/>
      <c r="D24" s="49"/>
      <c r="E24" s="49"/>
      <c r="F24" s="49"/>
      <c r="G24" s="49"/>
      <c r="H24" s="61"/>
      <c r="J24" s="1979" t="str">
        <f>IF(B5="x",IF(AUDITCHECK!D29="AFR form Incomplete.","",IF(AUDITCHECK!D29="Deficit reduction plan is required.","School District must complete a deficit reduction plan in the 2018-2019 Budget",)),"")</f>
        <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61862</v>
      </c>
      <c r="B25" s="1957"/>
      <c r="C25" s="1957"/>
      <c r="D25" s="1957"/>
      <c r="E25" s="1957"/>
      <c r="F25" s="1957"/>
      <c r="G25" s="1957"/>
      <c r="H25" s="1958"/>
      <c r="I25" s="113"/>
      <c r="J25" s="1981"/>
      <c r="K25" s="1981"/>
      <c r="L25" s="1981"/>
      <c r="M25" s="1981"/>
      <c r="N25" s="1981"/>
      <c r="O25" s="1981"/>
      <c r="P25" s="1981"/>
      <c r="Q25" s="1981"/>
      <c r="R25" s="1981"/>
      <c r="S25" s="1982"/>
      <c r="T25" s="2052"/>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2084</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tr">
        <f>A23</f>
        <v>nchatterton@votec.k12.il.us</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2085</v>
      </c>
      <c r="B42" s="1976"/>
      <c r="C42" s="1977"/>
      <c r="D42" s="1975"/>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198" t="s">
        <v>1905</v>
      </c>
      <c r="B2" s="1550" t="s">
        <v>2037</v>
      </c>
      <c r="C2" s="715" t="s">
        <v>1910</v>
      </c>
      <c r="D2" s="715" t="s">
        <v>1911</v>
      </c>
      <c r="E2" s="715" t="s">
        <v>1912</v>
      </c>
      <c r="F2" s="715" t="s">
        <v>1913</v>
      </c>
    </row>
    <row r="3" spans="1:6" ht="12" customHeight="1" x14ac:dyDescent="0.2">
      <c r="A3" s="2199"/>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0" t="s">
        <v>650</v>
      </c>
      <c r="B1" s="2218"/>
      <c r="C1" s="722"/>
    </row>
    <row r="2" spans="1:7" ht="33.75" x14ac:dyDescent="0.2">
      <c r="A2" s="2225" t="s">
        <v>1905</v>
      </c>
      <c r="B2" s="2226"/>
      <c r="C2" s="1909" t="s">
        <v>2038</v>
      </c>
      <c r="D2" s="724" t="s">
        <v>2045</v>
      </c>
      <c r="E2" s="724" t="s">
        <v>2046</v>
      </c>
      <c r="F2" s="1909" t="s">
        <v>2039</v>
      </c>
    </row>
    <row r="3" spans="1:7" ht="15.75" customHeight="1" x14ac:dyDescent="0.2">
      <c r="A3" s="2227" t="s">
        <v>1176</v>
      </c>
      <c r="B3" s="2228"/>
      <c r="C3" s="2221"/>
      <c r="D3" s="2222"/>
      <c r="E3" s="2222"/>
      <c r="F3" s="2223"/>
    </row>
    <row r="4" spans="1:7" ht="12.75" customHeight="1" thickBot="1" x14ac:dyDescent="0.25">
      <c r="A4" s="2215" t="s">
        <v>651</v>
      </c>
      <c r="B4" s="2216"/>
      <c r="C4" s="581"/>
      <c r="D4" s="581"/>
      <c r="E4" s="581"/>
      <c r="F4" s="1777">
        <f>SUM(C4+D4)-E4</f>
        <v>0</v>
      </c>
    </row>
    <row r="5" spans="1:7" ht="15.75" customHeight="1" thickTop="1" x14ac:dyDescent="0.2">
      <c r="A5" s="2219" t="s">
        <v>1172</v>
      </c>
      <c r="B5" s="2214"/>
      <c r="C5" s="2208"/>
      <c r="D5" s="2209"/>
      <c r="E5" s="2209"/>
      <c r="F5" s="221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1" t="s">
        <v>652</v>
      </c>
      <c r="B15" s="2212"/>
      <c r="C15" s="1777">
        <f>SUM(C6:C14)</f>
        <v>0</v>
      </c>
      <c r="D15" s="1777">
        <f>SUM(D6:D14)</f>
        <v>0</v>
      </c>
      <c r="E15" s="1777">
        <f>SUM(E6:E14)</f>
        <v>0</v>
      </c>
      <c r="F15" s="1777">
        <f>SUM(F6:F14)</f>
        <v>0</v>
      </c>
      <c r="G15" s="552"/>
    </row>
    <row r="16" spans="1:7" s="202" customFormat="1" ht="15.75" customHeight="1" thickTop="1" x14ac:dyDescent="0.2">
      <c r="A16" s="2224" t="s">
        <v>1173</v>
      </c>
      <c r="B16" s="2214"/>
      <c r="C16" s="2208"/>
      <c r="D16" s="2209"/>
      <c r="E16" s="2209"/>
      <c r="F16" s="2210"/>
    </row>
    <row r="17" spans="1:11" ht="12.75" customHeight="1" thickBot="1" x14ac:dyDescent="0.25">
      <c r="A17" s="2206" t="s">
        <v>66</v>
      </c>
      <c r="B17" s="2207"/>
      <c r="C17" s="727"/>
      <c r="D17" s="585"/>
      <c r="E17" s="727"/>
      <c r="F17" s="1777">
        <f>SUM(C17+D17)-E17</f>
        <v>0</v>
      </c>
    </row>
    <row r="18" spans="1:11" ht="12.75" customHeight="1" thickTop="1" thickBot="1" x14ac:dyDescent="0.25">
      <c r="A18" s="2206" t="s">
        <v>6</v>
      </c>
      <c r="B18" s="2207"/>
      <c r="C18" s="727"/>
      <c r="D18" s="585"/>
      <c r="E18" s="727"/>
      <c r="F18" s="1777">
        <f>SUM(C18+D18)-E18</f>
        <v>0</v>
      </c>
    </row>
    <row r="19" spans="1:11" ht="12.75" customHeight="1" thickTop="1" thickBot="1" x14ac:dyDescent="0.25">
      <c r="A19" s="2206" t="s">
        <v>406</v>
      </c>
      <c r="B19" s="2207"/>
      <c r="C19" s="727"/>
      <c r="D19" s="585"/>
      <c r="E19" s="727"/>
      <c r="F19" s="1777">
        <f>SUM(C19+D19)-E19</f>
        <v>0</v>
      </c>
    </row>
    <row r="20" spans="1:11" ht="12.75" customHeight="1" thickTop="1" thickBot="1" x14ac:dyDescent="0.25">
      <c r="A20" s="2206" t="s">
        <v>468</v>
      </c>
      <c r="B20" s="2207"/>
      <c r="C20" s="727"/>
      <c r="D20" s="585"/>
      <c r="E20" s="727"/>
      <c r="F20" s="1777">
        <f>SUM(C20+D20)-E20</f>
        <v>0</v>
      </c>
    </row>
    <row r="21" spans="1:11" ht="14.25" thickTop="1" thickBot="1" x14ac:dyDescent="0.25">
      <c r="A21" s="2211" t="s">
        <v>653</v>
      </c>
      <c r="B21" s="2212"/>
      <c r="C21" s="1777">
        <f>SUM(C17:C20)</f>
        <v>0</v>
      </c>
      <c r="D21" s="1777">
        <f>SUM(D17:D20)</f>
        <v>0</v>
      </c>
      <c r="E21" s="1777">
        <f>SUM(E17:E20)</f>
        <v>0</v>
      </c>
      <c r="F21" s="1777">
        <f>SUM(F17:F20)</f>
        <v>0</v>
      </c>
      <c r="G21" s="552"/>
    </row>
    <row r="22" spans="1:11" ht="15.75" customHeight="1" thickTop="1" x14ac:dyDescent="0.2">
      <c r="A22" s="2213" t="s">
        <v>1174</v>
      </c>
      <c r="B22" s="2214"/>
      <c r="C22" s="2208"/>
      <c r="D22" s="2209"/>
      <c r="E22" s="2209"/>
      <c r="F22" s="2210"/>
    </row>
    <row r="23" spans="1:11" ht="13.5" thickBot="1" x14ac:dyDescent="0.25">
      <c r="A23" s="2215" t="s">
        <v>654</v>
      </c>
      <c r="B23" s="2216"/>
      <c r="C23" s="581"/>
      <c r="D23" s="581"/>
      <c r="E23" s="581"/>
      <c r="F23" s="1777">
        <f>SUM(C23+D23)-E23</f>
        <v>0</v>
      </c>
      <c r="G23" s="552"/>
    </row>
    <row r="24" spans="1:11" ht="15.75" customHeight="1" thickTop="1" x14ac:dyDescent="0.2">
      <c r="A24" s="2213" t="s">
        <v>1175</v>
      </c>
      <c r="B24" s="2214"/>
      <c r="C24" s="2208"/>
      <c r="D24" s="2209"/>
      <c r="E24" s="2209"/>
      <c r="F24" s="2210"/>
    </row>
    <row r="25" spans="1:11" ht="13.5" thickBot="1" x14ac:dyDescent="0.25">
      <c r="A25" s="2215" t="s">
        <v>655</v>
      </c>
      <c r="B25" s="2216"/>
      <c r="C25" s="581"/>
      <c r="D25" s="581"/>
      <c r="E25" s="581"/>
      <c r="F25" s="1777">
        <f>SUM(C25+D25)-E25</f>
        <v>0</v>
      </c>
      <c r="G25" s="552"/>
    </row>
    <row r="26" spans="1:11" ht="15.75" customHeight="1" thickTop="1" x14ac:dyDescent="0.2">
      <c r="A26" s="2219" t="s">
        <v>678</v>
      </c>
      <c r="B26" s="2214"/>
      <c r="C26" s="728"/>
      <c r="D26" s="728"/>
      <c r="E26" s="728"/>
      <c r="F26" s="729"/>
    </row>
    <row r="27" spans="1:11" ht="13.5" thickBot="1" x14ac:dyDescent="0.25">
      <c r="A27" s="2211" t="s">
        <v>1130</v>
      </c>
      <c r="B27" s="2212"/>
      <c r="C27" s="585"/>
      <c r="D27" s="585"/>
      <c r="E27" s="585"/>
      <c r="F27" s="1777">
        <f>SUM(C27+D27)-E27</f>
        <v>0</v>
      </c>
      <c r="G27" s="552"/>
    </row>
    <row r="28" spans="1:11" ht="7.5" customHeight="1" thickTop="1" x14ac:dyDescent="0.2">
      <c r="A28" s="594"/>
    </row>
    <row r="29" spans="1:11" ht="23.25" customHeight="1" x14ac:dyDescent="0.2">
      <c r="A29" s="2217" t="s">
        <v>603</v>
      </c>
      <c r="B29" s="2218"/>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0" t="s">
        <v>605</v>
      </c>
      <c r="C52" s="2201"/>
      <c r="D52" s="2201"/>
      <c r="E52" s="750" t="s">
        <v>900</v>
      </c>
      <c r="F52" s="2202"/>
      <c r="G52" s="2203"/>
      <c r="H52" s="737"/>
      <c r="I52" s="737"/>
      <c r="J52" s="747"/>
    </row>
    <row r="53" spans="1:11" ht="11.25" customHeight="1" x14ac:dyDescent="0.2">
      <c r="A53" s="751" t="s">
        <v>969</v>
      </c>
      <c r="B53" s="752" t="s">
        <v>1008</v>
      </c>
      <c r="C53" s="747"/>
      <c r="D53" s="738"/>
      <c r="E53" s="750" t="s">
        <v>518</v>
      </c>
      <c r="F53" s="2204"/>
      <c r="G53" s="2205"/>
      <c r="H53" s="737"/>
      <c r="I53" s="737"/>
      <c r="J53" s="747"/>
    </row>
    <row r="54" spans="1:11" ht="11.25" customHeight="1" x14ac:dyDescent="0.2">
      <c r="A54" s="753" t="s">
        <v>970</v>
      </c>
      <c r="B54" s="748" t="s">
        <v>1009</v>
      </c>
      <c r="C54" s="747"/>
      <c r="D54" s="738"/>
      <c r="E54" s="750" t="s">
        <v>519</v>
      </c>
      <c r="F54" s="2204"/>
      <c r="G54" s="220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9" t="s">
        <v>911</v>
      </c>
      <c r="B1" s="2230"/>
      <c r="C1" s="2230"/>
      <c r="D1" s="2230"/>
      <c r="E1" s="2230"/>
      <c r="F1" s="2230"/>
      <c r="G1" s="2231"/>
      <c r="H1" s="1552"/>
      <c r="I1" s="761"/>
      <c r="J1" s="433"/>
    </row>
    <row r="2" spans="1:11" ht="26.25" x14ac:dyDescent="0.2">
      <c r="A2" s="2248" t="s">
        <v>1776</v>
      </c>
      <c r="B2" s="2249"/>
      <c r="C2" s="2249"/>
      <c r="D2" s="2249"/>
      <c r="E2" s="2250"/>
      <c r="F2" s="762" t="s">
        <v>960</v>
      </c>
      <c r="G2" s="763" t="s">
        <v>1773</v>
      </c>
      <c r="H2" s="763" t="s">
        <v>430</v>
      </c>
      <c r="I2" s="763" t="s">
        <v>1220</v>
      </c>
      <c r="J2" s="763" t="s">
        <v>1919</v>
      </c>
      <c r="K2" s="763" t="s">
        <v>140</v>
      </c>
    </row>
    <row r="3" spans="1:11" x14ac:dyDescent="0.2">
      <c r="A3" s="2251" t="s">
        <v>1698</v>
      </c>
      <c r="B3" s="2252"/>
      <c r="C3" s="2252"/>
      <c r="D3" s="2252"/>
      <c r="E3" s="2253"/>
      <c r="F3" s="764"/>
      <c r="G3" s="765"/>
      <c r="H3" s="765"/>
      <c r="I3" s="765"/>
      <c r="J3" s="766"/>
      <c r="K3" s="766"/>
    </row>
    <row r="4" spans="1:11" x14ac:dyDescent="0.2">
      <c r="A4" s="2254" t="s">
        <v>387</v>
      </c>
      <c r="B4" s="2255"/>
      <c r="C4" s="2255"/>
      <c r="D4" s="2255"/>
      <c r="E4" s="2201"/>
      <c r="F4" s="767"/>
      <c r="G4" s="768"/>
      <c r="H4" s="769"/>
      <c r="I4" s="768"/>
      <c r="J4" s="770"/>
      <c r="K4" s="770"/>
    </row>
    <row r="5" spans="1:11" x14ac:dyDescent="0.2">
      <c r="A5" s="2232" t="s">
        <v>1129</v>
      </c>
      <c r="B5" s="2233"/>
      <c r="C5" s="2233"/>
      <c r="D5" s="2233"/>
      <c r="E5" s="2234"/>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2" t="s">
        <v>1920</v>
      </c>
      <c r="B10" s="2233"/>
      <c r="C10" s="2233"/>
      <c r="D10" s="2233"/>
      <c r="E10" s="2235"/>
      <c r="F10" s="784" t="s">
        <v>917</v>
      </c>
      <c r="G10" s="783"/>
      <c r="H10" s="785"/>
      <c r="I10" s="765"/>
      <c r="J10" s="766"/>
      <c r="K10" s="766"/>
    </row>
    <row r="11" spans="1:11" x14ac:dyDescent="0.2">
      <c r="A11" s="2232" t="s">
        <v>162</v>
      </c>
      <c r="B11" s="2233"/>
      <c r="C11" s="2233"/>
      <c r="D11" s="2233"/>
      <c r="E11" s="2234"/>
      <c r="F11" s="771" t="s">
        <v>907</v>
      </c>
      <c r="G11" s="772"/>
      <c r="H11" s="765"/>
      <c r="I11" s="765"/>
      <c r="J11" s="766"/>
      <c r="K11" s="774"/>
    </row>
    <row r="12" spans="1:11" ht="13.5" thickBot="1" x14ac:dyDescent="0.25">
      <c r="A12" s="2259" t="s">
        <v>961</v>
      </c>
      <c r="B12" s="2260"/>
      <c r="C12" s="2260"/>
      <c r="D12" s="2260"/>
      <c r="E12" s="2261"/>
      <c r="F12" s="1779"/>
      <c r="G12" s="1780">
        <f>SUM(G5:G11)</f>
        <v>0</v>
      </c>
      <c r="H12" s="1780">
        <f>SUM(H5:H11)</f>
        <v>0</v>
      </c>
      <c r="I12" s="1780">
        <f>SUM(I5:I11)</f>
        <v>0</v>
      </c>
      <c r="J12" s="1780">
        <f>SUM(J5:J11)</f>
        <v>0</v>
      </c>
      <c r="K12" s="1780">
        <f>SUM(K5:K11)</f>
        <v>0</v>
      </c>
    </row>
    <row r="13" spans="1:11" ht="13.5" thickTop="1" x14ac:dyDescent="0.2">
      <c r="A13" s="2256" t="s">
        <v>388</v>
      </c>
      <c r="B13" s="2257"/>
      <c r="C13" s="2257"/>
      <c r="D13" s="2257"/>
      <c r="E13" s="2258"/>
      <c r="F13" s="786"/>
      <c r="G13" s="787"/>
      <c r="H13" s="788"/>
      <c r="I13" s="789"/>
      <c r="J13" s="789"/>
      <c r="K13" s="789"/>
    </row>
    <row r="14" spans="1:11" x14ac:dyDescent="0.2">
      <c r="A14" s="2239" t="s">
        <v>476</v>
      </c>
      <c r="B14" s="2239"/>
      <c r="C14" s="2239"/>
      <c r="D14" s="2239"/>
      <c r="E14" s="2240"/>
      <c r="F14" s="790" t="s">
        <v>909</v>
      </c>
      <c r="G14" s="783"/>
      <c r="H14" s="765"/>
      <c r="I14" s="772"/>
      <c r="J14" s="774"/>
      <c r="K14" s="766"/>
    </row>
    <row r="15" spans="1:11" x14ac:dyDescent="0.2">
      <c r="A15" s="2233" t="s">
        <v>4</v>
      </c>
      <c r="B15" s="2233"/>
      <c r="C15" s="2233"/>
      <c r="D15" s="2233"/>
      <c r="E15" s="2234"/>
      <c r="F15" s="790" t="s">
        <v>910</v>
      </c>
      <c r="G15" s="772"/>
      <c r="H15" s="765"/>
      <c r="I15" s="765"/>
      <c r="J15" s="766"/>
      <c r="K15" s="766"/>
    </row>
    <row r="16" spans="1:11" x14ac:dyDescent="0.2">
      <c r="A16" s="2233" t="s">
        <v>316</v>
      </c>
      <c r="B16" s="2233"/>
      <c r="C16" s="2233"/>
      <c r="D16" s="2233"/>
      <c r="E16" s="2234"/>
      <c r="F16" s="790" t="s">
        <v>980</v>
      </c>
      <c r="G16" s="773"/>
      <c r="H16" s="768"/>
      <c r="I16" s="768"/>
      <c r="J16" s="770"/>
      <c r="K16" s="770"/>
    </row>
    <row r="17" spans="1:11" x14ac:dyDescent="0.2">
      <c r="A17" s="2264" t="s">
        <v>992</v>
      </c>
      <c r="B17" s="2264"/>
      <c r="C17" s="2264"/>
      <c r="D17" s="2264"/>
      <c r="E17" s="2265"/>
      <c r="F17" s="791"/>
      <c r="G17" s="792"/>
      <c r="H17" s="793"/>
      <c r="I17" s="793"/>
      <c r="J17" s="794"/>
      <c r="K17" s="795"/>
    </row>
    <row r="18" spans="1:11" x14ac:dyDescent="0.2">
      <c r="A18" s="2243" t="s">
        <v>386</v>
      </c>
      <c r="B18" s="2244"/>
      <c r="C18" s="2244"/>
      <c r="D18" s="2244"/>
      <c r="E18" s="2245"/>
      <c r="F18" s="790" t="s">
        <v>989</v>
      </c>
      <c r="G18" s="783"/>
      <c r="H18" s="783"/>
      <c r="I18" s="783"/>
      <c r="J18" s="766"/>
      <c r="K18" s="796"/>
    </row>
    <row r="19" spans="1:11" ht="21.75" customHeight="1" x14ac:dyDescent="0.2">
      <c r="A19" s="2241" t="s">
        <v>1916</v>
      </c>
      <c r="B19" s="2241"/>
      <c r="C19" s="2241"/>
      <c r="D19" s="2241"/>
      <c r="E19" s="2242"/>
      <c r="F19" s="790" t="s">
        <v>990</v>
      </c>
      <c r="G19" s="783"/>
      <c r="H19" s="783"/>
      <c r="I19" s="783"/>
      <c r="J19" s="766"/>
      <c r="K19" s="796"/>
    </row>
    <row r="20" spans="1:11" x14ac:dyDescent="0.2">
      <c r="A20" s="2243" t="s">
        <v>1921</v>
      </c>
      <c r="B20" s="2244"/>
      <c r="C20" s="2244"/>
      <c r="D20" s="2244"/>
      <c r="E20" s="2245"/>
      <c r="F20" s="790" t="s">
        <v>991</v>
      </c>
      <c r="G20" s="783"/>
      <c r="H20" s="783"/>
      <c r="I20" s="783"/>
      <c r="J20" s="766"/>
      <c r="K20" s="796"/>
    </row>
    <row r="21" spans="1:11" ht="13.5" thickBot="1" x14ac:dyDescent="0.25">
      <c r="A21" s="2262" t="s">
        <v>659</v>
      </c>
      <c r="B21" s="2262"/>
      <c r="C21" s="2262"/>
      <c r="D21" s="2262"/>
      <c r="E21" s="2262"/>
      <c r="F21" s="1781"/>
      <c r="G21" s="793"/>
      <c r="H21" s="797"/>
      <c r="I21" s="797"/>
      <c r="J21" s="1782">
        <f>SUM(J18:J20)</f>
        <v>0</v>
      </c>
      <c r="K21" s="794"/>
    </row>
    <row r="22" spans="1:11" ht="13.5" thickTop="1" x14ac:dyDescent="0.2">
      <c r="A22" s="2233" t="s">
        <v>1922</v>
      </c>
      <c r="B22" s="2233"/>
      <c r="C22" s="2233"/>
      <c r="D22" s="2233"/>
      <c r="E22" s="2234"/>
      <c r="F22" s="790" t="s">
        <v>917</v>
      </c>
      <c r="G22" s="783"/>
      <c r="H22" s="765"/>
      <c r="I22" s="765"/>
      <c r="J22" s="798"/>
      <c r="K22" s="766"/>
    </row>
    <row r="23" spans="1:11" ht="13.5" thickBot="1" x14ac:dyDescent="0.25">
      <c r="A23" s="2263" t="s">
        <v>962</v>
      </c>
      <c r="B23" s="2262"/>
      <c r="C23" s="2262"/>
      <c r="D23" s="2262"/>
      <c r="E23" s="2262"/>
      <c r="F23" s="1783"/>
      <c r="G23" s="1780">
        <f>SUM(G14:G16,G21,G22)</f>
        <v>0</v>
      </c>
      <c r="H23" s="1780">
        <f>SUM(H14:H16,H21,H22)</f>
        <v>0</v>
      </c>
      <c r="I23" s="1780">
        <f>SUM(I14:I16,I21,I22)</f>
        <v>0</v>
      </c>
      <c r="J23" s="1780">
        <f>SUM(J14:J16,J21,J22)</f>
        <v>0</v>
      </c>
      <c r="K23" s="1780">
        <f>SUM(K14:K16,K21,K22)</f>
        <v>0</v>
      </c>
    </row>
    <row r="24" spans="1:11" ht="14.25" thickTop="1" thickBot="1" x14ac:dyDescent="0.25">
      <c r="A24" s="2263" t="s">
        <v>2026</v>
      </c>
      <c r="B24" s="2262"/>
      <c r="C24" s="2262"/>
      <c r="D24" s="2262"/>
      <c r="E24" s="226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6"/>
      <c r="I31" s="2237"/>
      <c r="J31" s="2237"/>
      <c r="K31" s="2237"/>
    </row>
    <row r="32" spans="1:11" x14ac:dyDescent="0.2">
      <c r="A32" s="810"/>
      <c r="B32" s="237"/>
      <c r="C32" s="237"/>
      <c r="D32" s="237"/>
      <c r="E32" s="806"/>
      <c r="F32" s="812" t="s">
        <v>561</v>
      </c>
      <c r="G32" s="765"/>
      <c r="H32" s="2238"/>
      <c r="I32" s="2237"/>
      <c r="J32" s="2237"/>
      <c r="K32" s="2237"/>
    </row>
    <row r="33" spans="1:11" ht="1.5" customHeight="1" x14ac:dyDescent="0.2">
      <c r="A33" s="813" t="s">
        <v>1231</v>
      </c>
      <c r="B33" s="364"/>
      <c r="C33" s="364"/>
      <c r="D33" s="364"/>
      <c r="E33" s="364"/>
      <c r="F33" s="364"/>
      <c r="G33" s="814"/>
      <c r="H33" s="2238"/>
      <c r="I33" s="2237"/>
      <c r="J33" s="2237"/>
      <c r="K33" s="223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46"/>
      <c r="C41" s="2246"/>
      <c r="D41" s="2246"/>
      <c r="E41" s="2246"/>
      <c r="F41" s="224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3" sqref="J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8" t="s">
        <v>2035</v>
      </c>
      <c r="B1" s="2269"/>
      <c r="C1" s="2270"/>
      <c r="D1" s="827"/>
      <c r="E1" s="828"/>
      <c r="F1" s="828"/>
      <c r="G1" s="829"/>
      <c r="H1" s="830"/>
      <c r="I1" s="831"/>
      <c r="J1" s="2266"/>
      <c r="K1" s="2267"/>
      <c r="L1" s="226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86265</v>
      </c>
      <c r="G17" s="838">
        <v>10</v>
      </c>
      <c r="H17" s="770"/>
      <c r="I17" s="1791">
        <f>F17/G17</f>
        <v>8626.5</v>
      </c>
      <c r="J17" s="770"/>
      <c r="K17" s="796"/>
      <c r="L17" s="796"/>
    </row>
    <row r="18" spans="1:12" ht="14.25" thickTop="1" thickBot="1" x14ac:dyDescent="0.25">
      <c r="A18" s="1789" t="s">
        <v>706</v>
      </c>
      <c r="B18" s="1790"/>
      <c r="C18" s="772"/>
      <c r="D18" s="772"/>
      <c r="E18" s="772"/>
      <c r="F18" s="851"/>
      <c r="G18" s="852"/>
      <c r="H18" s="774"/>
      <c r="I18" s="1782">
        <f>SUM(I16,I17)</f>
        <v>8626.5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4" t="s">
        <v>1699</v>
      </c>
      <c r="B1" s="2275"/>
      <c r="C1" s="2275"/>
      <c r="D1" s="2275"/>
      <c r="E1" s="2275"/>
      <c r="F1" s="2276"/>
      <c r="G1" s="856"/>
    </row>
    <row r="2" spans="1:7" ht="15" customHeight="1" thickBot="1" x14ac:dyDescent="0.25">
      <c r="A2" s="2277" t="s">
        <v>498</v>
      </c>
      <c r="B2" s="2278"/>
      <c r="C2" s="2278"/>
      <c r="D2" s="2278"/>
      <c r="E2" s="2278"/>
      <c r="F2" s="227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0"/>
      <c r="B5" s="2281"/>
      <c r="C5" s="2281"/>
      <c r="D5" s="2281"/>
      <c r="E5" s="2281"/>
      <c r="F5" s="2281"/>
    </row>
    <row r="6" spans="1:7" ht="13.5" customHeight="1" thickBot="1" x14ac:dyDescent="0.25">
      <c r="A6" s="2271" t="s">
        <v>1166</v>
      </c>
      <c r="B6" s="2272"/>
      <c r="C6" s="2272"/>
      <c r="D6" s="2272"/>
      <c r="E6" s="2272"/>
      <c r="F6" s="227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649700</v>
      </c>
      <c r="G8" s="866"/>
    </row>
    <row r="9" spans="1:7" x14ac:dyDescent="0.2">
      <c r="A9" s="870" t="s">
        <v>480</v>
      </c>
      <c r="B9" s="871" t="s">
        <v>1989</v>
      </c>
      <c r="C9" s="872"/>
      <c r="D9" s="870" t="s">
        <v>522</v>
      </c>
      <c r="E9" s="869"/>
      <c r="F9" s="1935">
        <f>'Expenditures 15-22'!K151</f>
        <v>13899</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663599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63490</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86265</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149755</v>
      </c>
      <c r="G76" s="866"/>
    </row>
    <row r="77" spans="1:8" s="894" customFormat="1" ht="12" customHeight="1" thickTop="1" thickBot="1" x14ac:dyDescent="0.25">
      <c r="A77" s="1801"/>
      <c r="B77" s="1798"/>
      <c r="C77" s="1794"/>
      <c r="D77" s="1799" t="s">
        <v>2012</v>
      </c>
      <c r="E77" s="1796"/>
      <c r="F77" s="1802">
        <f>(F14-F76)</f>
        <v>513844</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1" t="s">
        <v>1167</v>
      </c>
      <c r="B81" s="2272"/>
      <c r="C81" s="2272"/>
      <c r="D81" s="2272"/>
      <c r="E81" s="2272"/>
      <c r="F81" s="227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6152</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531859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193089</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731100</v>
      </c>
    </row>
    <row r="179" spans="1:7" ht="12" customHeight="1" x14ac:dyDescent="0.2">
      <c r="A179" s="1792"/>
      <c r="B179" s="1806"/>
      <c r="C179" s="1807"/>
      <c r="D179" s="1808" t="s">
        <v>2015</v>
      </c>
      <c r="E179" s="1809"/>
      <c r="F179" s="1811">
        <f>'PCTC-OEPP 27-28'!F77-F178</f>
        <v>-217256</v>
      </c>
    </row>
    <row r="180" spans="1:7" ht="12" customHeight="1" x14ac:dyDescent="0.2">
      <c r="A180" s="1792"/>
      <c r="B180" s="1806"/>
      <c r="C180" s="1807"/>
      <c r="D180" s="1808" t="s">
        <v>1924</v>
      </c>
      <c r="E180" s="1809"/>
      <c r="F180" s="1811">
        <f>'Cap Outlay Deprec 26'!I18</f>
        <v>8626.5</v>
      </c>
    </row>
    <row r="181" spans="1:7" ht="12" customHeight="1" x14ac:dyDescent="0.2">
      <c r="A181" s="1792"/>
      <c r="B181" s="1806"/>
      <c r="C181" s="1807"/>
      <c r="D181" s="1808" t="s">
        <v>2016</v>
      </c>
      <c r="E181" s="1809"/>
      <c r="F181" s="1811">
        <f>F179+F180</f>
        <v>-208629.5</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5" t="s">
        <v>1925</v>
      </c>
      <c r="B4" s="2286"/>
      <c r="C4" s="2286"/>
      <c r="D4" s="2286"/>
      <c r="E4" s="2286"/>
      <c r="F4" s="2286"/>
      <c r="G4" s="2287"/>
    </row>
    <row r="5" spans="1:7" x14ac:dyDescent="0.25">
      <c r="A5" s="2288"/>
      <c r="B5" s="2289"/>
      <c r="C5" s="2289"/>
      <c r="D5" s="2289"/>
      <c r="E5" s="2289"/>
      <c r="F5" s="2289"/>
      <c r="G5" s="2290"/>
    </row>
    <row r="6" spans="1:7" ht="18.75" x14ac:dyDescent="0.25">
      <c r="A6" s="1556" t="s">
        <v>1926</v>
      </c>
      <c r="B6" s="1557"/>
      <c r="C6" s="1557"/>
      <c r="D6" s="1557"/>
      <c r="E6" s="1557"/>
      <c r="F6" s="1557"/>
      <c r="G6" s="1558"/>
    </row>
    <row r="7" spans="1:7" ht="30.75" customHeight="1" x14ac:dyDescent="0.25">
      <c r="A7" s="2291" t="s">
        <v>2075</v>
      </c>
      <c r="B7" s="2292"/>
      <c r="C7" s="2292"/>
      <c r="D7" s="2292"/>
      <c r="E7" s="2292"/>
      <c r="F7" s="2292"/>
      <c r="G7" s="2293"/>
    </row>
    <row r="8" spans="1:7" ht="15.75" customHeight="1" x14ac:dyDescent="0.25">
      <c r="A8" s="2294" t="s">
        <v>2024</v>
      </c>
      <c r="B8" s="2295"/>
      <c r="C8" s="2295"/>
      <c r="D8" s="2295"/>
      <c r="E8" s="2295"/>
      <c r="F8" s="2295"/>
      <c r="G8" s="2296"/>
    </row>
    <row r="9" spans="1:7" ht="35.25" customHeight="1" x14ac:dyDescent="0.25">
      <c r="A9" s="2291" t="s">
        <v>2023</v>
      </c>
      <c r="B9" s="2292"/>
      <c r="C9" s="2292"/>
      <c r="D9" s="2292"/>
      <c r="E9" s="2292"/>
      <c r="F9" s="2292"/>
      <c r="G9" s="2293"/>
    </row>
    <row r="10" spans="1:7" ht="15" customHeight="1" x14ac:dyDescent="0.25">
      <c r="A10" s="1559" t="s">
        <v>1927</v>
      </c>
      <c r="B10" s="1560"/>
      <c r="C10" s="1560"/>
      <c r="D10" s="1560"/>
      <c r="E10" s="1560"/>
      <c r="F10" s="1560"/>
      <c r="G10" s="1561"/>
    </row>
    <row r="11" spans="1:7" ht="17.25" customHeight="1" x14ac:dyDescent="0.25">
      <c r="A11" s="2291" t="s">
        <v>1941</v>
      </c>
      <c r="B11" s="2292"/>
      <c r="C11" s="2292"/>
      <c r="D11" s="2292"/>
      <c r="E11" s="2292"/>
      <c r="F11" s="2292"/>
      <c r="G11" s="2293"/>
    </row>
    <row r="12" spans="1:7" ht="15" customHeight="1" x14ac:dyDescent="0.25">
      <c r="A12" s="1559" t="s">
        <v>1932</v>
      </c>
      <c r="B12" s="1560"/>
      <c r="C12" s="1560"/>
      <c r="D12" s="1560"/>
      <c r="E12" s="1560"/>
      <c r="F12" s="1560"/>
      <c r="G12" s="1561"/>
    </row>
    <row r="13" spans="1:7" ht="32.25" customHeight="1" x14ac:dyDescent="0.25">
      <c r="A13" s="2282" t="s">
        <v>1933</v>
      </c>
      <c r="B13" s="2283"/>
      <c r="C13" s="2283"/>
      <c r="D13" s="2283"/>
      <c r="E13" s="2283"/>
      <c r="F13" s="2283"/>
      <c r="G13" s="2284"/>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7" t="s">
        <v>1778</v>
      </c>
      <c r="B5" s="2298"/>
      <c r="C5" s="2298"/>
      <c r="D5" s="2298"/>
      <c r="E5" s="2298"/>
      <c r="F5" s="2298"/>
      <c r="G5" s="229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2" t="s">
        <v>1945</v>
      </c>
      <c r="B11" s="2303"/>
      <c r="C11" s="2303"/>
      <c r="D11" s="2304"/>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162473</v>
      </c>
      <c r="F19" s="1822"/>
      <c r="G19" s="1824">
        <f>'Expenditures 15-22'!K33-SUM('Expenditures 15-22'!G33,'Expenditures 15-22'!I33)+'Expenditures 15-22'!D229</f>
        <v>162473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61451</v>
      </c>
      <c r="F21" s="1825"/>
      <c r="G21" s="1828">
        <f>'Expenditures 15-22'!K42-SUM('Expenditures 15-22'!G42,'Expenditures 15-22'!I42)+'Expenditures 15-22'!K120-SUM('Expenditures 15-22'!G120,'Expenditures 15-22'!I120)+'Expenditures 15-22'!K180-SUM('Expenditures 15-22'!G180,'Expenditures 15-22'!I180)+'Expenditures 15-22'!D238</f>
        <v>61451</v>
      </c>
      <c r="H21" s="988"/>
      <c r="I21" s="162"/>
    </row>
    <row r="22" spans="1:9" s="669" customFormat="1" ht="12" customHeight="1" x14ac:dyDescent="0.2">
      <c r="A22" s="995" t="s">
        <v>585</v>
      </c>
      <c r="B22" s="996"/>
      <c r="C22" s="994">
        <v>2200</v>
      </c>
      <c r="D22" s="1825"/>
      <c r="E22" s="1827">
        <f>'Expenditures 15-22'!K47-SUM('Expenditures 15-22'!G47,'Expenditures 15-22'!I47)+'Expenditures 15-22'!D243</f>
        <v>195644</v>
      </c>
      <c r="F22" s="1825"/>
      <c r="G22" s="1828">
        <f>'Expenditures 15-22'!K47-SUM('Expenditures 15-22'!G47,'Expenditures 15-22'!I47)+'Expenditures 15-22'!D243</f>
        <v>195644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74027</v>
      </c>
      <c r="F23" s="1825"/>
      <c r="G23" s="1827">
        <f>'Expenditures 15-22'!K53-SUM('Expenditures 15-22'!G53,'Expenditures 15-22'!I53)+'Expenditures 15-22'!D257+'Expenditures 15-22'!K330-SUM('Expenditures 15-22'!G330,'Expenditures 15-22'!I330)</f>
        <v>74027</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6350</v>
      </c>
      <c r="E27" s="1827">
        <f>E8</f>
        <v>0</v>
      </c>
      <c r="F27" s="1827">
        <f>'Expenditures 15-22'!K60-SUM('Expenditures 15-22'!G60,'Expenditures 15-22'!I60)+'Expenditures 15-22'!D264-E8</f>
        <v>6350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13899</v>
      </c>
      <c r="F28" s="1829">
        <f>'Expenditures 15-22'!K61-SUM('Expenditures 15-22'!G61,'Expenditures 15-22'!I61)+'Expenditures 15-22'!K124-SUM('Expenditures 15-22'!G124,'Expenditures 15-22'!I124)+'Expenditures 15-22'!D266-E9</f>
        <v>13899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6350</v>
      </c>
      <c r="E41" s="1829">
        <f>SUM(E19:E40)</f>
        <v>507494</v>
      </c>
      <c r="F41" s="1829">
        <f>SUM(F19:F39)</f>
        <v>20249</v>
      </c>
      <c r="G41" s="1829">
        <f>SUM(G19:G40)</f>
        <v>493595</v>
      </c>
    </row>
    <row r="42" spans="1:7" x14ac:dyDescent="0.2">
      <c r="A42" s="988"/>
      <c r="B42" s="162"/>
      <c r="C42" s="1002"/>
      <c r="D42" s="2300" t="s">
        <v>543</v>
      </c>
      <c r="E42" s="2301"/>
      <c r="F42" s="1003" t="s">
        <v>544</v>
      </c>
      <c r="G42" s="1004"/>
    </row>
    <row r="43" spans="1:7" ht="12" customHeight="1" x14ac:dyDescent="0.2">
      <c r="A43" s="988"/>
      <c r="B43" s="162"/>
      <c r="C43" s="1002"/>
      <c r="D43" s="1830" t="s">
        <v>493</v>
      </c>
      <c r="E43" s="1831">
        <f>D41</f>
        <v>6350</v>
      </c>
      <c r="F43" s="1830" t="s">
        <v>495</v>
      </c>
      <c r="G43" s="1831">
        <f>F41</f>
        <v>20249</v>
      </c>
    </row>
    <row r="44" spans="1:7" ht="12" customHeight="1" x14ac:dyDescent="0.2">
      <c r="A44" s="988"/>
      <c r="B44" s="162"/>
      <c r="C44" s="1002"/>
      <c r="D44" s="1830" t="s">
        <v>494</v>
      </c>
      <c r="E44" s="1831">
        <f>E41</f>
        <v>507494</v>
      </c>
      <c r="F44" s="1830" t="s">
        <v>494</v>
      </c>
      <c r="G44" s="1831">
        <f>G41</f>
        <v>493595</v>
      </c>
    </row>
    <row r="45" spans="1:7" ht="12" customHeight="1" x14ac:dyDescent="0.2">
      <c r="A45" s="988"/>
      <c r="B45" s="162"/>
      <c r="C45" s="162"/>
      <c r="D45" s="1832" t="s">
        <v>1063</v>
      </c>
      <c r="E45" s="1833">
        <f>(E43/E44)</f>
        <v>1.2512463201535387E-2</v>
      </c>
      <c r="F45" s="1832" t="s">
        <v>1063</v>
      </c>
      <c r="G45" s="1833">
        <f>(G43/G44)</f>
        <v>4.1023511178192647E-2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A8" sqref="A8"/>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9" t="s">
        <v>1446</v>
      </c>
      <c r="B1" s="2319"/>
      <c r="C1" s="2319"/>
      <c r="D1" s="2319"/>
      <c r="E1" s="2319"/>
      <c r="F1" s="2319"/>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0" t="s">
        <v>1627</v>
      </c>
      <c r="B5" s="2321"/>
      <c r="C5" s="2322"/>
      <c r="D5" s="2322"/>
      <c r="E5" s="2322"/>
      <c r="F5" s="2322"/>
    </row>
    <row r="6" spans="1:10" ht="12" customHeight="1" x14ac:dyDescent="0.25">
      <c r="A6" s="1875"/>
      <c r="B6" s="1876"/>
      <c r="C6" s="2323" t="str">
        <f>COVER!A17</f>
        <v>Vermilion Vocational Educational Delivery System</v>
      </c>
      <c r="D6" s="2323"/>
      <c r="E6" s="2323"/>
      <c r="F6" s="1877"/>
    </row>
    <row r="7" spans="1:10" ht="11.25" customHeight="1" thickBot="1" x14ac:dyDescent="0.3">
      <c r="A7" s="1875"/>
      <c r="B7" s="1876"/>
      <c r="C7" s="2324" t="str">
        <f>COVER!A13</f>
        <v>54-002-7400-45</v>
      </c>
      <c r="D7" s="2324"/>
      <c r="E7" s="2324"/>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5"/>
      <c r="D35" s="2325"/>
      <c r="E35" s="2325"/>
      <c r="F35" s="2326"/>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11"/>
      <c r="B38" s="2312"/>
      <c r="C38" s="2312"/>
      <c r="D38" s="2312"/>
      <c r="E38" s="2312"/>
      <c r="F38" s="2313"/>
    </row>
    <row r="39" spans="1:11" ht="4.5" hidden="1" customHeight="1" x14ac:dyDescent="0.2">
      <c r="A39" s="1898"/>
      <c r="B39" s="1898"/>
      <c r="C39" s="1898"/>
      <c r="D39" s="1898"/>
      <c r="E39" s="1898"/>
      <c r="F39" s="1898"/>
    </row>
    <row r="40" spans="1:11" s="1895" customFormat="1" ht="12" customHeight="1" x14ac:dyDescent="0.25">
      <c r="A40" s="1899" t="s">
        <v>1458</v>
      </c>
      <c r="B40" s="1900"/>
      <c r="C40" s="2314"/>
      <c r="D40" s="2314"/>
      <c r="E40" s="2314"/>
      <c r="F40" s="2315"/>
      <c r="H40" s="1904"/>
      <c r="I40" s="1904"/>
      <c r="J40" s="1904"/>
      <c r="K40" s="1904"/>
    </row>
    <row r="41" spans="1:11" s="1895" customFormat="1" ht="12" customHeight="1" x14ac:dyDescent="0.25">
      <c r="A41" s="2316"/>
      <c r="B41" s="2317"/>
      <c r="C41" s="2317"/>
      <c r="D41" s="2317"/>
      <c r="E41" s="2317"/>
      <c r="F41" s="2318"/>
      <c r="H41" s="1904"/>
      <c r="I41" s="1904"/>
      <c r="J41" s="1904"/>
      <c r="K41" s="1904"/>
    </row>
    <row r="42" spans="1:11" s="1895" customFormat="1" ht="12" customHeight="1" x14ac:dyDescent="0.25">
      <c r="A42" s="2316"/>
      <c r="B42" s="2317"/>
      <c r="C42" s="2317"/>
      <c r="D42" s="2317"/>
      <c r="E42" s="2317"/>
      <c r="F42" s="2318"/>
      <c r="H42" s="1904"/>
      <c r="I42" s="1904"/>
      <c r="J42" s="1904"/>
      <c r="K42" s="1904"/>
    </row>
    <row r="43" spans="1:11" s="1895" customFormat="1" ht="15" x14ac:dyDescent="0.25">
      <c r="A43" s="2305"/>
      <c r="B43" s="2306"/>
      <c r="C43" s="2306"/>
      <c r="D43" s="2306"/>
      <c r="E43" s="2306"/>
      <c r="F43" s="2307"/>
      <c r="H43" s="1904"/>
      <c r="I43" s="1904"/>
      <c r="J43" s="1904"/>
      <c r="K43" s="1904"/>
    </row>
    <row r="44" spans="1:11" s="1895" customFormat="1" ht="12" hidden="1" customHeight="1" x14ac:dyDescent="0.25">
      <c r="A44" s="2305"/>
      <c r="B44" s="2306"/>
      <c r="C44" s="2306"/>
      <c r="D44" s="2306"/>
      <c r="E44" s="2306"/>
      <c r="F44" s="230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2" t="str">
        <f>COVER!A17</f>
        <v>Vermilion Vocational Educational Delivery System</v>
      </c>
      <c r="J6" s="2333"/>
      <c r="Q6" s="1686"/>
    </row>
    <row r="7" spans="1:17" x14ac:dyDescent="0.2">
      <c r="A7" s="2334" t="s">
        <v>924</v>
      </c>
      <c r="B7" s="2335"/>
      <c r="C7" s="2335"/>
      <c r="D7" s="2335"/>
      <c r="E7" s="2336"/>
      <c r="F7" s="1018"/>
      <c r="G7" s="1010"/>
      <c r="H7" s="1017" t="s">
        <v>390</v>
      </c>
      <c r="I7" s="2337" t="str">
        <f>COVER!A13</f>
        <v>54-002-7400-45</v>
      </c>
      <c r="J7" s="233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8" t="s">
        <v>502</v>
      </c>
      <c r="B11" s="2339"/>
      <c r="C11" s="234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7135</v>
      </c>
      <c r="F13" s="1040"/>
      <c r="G13" s="1834">
        <f t="shared" si="0"/>
        <v>7135</v>
      </c>
      <c r="H13" s="1041">
        <f>4891+111+2925+71</f>
        <v>7998</v>
      </c>
      <c r="I13" s="1040"/>
      <c r="J13" s="1834">
        <f t="shared" si="1"/>
        <v>7998</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1" t="s">
        <v>7</v>
      </c>
      <c r="C18" s="2342"/>
      <c r="D18" s="234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7135</v>
      </c>
      <c r="F19" s="1836">
        <f t="shared" si="2"/>
        <v>0</v>
      </c>
      <c r="G19" s="1836">
        <f t="shared" si="2"/>
        <v>7135</v>
      </c>
      <c r="H19" s="1836">
        <f t="shared" si="2"/>
        <v>7998</v>
      </c>
      <c r="I19" s="1836">
        <f t="shared" si="2"/>
        <v>0</v>
      </c>
      <c r="J19" s="1836">
        <f t="shared" si="2"/>
        <v>7998</v>
      </c>
    </row>
    <row r="20" spans="1:10" ht="13.5" thickTop="1" x14ac:dyDescent="0.2">
      <c r="A20" s="1036">
        <v>9</v>
      </c>
      <c r="B20" s="2344" t="s">
        <v>1703</v>
      </c>
      <c r="C20" s="2344"/>
      <c r="D20" s="2345"/>
      <c r="E20" s="1047"/>
      <c r="F20" s="1047"/>
      <c r="G20" s="1047"/>
      <c r="H20" s="1047"/>
      <c r="I20" s="1047"/>
      <c r="J20" s="1837">
        <f>IF(AND(G19&gt;0,J19&gt;0),(((J19-G19)/G19)),"Enter Budget Data")</f>
        <v>0.12095304835318851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0"/>
      <c r="D26" s="2350"/>
      <c r="E26" s="1051"/>
      <c r="F26" s="2349"/>
      <c r="G26" s="2349"/>
    </row>
    <row r="27" spans="1:10" x14ac:dyDescent="0.2">
      <c r="B27" s="1048"/>
      <c r="C27" s="1052" t="s">
        <v>1093</v>
      </c>
      <c r="D27" s="1053"/>
      <c r="E27" s="1054"/>
      <c r="F27" s="2346" t="s">
        <v>1589</v>
      </c>
      <c r="G27" s="2346"/>
    </row>
    <row r="28" spans="1:10" ht="28.5" customHeight="1" x14ac:dyDescent="0.2">
      <c r="B28" s="1048"/>
      <c r="C28" s="2348"/>
      <c r="D28" s="2348"/>
      <c r="E28" s="1055"/>
      <c r="F28" s="2348"/>
      <c r="G28" s="2348"/>
    </row>
    <row r="29" spans="1:10" x14ac:dyDescent="0.2">
      <c r="B29" s="1048"/>
      <c r="C29" s="1056" t="s">
        <v>1642</v>
      </c>
      <c r="E29" s="1057"/>
      <c r="F29" s="2347" t="s">
        <v>1590</v>
      </c>
      <c r="G29" s="234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9" t="s">
        <v>134</v>
      </c>
      <c r="D33" s="2330"/>
      <c r="E33" s="2330"/>
      <c r="F33" s="2330"/>
      <c r="G33" s="2330"/>
      <c r="H33" s="2330"/>
      <c r="I33" s="2330"/>
    </row>
    <row r="34" spans="1:10" ht="10.35" customHeight="1" x14ac:dyDescent="0.2">
      <c r="C34" s="2330"/>
      <c r="D34" s="2330"/>
      <c r="E34" s="2330"/>
      <c r="F34" s="2330"/>
      <c r="G34" s="2330"/>
      <c r="H34" s="2330"/>
      <c r="I34" s="2330"/>
    </row>
    <row r="35" spans="1:10" ht="7.5" customHeight="1" x14ac:dyDescent="0.2">
      <c r="C35" s="1063"/>
    </row>
    <row r="36" spans="1:10" ht="13.5" customHeight="1" x14ac:dyDescent="0.2">
      <c r="B36" s="1062"/>
      <c r="C36" s="2331" t="s">
        <v>1944</v>
      </c>
      <c r="D36" s="2330"/>
      <c r="E36" s="2330"/>
      <c r="F36" s="2330"/>
      <c r="G36" s="2330"/>
      <c r="H36" s="2330"/>
      <c r="I36" s="2330"/>
      <c r="J36" s="1064"/>
    </row>
    <row r="37" spans="1:10" ht="22.5" customHeight="1" x14ac:dyDescent="0.2">
      <c r="C37" s="2330"/>
      <c r="D37" s="2330"/>
      <c r="E37" s="2330"/>
      <c r="F37" s="2330"/>
      <c r="G37" s="2330"/>
      <c r="H37" s="2330"/>
      <c r="I37" s="2330"/>
      <c r="J37" s="1064"/>
    </row>
    <row r="38" spans="1:10" ht="7.5" customHeight="1" x14ac:dyDescent="0.2">
      <c r="C38" s="1063"/>
      <c r="D38" s="1065"/>
      <c r="E38" s="1066"/>
      <c r="F38" s="1067"/>
      <c r="G38" s="1066"/>
    </row>
    <row r="39" spans="1:10" ht="13.5" customHeight="1" x14ac:dyDescent="0.2">
      <c r="B39" s="1062"/>
      <c r="C39" s="2327" t="s">
        <v>937</v>
      </c>
      <c r="D39" s="2328"/>
      <c r="E39" s="2328"/>
      <c r="F39" s="2328"/>
      <c r="G39" s="2328"/>
      <c r="H39" s="2328"/>
      <c r="I39" s="232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Vermilion Vocational Educational Delivery System</v>
      </c>
    </row>
    <row r="65" spans="2:2" x14ac:dyDescent="0.2">
      <c r="B65" s="1071" t="str">
        <f>COVER!A13</f>
        <v>54-002-7400-45</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1" t="s">
        <v>1784</v>
      </c>
      <c r="B18" s="235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0</xdr:col>
                <xdr:colOff>0</xdr:colOff>
                <xdr:row>0</xdr:row>
                <xdr:rowOff>0</xdr:rowOff>
              </from>
              <to>
                <xdr:col>1</xdr:col>
                <xdr:colOff>3028950</xdr:colOff>
                <xdr:row>14</xdr:row>
                <xdr:rowOff>104775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2" t="s">
        <v>1790</v>
      </c>
      <c r="B1" s="2353"/>
      <c r="C1" s="2353"/>
      <c r="D1" s="2353"/>
      <c r="E1" s="2353"/>
      <c r="F1" s="2354"/>
    </row>
    <row r="2" spans="1:8" ht="45" customHeight="1" x14ac:dyDescent="0.2">
      <c r="A2" s="2362" t="s">
        <v>1791</v>
      </c>
      <c r="B2" s="2363"/>
      <c r="C2" s="2363"/>
      <c r="D2" s="2363"/>
      <c r="E2" s="2363"/>
      <c r="F2" s="2364"/>
      <c r="G2" s="1075"/>
      <c r="H2" s="1075"/>
    </row>
    <row r="3" spans="1:8" ht="57" customHeight="1" x14ac:dyDescent="0.2">
      <c r="A3" s="2365" t="s">
        <v>1786</v>
      </c>
      <c r="B3" s="2366"/>
      <c r="C3" s="2366"/>
      <c r="D3" s="2366"/>
      <c r="E3" s="2366"/>
      <c r="F3" s="2367"/>
      <c r="G3" s="1075"/>
      <c r="H3" s="1075"/>
    </row>
    <row r="4" spans="1:8" ht="14.25" customHeight="1" x14ac:dyDescent="0.2">
      <c r="A4" s="2371" t="s">
        <v>2056</v>
      </c>
      <c r="B4" s="2372"/>
      <c r="C4" s="2372"/>
      <c r="D4" s="2372"/>
      <c r="E4" s="2372"/>
      <c r="F4" s="2373"/>
      <c r="G4" s="1075"/>
      <c r="H4" s="1075"/>
    </row>
    <row r="5" spans="1:8" ht="14.25" customHeight="1" x14ac:dyDescent="0.2">
      <c r="A5" s="2374" t="s">
        <v>2057</v>
      </c>
      <c r="B5" s="2375"/>
      <c r="C5" s="2375"/>
      <c r="D5" s="2375"/>
      <c r="E5" s="2375"/>
      <c r="F5" s="2376"/>
      <c r="G5" s="1075"/>
      <c r="H5" s="1075"/>
    </row>
    <row r="6" spans="1:8" s="1076" customFormat="1" ht="41.25" customHeight="1" x14ac:dyDescent="0.2">
      <c r="A6" s="2368" t="s">
        <v>1792</v>
      </c>
      <c r="B6" s="2369"/>
      <c r="C6" s="2369"/>
      <c r="D6" s="2369"/>
      <c r="E6" s="2369"/>
      <c r="F6" s="237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753234</v>
      </c>
      <c r="C8" s="1838">
        <f>'Acct Summary 7-8'!D8</f>
        <v>6181</v>
      </c>
      <c r="D8" s="1838">
        <f>'Acct Summary 7-8'!F8</f>
        <v>0</v>
      </c>
      <c r="E8" s="1838">
        <f>'Acct Summary 7-8'!I8</f>
        <v>0</v>
      </c>
      <c r="F8" s="1838">
        <f>SUM(B8:E8)</f>
        <v>759415</v>
      </c>
    </row>
    <row r="9" spans="1:8" s="1080" customFormat="1" ht="14.25" customHeight="1" thickBot="1" x14ac:dyDescent="0.25">
      <c r="A9" s="1079" t="s">
        <v>1436</v>
      </c>
      <c r="B9" s="1839">
        <f>'Acct Summary 7-8'!C17</f>
        <v>649700</v>
      </c>
      <c r="C9" s="1839">
        <f>'Acct Summary 7-8'!D17</f>
        <v>13899</v>
      </c>
      <c r="D9" s="1839">
        <f>'Acct Summary 7-8'!F17</f>
        <v>0</v>
      </c>
      <c r="E9" s="1838"/>
      <c r="F9" s="1838">
        <f>SUM(B9:E9)</f>
        <v>663599</v>
      </c>
    </row>
    <row r="10" spans="1:8" s="1080" customFormat="1" ht="14.25" thickTop="1" thickBot="1" x14ac:dyDescent="0.25">
      <c r="A10" s="1081" t="s">
        <v>1437</v>
      </c>
      <c r="B10" s="1840">
        <f>(B8-B9)</f>
        <v>103534</v>
      </c>
      <c r="C10" s="1840">
        <f>(C8-C9)</f>
        <v>-7718</v>
      </c>
      <c r="D10" s="1840">
        <f>(D8-D9)</f>
        <v>0</v>
      </c>
      <c r="E10" s="1839">
        <f>(E8-E9)</f>
        <v>0</v>
      </c>
      <c r="F10" s="1841">
        <f>SUM(F8-F9)</f>
        <v>95816</v>
      </c>
    </row>
    <row r="11" spans="1:8" s="1080" customFormat="1" ht="14.25" thickTop="1" thickBot="1" x14ac:dyDescent="0.25">
      <c r="A11" s="1082" t="s">
        <v>1785</v>
      </c>
      <c r="B11" s="1842">
        <f>'Acct Summary 7-8'!C81</f>
        <v>203186</v>
      </c>
      <c r="C11" s="1842">
        <f>'Acct Summary 7-8'!D81</f>
        <v>149063</v>
      </c>
      <c r="D11" s="1842">
        <f>'Acct Summary 7-8'!F81</f>
        <v>0</v>
      </c>
      <c r="E11" s="1842">
        <f>'Acct Summary 7-8'!I81</f>
        <v>0</v>
      </c>
      <c r="F11" s="1843">
        <f>SUM(B11:E11)</f>
        <v>352249</v>
      </c>
    </row>
    <row r="12" spans="1:8" ht="16.5" customHeight="1" thickTop="1" x14ac:dyDescent="0.2">
      <c r="A12" s="1083"/>
      <c r="B12" s="1084"/>
      <c r="C12" s="2356" t="str">
        <f>IF(AND(F10&lt;0,F11&gt;=0,ABS(F10*3)&gt;ABS(F11)),A16,IF(AND(F10&lt;0,F11&gt;0,ABS(F10*3)&lt;=ABS(F11)),A17,IF(AND(F10&lt;0,F11&lt;0),A16,IF(F11=0,A19,A18))))</f>
        <v>Balanced - no deficit reduction plan is required.</v>
      </c>
      <c r="D12" s="2357"/>
      <c r="E12" s="2357"/>
      <c r="F12" s="2358"/>
    </row>
    <row r="13" spans="1:8" ht="19.5" customHeight="1" x14ac:dyDescent="0.2">
      <c r="A13" s="1085"/>
      <c r="B13" s="1086"/>
      <c r="C13" s="2356"/>
      <c r="D13" s="2357"/>
      <c r="E13" s="2357"/>
      <c r="F13" s="2358"/>
      <c r="H13" s="1075"/>
    </row>
    <row r="14" spans="1:8" ht="19.5" customHeight="1" x14ac:dyDescent="0.2">
      <c r="A14" s="1085"/>
      <c r="B14" s="1086"/>
      <c r="C14" s="2356"/>
      <c r="D14" s="2357"/>
      <c r="E14" s="2357"/>
      <c r="F14" s="2358"/>
      <c r="H14" s="1075"/>
    </row>
    <row r="15" spans="1:8" ht="17.25" customHeight="1" x14ac:dyDescent="0.2">
      <c r="A15" s="1085"/>
      <c r="B15" s="1086"/>
      <c r="C15" s="2359"/>
      <c r="D15" s="2360"/>
      <c r="E15" s="2360"/>
      <c r="F15" s="2361"/>
      <c r="H15" s="1075"/>
    </row>
    <row r="16" spans="1:8" s="310" customFormat="1" ht="51.75" hidden="1" customHeight="1" x14ac:dyDescent="0.2">
      <c r="A16" s="2355" t="s">
        <v>1787</v>
      </c>
      <c r="B16" s="2355"/>
      <c r="C16" s="2355"/>
      <c r="D16" s="2355"/>
      <c r="E16" s="235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election activeCell="D57" sqref="D5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7" t="s">
        <v>686</v>
      </c>
      <c r="B3" s="2378"/>
      <c r="C3" s="2378"/>
      <c r="D3" s="237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8" t="s">
        <v>1584</v>
      </c>
      <c r="D7" s="238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0" t="s">
        <v>1065</v>
      </c>
      <c r="B15" s="2381"/>
      <c r="C15" s="2381"/>
      <c r="D15" s="2382"/>
    </row>
    <row r="16" spans="1:4" s="669" customFormat="1" ht="24" customHeight="1" x14ac:dyDescent="0.2">
      <c r="A16" s="2383" t="s">
        <v>684</v>
      </c>
      <c r="B16" s="2384"/>
      <c r="C16" s="2384"/>
      <c r="D16" s="238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2" t="s">
        <v>332</v>
      </c>
      <c r="D21" s="2393"/>
    </row>
    <row r="22" spans="1:10" ht="12.75" x14ac:dyDescent="0.2">
      <c r="A22" s="1140"/>
      <c r="B22" s="1141">
        <v>2</v>
      </c>
      <c r="C22" s="2390" t="s">
        <v>1605</v>
      </c>
      <c r="D22" s="2391"/>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4" t="s">
        <v>557</v>
      </c>
      <c r="D43" s="239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6" t="s">
        <v>817</v>
      </c>
      <c r="D56" s="238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6" t="s">
        <v>1797</v>
      </c>
      <c r="D70" s="238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ENTRY REQUIRED!</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54-002-7400-45</v>
      </c>
    </row>
    <row r="3" spans="1:2" x14ac:dyDescent="0.2">
      <c r="A3" t="s">
        <v>1013</v>
      </c>
      <c r="B3" s="138" t="str">
        <f>COVER!A15</f>
        <v>Vermilion</v>
      </c>
    </row>
    <row r="4" spans="1:2" x14ac:dyDescent="0.2">
      <c r="A4" t="s">
        <v>1064</v>
      </c>
      <c r="B4" s="138" t="str">
        <f>COVER!A17</f>
        <v>Vermilion Vocational Educational Delivery System</v>
      </c>
    </row>
    <row r="5" spans="1:2" x14ac:dyDescent="0.2">
      <c r="A5" t="s">
        <v>728</v>
      </c>
      <c r="B5" s="138" t="str">
        <f>COVER!A38</f>
        <v>Nick Chatterton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065-019320</v>
      </c>
    </row>
    <row r="16" spans="1:2" x14ac:dyDescent="0.2">
      <c r="A16" t="s">
        <v>442</v>
      </c>
      <c r="B16" s="138" t="str">
        <f>COVER!T13</f>
        <v>Daughhetee and Parks Management Consulting PC</v>
      </c>
    </row>
    <row r="17" spans="1:2" x14ac:dyDescent="0.2">
      <c r="A17" t="s">
        <v>939</v>
      </c>
      <c r="B17" s="138" t="str">
        <f>COVER!T15</f>
        <v>Phyllis Parks</v>
      </c>
    </row>
    <row r="18" spans="1:2" x14ac:dyDescent="0.2">
      <c r="A18" t="s">
        <v>1212</v>
      </c>
      <c r="B18" s="138" t="str">
        <f>COVER!T17</f>
        <v>2200 Kickapoo Drive STE A</v>
      </c>
    </row>
    <row r="19" spans="1:2" x14ac:dyDescent="0.2">
      <c r="A19" t="s">
        <v>941</v>
      </c>
      <c r="B19" s="138">
        <f>COVER!T25</f>
        <v>0</v>
      </c>
    </row>
    <row r="20" spans="1:2" x14ac:dyDescent="0.2">
      <c r="A20" t="s">
        <v>942</v>
      </c>
      <c r="B20" s="138" t="str">
        <f>COVER!T19</f>
        <v>Danville</v>
      </c>
    </row>
    <row r="21" spans="1:2" x14ac:dyDescent="0.2">
      <c r="A21" t="s">
        <v>500</v>
      </c>
      <c r="B21" s="138" t="str">
        <f>COVER!X19</f>
        <v>IL</v>
      </c>
    </row>
    <row r="22" spans="1:2" x14ac:dyDescent="0.2">
      <c r="A22" t="s">
        <v>943</v>
      </c>
      <c r="B22" s="138">
        <f>COVER!Z19</f>
        <v>61832</v>
      </c>
    </row>
    <row r="23" spans="1:2" x14ac:dyDescent="0.2">
      <c r="A23" t="s">
        <v>1214</v>
      </c>
      <c r="B23" s="138" t="str">
        <f>COVER!T21</f>
        <v>217-431-2727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210395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7209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7209</v>
      </c>
      <c r="C91" s="2" t="s">
        <v>594</v>
      </c>
      <c r="D91" s="2" t="str">
        <f t="shared" si="0"/>
        <v>Error?</v>
      </c>
    </row>
    <row r="92" spans="1:4" x14ac:dyDescent="0.2">
      <c r="A92" s="5">
        <v>31</v>
      </c>
      <c r="B92" s="138">
        <f>'Assets-Liab 5-6'!C39</f>
        <v>203186</v>
      </c>
      <c r="D92" s="2" t="str">
        <f t="shared" si="0"/>
        <v>Error?</v>
      </c>
    </row>
    <row r="93" spans="1:4" x14ac:dyDescent="0.2">
      <c r="A93" s="5">
        <v>32</v>
      </c>
      <c r="B93" s="138">
        <f>'Assets-Liab 5-6'!C41</f>
        <v>210395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149063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149063</v>
      </c>
      <c r="D123" s="2" t="str">
        <f t="shared" si="0"/>
        <v>Error?</v>
      </c>
    </row>
    <row r="124" spans="1:4" x14ac:dyDescent="0.2">
      <c r="A124" s="5">
        <v>63</v>
      </c>
      <c r="B124" s="138">
        <f>'Assets-Liab 5-6'!D41</f>
        <v>149063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25130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25130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10504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10504</v>
      </c>
      <c r="C727" s="2" t="s">
        <v>594</v>
      </c>
      <c r="D727" s="2" t="str">
        <f t="shared" si="10"/>
        <v>Error?</v>
      </c>
    </row>
    <row r="728" spans="1:4" x14ac:dyDescent="0.2">
      <c r="A728" s="5">
        <v>667</v>
      </c>
      <c r="B728" s="138">
        <f>'Expenditures 15-22'!C44</f>
        <v>148321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148321</v>
      </c>
      <c r="C731" s="2" t="s">
        <v>594</v>
      </c>
      <c r="D731" s="2" t="str">
        <f t="shared" si="10"/>
        <v>Error?</v>
      </c>
    </row>
    <row r="732" spans="1:4" x14ac:dyDescent="0.2">
      <c r="A732" s="5">
        <v>671</v>
      </c>
      <c r="B732" s="138">
        <f>'Expenditures 15-22'!C49</f>
        <v>55367</v>
      </c>
      <c r="D732" s="2" t="str">
        <f t="shared" si="10"/>
        <v>Error?</v>
      </c>
    </row>
    <row r="733" spans="1:4" x14ac:dyDescent="0.2">
      <c r="A733" s="5">
        <v>672</v>
      </c>
      <c r="B733" s="138">
        <f>'Expenditures 15-22'!C50</f>
        <v>0</v>
      </c>
      <c r="D733" s="2" t="str">
        <f t="shared" si="10"/>
        <v>Error?</v>
      </c>
    </row>
    <row r="734" spans="1:4" x14ac:dyDescent="0.2">
      <c r="A734" s="5">
        <v>673</v>
      </c>
      <c r="B734" s="138">
        <f>'Expenditures 15-22'!C53</f>
        <v>60258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219083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244213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1768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1768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2893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2893</v>
      </c>
      <c r="C785" s="2" t="s">
        <v>594</v>
      </c>
      <c r="D785" s="2" t="str">
        <f t="shared" si="11"/>
        <v>Error?</v>
      </c>
    </row>
    <row r="786" spans="1:4" x14ac:dyDescent="0.2">
      <c r="A786" s="5">
        <v>725</v>
      </c>
      <c r="B786" s="138">
        <f>'Expenditures 15-22'!D44</f>
        <v>26591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26591</v>
      </c>
      <c r="C789" s="2" t="s">
        <v>594</v>
      </c>
      <c r="D789" s="2" t="str">
        <f t="shared" si="11"/>
        <v>Error?</v>
      </c>
    </row>
    <row r="790" spans="1:4" x14ac:dyDescent="0.2">
      <c r="A790" s="5">
        <v>729</v>
      </c>
      <c r="B790" s="138">
        <f>'Expenditures 15-22'!D49</f>
        <v>10117</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11379</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40863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42631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20098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20098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26254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26254</v>
      </c>
      <c r="C843" s="2" t="s">
        <v>594</v>
      </c>
      <c r="D843" s="2" t="str">
        <f t="shared" si="12"/>
        <v>Error?</v>
      </c>
    </row>
    <row r="844" spans="1:4" x14ac:dyDescent="0.2">
      <c r="A844" s="5">
        <v>783</v>
      </c>
      <c r="B844" s="138">
        <f>'Expenditures 15-22'!E44</f>
        <v>19873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19873</v>
      </c>
      <c r="C847" s="2" t="s">
        <v>594</v>
      </c>
      <c r="D847" s="2" t="str">
        <f t="shared" si="12"/>
        <v>Error?</v>
      </c>
    </row>
    <row r="848" spans="1:4" x14ac:dyDescent="0.2">
      <c r="A848" s="5">
        <v>787</v>
      </c>
      <c r="B848" s="138">
        <f>'Expenditures 15-22'!E49</f>
        <v>1408</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1408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6350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6350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53885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89973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115477</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115477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21800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21800</v>
      </c>
      <c r="C901" s="2" t="s">
        <v>594</v>
      </c>
      <c r="D901" s="2" t="str">
        <f t="shared" si="13"/>
        <v>Error?</v>
      </c>
    </row>
    <row r="902" spans="1:4" x14ac:dyDescent="0.2">
      <c r="A902" s="5">
        <v>841</v>
      </c>
      <c r="B902" s="138">
        <f>'Expenditures 15-22'!F44</f>
        <v>859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982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23641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139118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47500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47500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245530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245530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62784</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62784</v>
      </c>
      <c r="C1115" s="2" t="s">
        <v>594</v>
      </c>
      <c r="D1115" s="2" t="str">
        <f t="shared" si="16"/>
        <v>Error?</v>
      </c>
    </row>
    <row r="1116" spans="1:4" x14ac:dyDescent="0.2">
      <c r="A1116" s="5">
        <v>1055</v>
      </c>
      <c r="B1116" s="138">
        <f>'Expenditures 15-22'!K44</f>
        <v>195644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195644</v>
      </c>
      <c r="C1119" s="2" t="s">
        <v>594</v>
      </c>
      <c r="D1119" s="2" t="str">
        <f t="shared" si="16"/>
        <v>Error?</v>
      </c>
    </row>
    <row r="1120" spans="1:4" x14ac:dyDescent="0.2">
      <c r="A1120" s="5">
        <v>1059</v>
      </c>
      <c r="B1120" s="138">
        <f>'Expenditures 15-22'!K49</f>
        <v>68767</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75902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6350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6350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340680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63490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649700</v>
      </c>
      <c r="C1152" s="2" t="s">
        <v>594</v>
      </c>
      <c r="D1152" s="2" t="str">
        <f t="shared" si="17"/>
        <v>Error?</v>
      </c>
    </row>
    <row r="1153" spans="1:4" x14ac:dyDescent="0.2">
      <c r="A1153" s="5">
        <v>1092</v>
      </c>
      <c r="B1153" s="138">
        <f>'Expenditures 15-22'!K115</f>
        <v>103534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6751</v>
      </c>
      <c r="D1237" s="2" t="str">
        <f t="shared" si="18"/>
        <v>Error?</v>
      </c>
    </row>
    <row r="1238" spans="1:4" x14ac:dyDescent="0.2">
      <c r="A1238" s="10">
        <v>1177</v>
      </c>
      <c r="D1238" s="2" t="str">
        <f t="shared" si="18"/>
        <v>OK</v>
      </c>
    </row>
    <row r="1239" spans="1:4" x14ac:dyDescent="0.2">
      <c r="A1239" s="5">
        <v>1178</v>
      </c>
      <c r="B1239" s="138">
        <f>'Expenditures 15-22'!E127</f>
        <v>6751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6751</v>
      </c>
      <c r="C1241" s="2" t="s">
        <v>594</v>
      </c>
      <c r="D1241" s="2" t="str">
        <f t="shared" si="18"/>
        <v>Error?</v>
      </c>
    </row>
    <row r="1242" spans="1:4" x14ac:dyDescent="0.2">
      <c r="A1242" s="5">
        <v>1181</v>
      </c>
      <c r="B1242" s="138">
        <f>'Expenditures 15-22'!E151</f>
        <v>6751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7148</v>
      </c>
      <c r="D1262" s="2" t="str">
        <f t="shared" si="18"/>
        <v>Error?</v>
      </c>
    </row>
    <row r="1263" spans="1:4" x14ac:dyDescent="0.2">
      <c r="A1263" s="10">
        <v>1202</v>
      </c>
      <c r="D1263" s="2" t="str">
        <f t="shared" si="18"/>
        <v>OK</v>
      </c>
    </row>
    <row r="1264" spans="1:4" x14ac:dyDescent="0.2">
      <c r="A1264" s="5">
        <v>1203</v>
      </c>
      <c r="B1264" s="138">
        <f>'Expenditures 15-22'!H127</f>
        <v>7148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7148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7148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13899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13899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13899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13899</v>
      </c>
      <c r="C1288" s="2" t="s">
        <v>594</v>
      </c>
      <c r="D1288" s="2" t="str">
        <f t="shared" si="19"/>
        <v>Error?</v>
      </c>
    </row>
    <row r="1289" spans="1:4" x14ac:dyDescent="0.2">
      <c r="A1289" s="5">
        <v>1228</v>
      </c>
      <c r="B1289" s="138">
        <f>'Expenditures 15-22'!K152</f>
        <v>-7718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99652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203186</v>
      </c>
      <c r="C1630" s="2" t="s">
        <v>594</v>
      </c>
      <c r="D1630" s="2" t="str">
        <f t="shared" si="24"/>
        <v>Error?</v>
      </c>
    </row>
    <row r="1631" spans="1:4" x14ac:dyDescent="0.2">
      <c r="A1631" s="5">
        <v>1570</v>
      </c>
      <c r="B1631" s="138">
        <f>'Acct Summary 7-8'!D79</f>
        <v>156781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149063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47500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63490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28286</v>
      </c>
      <c r="C2551" s="2" t="s">
        <v>594</v>
      </c>
      <c r="D2551" s="2" t="str">
        <f t="shared" si="38"/>
        <v>Error?</v>
      </c>
    </row>
    <row r="2552" spans="1:4" x14ac:dyDescent="0.2">
      <c r="A2552" s="10">
        <v>2491</v>
      </c>
      <c r="D2552" s="2" t="str">
        <f t="shared" si="38"/>
        <v>OK</v>
      </c>
    </row>
    <row r="2553" spans="1:4" x14ac:dyDescent="0.2">
      <c r="A2553" s="5">
        <v>2492</v>
      </c>
      <c r="B2553" s="138">
        <f>'Acct Summary 7-8'!C6</f>
        <v>531859</v>
      </c>
      <c r="C2553" s="2" t="s">
        <v>594</v>
      </c>
      <c r="D2553" s="2" t="str">
        <f t="shared" si="38"/>
        <v>Error?</v>
      </c>
    </row>
    <row r="2554" spans="1:4" x14ac:dyDescent="0.2">
      <c r="A2554" s="5">
        <v>2493</v>
      </c>
      <c r="B2554" s="138">
        <f>'Acct Summary 7-8'!C7</f>
        <v>193089</v>
      </c>
      <c r="C2554" s="2" t="s">
        <v>594</v>
      </c>
      <c r="D2554" s="2" t="str">
        <f t="shared" si="38"/>
        <v>Error?</v>
      </c>
    </row>
    <row r="2555" spans="1:4" x14ac:dyDescent="0.2">
      <c r="A2555" s="5">
        <v>2494</v>
      </c>
      <c r="B2555" s="138">
        <f>'Acct Summary 7-8'!C8</f>
        <v>753234</v>
      </c>
      <c r="C2555" s="2" t="s">
        <v>594</v>
      </c>
      <c r="D2555" s="2" t="str">
        <f t="shared" si="38"/>
        <v>Error?</v>
      </c>
    </row>
    <row r="2556" spans="1:4" x14ac:dyDescent="0.2">
      <c r="A2556" s="5">
        <v>2495</v>
      </c>
      <c r="B2556" s="138">
        <f>'Acct Summary 7-8'!C12</f>
        <v>245530</v>
      </c>
      <c r="C2556" s="2" t="s">
        <v>594</v>
      </c>
      <c r="D2556" s="2" t="str">
        <f t="shared" si="38"/>
        <v>Error?</v>
      </c>
    </row>
    <row r="2557" spans="1:4" x14ac:dyDescent="0.2">
      <c r="A2557" s="5">
        <v>2496</v>
      </c>
      <c r="B2557" s="138">
        <f>'Acct Summary 7-8'!C13</f>
        <v>340680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63490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649700</v>
      </c>
      <c r="C2561" s="2" t="s">
        <v>594</v>
      </c>
      <c r="D2561" s="2" t="str">
        <f t="shared" si="39"/>
        <v>Error?</v>
      </c>
    </row>
    <row r="2562" spans="1:4" x14ac:dyDescent="0.2">
      <c r="A2562" s="5">
        <v>2501</v>
      </c>
      <c r="B2562" s="138">
        <f>'Acct Summary 7-8'!C20</f>
        <v>103534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6181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6181</v>
      </c>
      <c r="C2568" s="2" t="s">
        <v>594</v>
      </c>
      <c r="D2568" s="2" t="str">
        <f t="shared" si="39"/>
        <v>Error?</v>
      </c>
    </row>
    <row r="2569" spans="1:4" x14ac:dyDescent="0.2">
      <c r="A2569" s="5">
        <v>2508</v>
      </c>
      <c r="B2569" s="138">
        <f>'Acct Summary 7-8'!D13</f>
        <v>13899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13899</v>
      </c>
      <c r="C2573" s="2" t="s">
        <v>594</v>
      </c>
      <c r="D2573" s="2" t="str">
        <f t="shared" si="39"/>
        <v>Error?</v>
      </c>
    </row>
    <row r="2574" spans="1:4" x14ac:dyDescent="0.2">
      <c r="A2574" s="5">
        <v>2513</v>
      </c>
      <c r="B2574" s="138">
        <f>'Acct Summary 7-8'!D20</f>
        <v>-7718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4891</v>
      </c>
      <c r="D2718" s="2" t="str">
        <f t="shared" si="41"/>
        <v>Error?</v>
      </c>
    </row>
    <row r="2719" spans="1:4" x14ac:dyDescent="0.2">
      <c r="A2719" s="5">
        <v>2658</v>
      </c>
      <c r="B2719" s="138">
        <f>'Expenditures 15-22'!D51</f>
        <v>1262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982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7135</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15990</v>
      </c>
      <c r="C2789" s="2" t="s">
        <v>594</v>
      </c>
      <c r="D2789" s="2" t="str">
        <f t="shared" si="42"/>
        <v>Error?</v>
      </c>
    </row>
    <row r="2790" spans="1:4" x14ac:dyDescent="0.2">
      <c r="A2790" s="5">
        <v>2729</v>
      </c>
      <c r="B2790" s="138">
        <f>'Expenditures 15-22'!E102</f>
        <v>15990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15990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47500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63490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103534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-7718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210395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149063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13129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766363</v>
      </c>
      <c r="C4122" s="2" t="s">
        <v>594</v>
      </c>
      <c r="D4122" s="2" t="str">
        <f t="shared" si="63"/>
        <v>Error?</v>
      </c>
    </row>
    <row r="4123" spans="1:4" x14ac:dyDescent="0.2">
      <c r="A4123" s="5">
        <v>4062</v>
      </c>
      <c r="B4123" s="138">
        <f>'Acct Summary 7-8'!D10</f>
        <v>6181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13129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662829</v>
      </c>
      <c r="C4136" s="2" t="s">
        <v>594</v>
      </c>
      <c r="D4136" s="2" t="str">
        <f t="shared" si="63"/>
        <v>Error?</v>
      </c>
    </row>
    <row r="4137" spans="1:4" x14ac:dyDescent="0.2">
      <c r="A4137" s="5">
        <v>4076</v>
      </c>
      <c r="B4137" s="138">
        <f>'Acct Summary 7-8'!D19</f>
        <v>13899</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352249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193089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19238</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19238</v>
      </c>
      <c r="C5087" s="2" t="s">
        <v>594</v>
      </c>
      <c r="D5087" s="2" t="str">
        <f t="shared" si="78"/>
        <v>Error?</v>
      </c>
    </row>
    <row r="5088" spans="1:4" x14ac:dyDescent="0.2">
      <c r="A5088" s="5">
        <v>5027</v>
      </c>
      <c r="B5088" s="138">
        <f>'Revenues 9-14'!C65</f>
        <v>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9000</v>
      </c>
      <c r="D5119" s="2" t="str">
        <f t="shared" ref="D5119:D5182" si="79">IF(ISBLANK(B5119),"OK",IF(A5119-B5119=0,"OK","Error?"))</f>
        <v>Error?</v>
      </c>
    </row>
    <row r="5120" spans="1:4" x14ac:dyDescent="0.2">
      <c r="A5120" s="5">
        <v>5059</v>
      </c>
      <c r="B5120" s="138">
        <f>'Revenues 9-14'!C108</f>
        <v>9000</v>
      </c>
      <c r="C5120" s="2" t="s">
        <v>594</v>
      </c>
      <c r="D5120" s="2" t="str">
        <f t="shared" si="79"/>
        <v>Error?</v>
      </c>
    </row>
    <row r="5121" spans="1:4" x14ac:dyDescent="0.2">
      <c r="A5121" s="5">
        <v>5060</v>
      </c>
      <c r="B5121" s="138">
        <f>'Revenues 9-14'!C109</f>
        <v>28286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531859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531859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531859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531859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193089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193089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193089</v>
      </c>
      <c r="C5326" s="2" t="s">
        <v>594</v>
      </c>
      <c r="D5326" s="2" t="str">
        <f t="shared" si="82"/>
        <v>Error?</v>
      </c>
    </row>
    <row r="5327" spans="1:4" x14ac:dyDescent="0.2">
      <c r="A5327" s="5">
        <v>5266</v>
      </c>
      <c r="B5327" s="138">
        <f>'Revenues 9-14'!C275</f>
        <v>753234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6152</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6152</v>
      </c>
      <c r="C5355" s="2" t="s">
        <v>594</v>
      </c>
      <c r="D5355" s="2" t="str">
        <f t="shared" si="82"/>
        <v>Error?</v>
      </c>
    </row>
    <row r="5356" spans="1:4" x14ac:dyDescent="0.2">
      <c r="A5356" s="5">
        <v>5295</v>
      </c>
      <c r="B5356" s="138">
        <f>'Revenues 9-14'!D109</f>
        <v>6181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6181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103534</v>
      </c>
      <c r="D6267" s="2" t="str">
        <f t="shared" si="96"/>
        <v>Error?</v>
      </c>
      <c r="E6267" s="2" t="s">
        <v>199</v>
      </c>
    </row>
    <row r="6268" spans="1:5" x14ac:dyDescent="0.2">
      <c r="A6268">
        <v>6207</v>
      </c>
      <c r="B6268" s="138">
        <f>'Acct Summary 7-8'!D82</f>
        <v>-7718</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0.5095528235213056</v>
      </c>
      <c r="D6276" s="2" t="str">
        <f t="shared" si="97"/>
        <v>Error?</v>
      </c>
      <c r="E6276" s="2" t="s">
        <v>199</v>
      </c>
    </row>
    <row r="6277" spans="1:5" x14ac:dyDescent="0.2">
      <c r="A6277">
        <v>6216</v>
      </c>
      <c r="B6277" s="138">
        <f>'Acct Summary 7-8'!D83</f>
        <v>-5.1776765528669083E-2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83057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83057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1333</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1333</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1875</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1875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3208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86265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86265</v>
      </c>
      <c r="D7624" s="2" t="str">
        <f t="shared" si="124"/>
        <v>Error?</v>
      </c>
      <c r="E7624" s="2" t="s">
        <v>19</v>
      </c>
    </row>
    <row r="7625" spans="1:5" x14ac:dyDescent="0.2">
      <c r="A7625">
        <f t="shared" si="123"/>
        <v>7564</v>
      </c>
      <c r="B7625" s="138">
        <f>'Cap Outlay Deprec 26'!I17</f>
        <v>8626.5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8626.5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9" t="str">
        <f>COVER!A17</f>
        <v>Vermilion Vocational Educational Delivery System</v>
      </c>
      <c r="B7" s="2400"/>
      <c r="C7" s="2400"/>
      <c r="D7" s="2437"/>
      <c r="E7" s="2438" t="str">
        <f>COVER!A13</f>
        <v>54-002-7400-45</v>
      </c>
      <c r="F7" s="2439"/>
      <c r="G7" s="2406" t="str">
        <f>COVER!T23</f>
        <v>065-019320</v>
      </c>
      <c r="H7" s="2407"/>
      <c r="I7" s="2407"/>
      <c r="J7" s="2407"/>
      <c r="K7" s="2407"/>
      <c r="L7" s="240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9"/>
      <c r="B9" s="2410"/>
      <c r="C9" s="2410"/>
      <c r="D9" s="2410"/>
      <c r="E9" s="2410"/>
      <c r="F9" s="2411"/>
      <c r="G9" s="2412" t="str">
        <f>COVER!T13</f>
        <v>Daughhetee and Parks Management Consulting PC</v>
      </c>
      <c r="H9" s="2413"/>
      <c r="I9" s="2413"/>
      <c r="J9" s="2413"/>
      <c r="K9" s="2413"/>
      <c r="L9" s="2414"/>
    </row>
    <row r="10" spans="1:29" ht="13.5" customHeight="1" x14ac:dyDescent="0.2">
      <c r="A10" s="2396" t="str">
        <f>COVER!A38</f>
        <v>Nick Chatterton</v>
      </c>
      <c r="B10" s="2397"/>
      <c r="C10" s="2397"/>
      <c r="D10" s="2397"/>
      <c r="E10" s="2397"/>
      <c r="F10" s="2398"/>
      <c r="G10" s="2412" t="str">
        <f>COVER!T17</f>
        <v>2200 Kickapoo Drive STE A</v>
      </c>
      <c r="H10" s="2425"/>
      <c r="I10" s="2425"/>
      <c r="J10" s="2425"/>
      <c r="K10" s="2425"/>
      <c r="L10" s="2426"/>
    </row>
    <row r="11" spans="1:29" ht="13.5" customHeight="1" x14ac:dyDescent="0.2">
      <c r="A11" s="1185" t="s">
        <v>1599</v>
      </c>
      <c r="B11" s="1186"/>
      <c r="C11" s="1187"/>
      <c r="D11" s="1192"/>
      <c r="E11" s="1187"/>
      <c r="F11" s="1191"/>
      <c r="G11" s="2412" t="str">
        <f>COVER!T19</f>
        <v>Danville</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f>COVER!T25</f>
        <v>0</v>
      </c>
      <c r="J13" s="2434"/>
      <c r="K13" s="2434"/>
      <c r="L13" s="2435"/>
    </row>
    <row r="14" spans="1:29" ht="13.5" customHeight="1" x14ac:dyDescent="0.2">
      <c r="A14" s="2412" t="str">
        <f>COVER!A19</f>
        <v>2000 East Main St. Lincoln Hall Room 110</v>
      </c>
      <c r="B14" s="2425"/>
      <c r="C14" s="2425"/>
      <c r="D14" s="2425"/>
      <c r="E14" s="2425"/>
      <c r="F14" s="2426"/>
      <c r="G14" s="1196" t="s">
        <v>1247</v>
      </c>
      <c r="H14" s="1194"/>
      <c r="I14" s="1194"/>
      <c r="J14" s="1194"/>
      <c r="K14" s="1194"/>
      <c r="L14" s="1195"/>
    </row>
    <row r="15" spans="1:29" ht="13.5" customHeight="1" x14ac:dyDescent="0.2">
      <c r="A15" s="2412" t="str">
        <f>COVER!A21</f>
        <v>Danville</v>
      </c>
      <c r="B15" s="2425"/>
      <c r="C15" s="2425"/>
      <c r="D15" s="2425"/>
      <c r="E15" s="2425"/>
      <c r="F15" s="2426"/>
      <c r="G15" s="2422" t="str">
        <f>COVER!T15</f>
        <v>Phyllis Parks</v>
      </c>
      <c r="H15" s="2423"/>
      <c r="I15" s="2423"/>
      <c r="J15" s="2423"/>
      <c r="K15" s="2423"/>
      <c r="L15" s="2424"/>
    </row>
    <row r="16" spans="1:29" ht="12.2" customHeight="1" x14ac:dyDescent="0.2">
      <c r="A16" s="2402">
        <f>COVER!A25</f>
        <v>61862</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96" t="s">
        <v>1246</v>
      </c>
      <c r="H17" s="1194"/>
      <c r="I17" s="1194"/>
      <c r="J17" s="1194"/>
      <c r="K17" s="1198" t="s">
        <v>1245</v>
      </c>
      <c r="L17" s="1191"/>
      <c r="M17" s="1184"/>
    </row>
    <row r="18" spans="1:13" ht="12.2" customHeight="1" x14ac:dyDescent="0.2">
      <c r="A18" s="2396"/>
      <c r="B18" s="2397"/>
      <c r="C18" s="2397"/>
      <c r="D18" s="2397"/>
      <c r="E18" s="2397"/>
      <c r="F18" s="2398"/>
      <c r="G18" s="2399" t="str">
        <f>COVER!T21</f>
        <v>217-431-2727</v>
      </c>
      <c r="H18" s="2400"/>
      <c r="I18" s="2400"/>
      <c r="J18" s="2400"/>
      <c r="K18" s="2399" t="str">
        <f>COVER!X21</f>
        <v>217-431-3273</v>
      </c>
      <c r="L18" s="240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0" t="str">
        <f>'Single Audit Cover'!A7</f>
        <v>Vermilion Vocational Educational Delivery System</v>
      </c>
      <c r="B1" s="2436"/>
      <c r="C1" s="2436"/>
      <c r="D1" s="2436"/>
    </row>
    <row r="2" spans="1:11" s="1215" customFormat="1" ht="12.75" x14ac:dyDescent="0.2">
      <c r="A2" s="2441" t="str">
        <f>'Single Audit Cover'!E7</f>
        <v>54-002-7400-45</v>
      </c>
      <c r="B2" s="2442"/>
      <c r="C2" s="2442"/>
      <c r="D2" s="2442"/>
    </row>
    <row r="3" spans="1:11" s="1215" customFormat="1" ht="12.75" x14ac:dyDescent="0.2">
      <c r="A3" s="2440" t="s">
        <v>1593</v>
      </c>
      <c r="B3" s="2436"/>
      <c r="C3" s="2436"/>
      <c r="D3" s="243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4" t="str">
        <f>'Single Audit Cover'!A7</f>
        <v>Vermilion Vocational Educational Delivery System</v>
      </c>
      <c r="B1" s="2444"/>
      <c r="C1" s="2444"/>
      <c r="D1" s="2444"/>
      <c r="E1" s="2444"/>
    </row>
    <row r="2" spans="1:5" x14ac:dyDescent="0.2">
      <c r="A2" s="2445" t="str">
        <f>'Single Audit Cover'!E7</f>
        <v>54-002-7400-45</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60" t="s">
        <v>1305</v>
      </c>
    </row>
    <row r="10" spans="1:5" x14ac:dyDescent="0.2">
      <c r="A10" s="1261" t="s">
        <v>1304</v>
      </c>
      <c r="B10" s="1262" t="s">
        <v>1303</v>
      </c>
      <c r="C10" s="1262"/>
      <c r="D10" s="1263">
        <f>SUM('Acct Summary 7-8'!C7:K7)</f>
        <v>193089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193089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6"/>
      <c r="B24" s="2446"/>
      <c r="D24" s="1268"/>
    </row>
    <row r="25" spans="1:4" x14ac:dyDescent="0.2">
      <c r="A25" s="2443"/>
      <c r="B25" s="2443"/>
      <c r="D25" s="1268"/>
    </row>
    <row r="26" spans="1:4" x14ac:dyDescent="0.2">
      <c r="A26" s="2443"/>
      <c r="B26" s="2443"/>
      <c r="D26" s="1268"/>
    </row>
    <row r="27" spans="1:4" x14ac:dyDescent="0.2">
      <c r="A27" s="2443"/>
      <c r="B27" s="2443"/>
      <c r="D27" s="1268"/>
    </row>
    <row r="28" spans="1:4" x14ac:dyDescent="0.2">
      <c r="A28" s="2443"/>
      <c r="B28" s="2443"/>
      <c r="D28" s="1268"/>
    </row>
    <row r="29" spans="1:4" x14ac:dyDescent="0.2">
      <c r="A29" s="2443"/>
      <c r="B29" s="2443"/>
      <c r="D29" s="1268"/>
    </row>
    <row r="30" spans="1:4" x14ac:dyDescent="0.2">
      <c r="A30" s="2443"/>
      <c r="B30" s="2443"/>
      <c r="D30" s="1268"/>
    </row>
    <row r="32" spans="1:4" x14ac:dyDescent="0.2">
      <c r="A32" s="1260" t="s">
        <v>1295</v>
      </c>
      <c r="D32" s="1263">
        <f>SUM(D19:D30)</f>
        <v>193089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3"/>
      <c r="B40" s="2443"/>
      <c r="D40" s="1268"/>
    </row>
    <row r="41" spans="1:4" x14ac:dyDescent="0.2">
      <c r="A41" s="2443"/>
      <c r="B41" s="2443"/>
      <c r="D41" s="1271"/>
    </row>
    <row r="42" spans="1:4" x14ac:dyDescent="0.2">
      <c r="A42" s="2443"/>
      <c r="B42" s="2443"/>
      <c r="D42" s="1271"/>
    </row>
    <row r="43" spans="1:4" x14ac:dyDescent="0.2">
      <c r="A43" s="2443"/>
      <c r="B43" s="2443"/>
      <c r="D43" s="1271"/>
    </row>
    <row r="44" spans="1:4" x14ac:dyDescent="0.2">
      <c r="A44" s="2443"/>
      <c r="B44" s="2443"/>
      <c r="D44" s="1271"/>
    </row>
    <row r="45" spans="1:4" x14ac:dyDescent="0.2">
      <c r="A45" s="2443"/>
      <c r="B45" s="2443"/>
      <c r="D45" s="1271"/>
    </row>
    <row r="47" spans="1:4" x14ac:dyDescent="0.2">
      <c r="B47" s="1272" t="s">
        <v>1289</v>
      </c>
      <c r="C47" s="1272"/>
      <c r="D47" s="1273">
        <f>SUM(D35:D45)</f>
        <v>0</v>
      </c>
    </row>
    <row r="49" spans="2:4" x14ac:dyDescent="0.2">
      <c r="B49" s="1272" t="s">
        <v>1288</v>
      </c>
      <c r="C49" s="1272"/>
      <c r="D49" s="1273">
        <f>D32-D47</f>
        <v>193089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Vermilion Vocational Educational Delivery System</v>
      </c>
      <c r="B1" s="2449"/>
      <c r="C1" s="2449"/>
      <c r="D1" s="2449"/>
      <c r="E1" s="2449"/>
      <c r="F1" s="2449"/>
    </row>
    <row r="2" spans="1:7" ht="13.5" customHeight="1" x14ac:dyDescent="0.2">
      <c r="A2" s="2450" t="str">
        <f>'Single Audit Cover'!E7</f>
        <v>54-002-7400-45</v>
      </c>
      <c r="B2" s="2450"/>
      <c r="C2" s="2450"/>
      <c r="D2" s="2450"/>
      <c r="E2" s="2450"/>
      <c r="F2" s="2450"/>
      <c r="G2" s="1275"/>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7"/>
      <c r="D5" s="317"/>
    </row>
    <row r="6" spans="1:7" ht="13.5" customHeight="1" x14ac:dyDescent="0.2">
      <c r="A6" s="1276" t="s">
        <v>1831</v>
      </c>
      <c r="C6" s="317"/>
      <c r="D6" s="317"/>
    </row>
    <row r="7" spans="1:7" ht="60.95" customHeight="1" x14ac:dyDescent="0.2">
      <c r="A7" s="2448" t="s">
        <v>1832</v>
      </c>
      <c r="B7" s="2448"/>
      <c r="C7" s="2448"/>
      <c r="D7" s="2448"/>
      <c r="E7" s="2448"/>
      <c r="F7" s="244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48" t="s">
        <v>1834</v>
      </c>
      <c r="B13" s="2448"/>
      <c r="C13" s="2448"/>
      <c r="D13" s="2448"/>
      <c r="E13" s="2448"/>
      <c r="F13" s="2448"/>
    </row>
    <row r="14" spans="1:7" ht="9.75" customHeight="1" x14ac:dyDescent="0.2">
      <c r="C14" s="1260"/>
      <c r="D14" s="1260"/>
    </row>
    <row r="15" spans="1:7" ht="13.5" customHeight="1" x14ac:dyDescent="0.2">
      <c r="C15" s="1871" t="s">
        <v>1332</v>
      </c>
      <c r="D15" s="2454" t="s">
        <v>1331</v>
      </c>
      <c r="E15" s="2454"/>
      <c r="F15" s="2454"/>
    </row>
    <row r="16" spans="1:7" ht="13.5" customHeight="1" x14ac:dyDescent="0.2">
      <c r="A16" s="1282"/>
      <c r="B16" s="1276" t="s">
        <v>1330</v>
      </c>
      <c r="C16" s="1871" t="s">
        <v>1329</v>
      </c>
      <c r="D16" s="2455" t="s">
        <v>1670</v>
      </c>
      <c r="E16" s="2455"/>
      <c r="F16" s="2455"/>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1835</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5" t="str">
        <f>'Single Audit Cover'!A7</f>
        <v>Vermilion Vocational Educational Delivery System</v>
      </c>
      <c r="C1" s="2461"/>
      <c r="D1" s="2461"/>
      <c r="E1" s="2461"/>
      <c r="F1" s="2461"/>
      <c r="G1" s="2461"/>
      <c r="H1" s="2461"/>
      <c r="I1" s="2461"/>
      <c r="J1" s="2461"/>
      <c r="K1" s="2461"/>
      <c r="L1" s="2461"/>
      <c r="M1" s="2461"/>
    </row>
    <row r="2" spans="2:14" ht="15" x14ac:dyDescent="0.2">
      <c r="B2" s="2450" t="str">
        <f>'Single Audit Cover'!E7</f>
        <v>54-002-7400-45</v>
      </c>
      <c r="C2" s="2450"/>
      <c r="D2" s="2450"/>
      <c r="E2" s="2450"/>
      <c r="F2" s="2450"/>
      <c r="G2" s="2450"/>
      <c r="H2" s="2450"/>
      <c r="I2" s="2450"/>
      <c r="J2" s="2450"/>
      <c r="K2" s="2450"/>
      <c r="L2" s="2450"/>
      <c r="M2" s="2450"/>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9" t="s">
        <v>1230</v>
      </c>
      <c r="B2" s="2069"/>
      <c r="C2" s="2069"/>
      <c r="D2" s="2069"/>
      <c r="E2" s="2069"/>
      <c r="F2" s="2069"/>
      <c r="G2" s="2069"/>
      <c r="H2" s="2069"/>
      <c r="I2" s="2069"/>
      <c r="J2" s="206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3" t="s">
        <v>1731</v>
      </c>
      <c r="B35" s="2084"/>
      <c r="C35" s="2084"/>
      <c r="D35" s="2084"/>
      <c r="E35" s="2085"/>
      <c r="F35" s="2085"/>
      <c r="G35" s="2085"/>
      <c r="H35" s="2085"/>
      <c r="I35" s="208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3" t="s">
        <v>331</v>
      </c>
      <c r="B47" s="2086"/>
      <c r="C47" s="2086"/>
      <c r="D47" s="2086"/>
      <c r="E47" s="2087"/>
      <c r="F47" s="2087"/>
      <c r="G47" s="2087"/>
      <c r="H47" s="2087"/>
      <c r="I47" s="208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0"/>
      <c r="C57" s="2091"/>
      <c r="D57" s="2091"/>
      <c r="E57" s="2091"/>
      <c r="F57" s="2091"/>
      <c r="G57" s="2091"/>
      <c r="H57" s="2091"/>
      <c r="I57" s="2091"/>
      <c r="J57" s="2092"/>
    </row>
    <row r="58" spans="1:10" s="181" customFormat="1" x14ac:dyDescent="0.2">
      <c r="A58" s="253"/>
      <c r="B58" s="2093"/>
      <c r="C58" s="2094"/>
      <c r="D58" s="2094"/>
      <c r="E58" s="2094"/>
      <c r="F58" s="2094"/>
      <c r="G58" s="2094"/>
      <c r="H58" s="2094"/>
      <c r="I58" s="2094"/>
      <c r="J58" s="2095"/>
    </row>
    <row r="59" spans="1:10" s="181" customFormat="1" x14ac:dyDescent="0.2">
      <c r="A59" s="253"/>
      <c r="B59" s="2093"/>
      <c r="C59" s="2094"/>
      <c r="D59" s="2094"/>
      <c r="E59" s="2094"/>
      <c r="F59" s="2094"/>
      <c r="G59" s="2094"/>
      <c r="H59" s="2094"/>
      <c r="I59" s="2094"/>
      <c r="J59" s="2095"/>
    </row>
    <row r="60" spans="1:10" s="181" customFormat="1" x14ac:dyDescent="0.2">
      <c r="A60" s="253"/>
      <c r="B60" s="2093"/>
      <c r="C60" s="2094"/>
      <c r="D60" s="2094"/>
      <c r="E60" s="2094"/>
      <c r="F60" s="2094"/>
      <c r="G60" s="2094"/>
      <c r="H60" s="2094"/>
      <c r="I60" s="2094"/>
      <c r="J60" s="2095"/>
    </row>
    <row r="61" spans="1:10" s="181" customFormat="1" x14ac:dyDescent="0.2">
      <c r="A61" s="253"/>
      <c r="B61" s="2093"/>
      <c r="C61" s="2094"/>
      <c r="D61" s="2094"/>
      <c r="E61" s="2094"/>
      <c r="F61" s="2094"/>
      <c r="G61" s="2094"/>
      <c r="H61" s="2094"/>
      <c r="I61" s="2094"/>
      <c r="J61" s="2095"/>
    </row>
    <row r="62" spans="1:10" s="181" customFormat="1" x14ac:dyDescent="0.2">
      <c r="A62" s="253"/>
      <c r="B62" s="2093"/>
      <c r="C62" s="2094"/>
      <c r="D62" s="2094"/>
      <c r="E62" s="2094"/>
      <c r="F62" s="2094"/>
      <c r="G62" s="2094"/>
      <c r="H62" s="2094"/>
      <c r="I62" s="2094"/>
      <c r="J62" s="2095"/>
    </row>
    <row r="63" spans="1:10" s="181" customFormat="1" x14ac:dyDescent="0.2">
      <c r="A63" s="253"/>
      <c r="B63" s="2093"/>
      <c r="C63" s="2094"/>
      <c r="D63" s="2094"/>
      <c r="E63" s="2094"/>
      <c r="F63" s="2094"/>
      <c r="G63" s="2094"/>
      <c r="H63" s="2094"/>
      <c r="I63" s="2094"/>
      <c r="J63" s="2095"/>
    </row>
    <row r="64" spans="1:10" s="181" customFormat="1" x14ac:dyDescent="0.2">
      <c r="A64" s="253"/>
      <c r="B64" s="2093"/>
      <c r="C64" s="2094"/>
      <c r="D64" s="2094"/>
      <c r="E64" s="2094"/>
      <c r="F64" s="2094"/>
      <c r="G64" s="2094"/>
      <c r="H64" s="2094"/>
      <c r="I64" s="2094"/>
      <c r="J64" s="2095"/>
    </row>
    <row r="65" spans="1:10" s="181" customFormat="1" x14ac:dyDescent="0.2">
      <c r="A65" s="253"/>
      <c r="B65" s="2093"/>
      <c r="C65" s="2094"/>
      <c r="D65" s="2094"/>
      <c r="E65" s="2094"/>
      <c r="F65" s="2094"/>
      <c r="G65" s="2094"/>
      <c r="H65" s="2094"/>
      <c r="I65" s="2094"/>
      <c r="J65" s="2095"/>
    </row>
    <row r="66" spans="1:10" s="181" customFormat="1" x14ac:dyDescent="0.2">
      <c r="A66" s="253"/>
      <c r="B66" s="2093"/>
      <c r="C66" s="2094"/>
      <c r="D66" s="2094"/>
      <c r="E66" s="2094"/>
      <c r="F66" s="2094"/>
      <c r="G66" s="2094"/>
      <c r="H66" s="2094"/>
      <c r="I66" s="2094"/>
      <c r="J66" s="2095"/>
    </row>
    <row r="67" spans="1:10" s="181" customFormat="1" ht="9" customHeight="1" x14ac:dyDescent="0.2">
      <c r="A67" s="254"/>
      <c r="B67" s="2096"/>
      <c r="C67" s="2097"/>
      <c r="D67" s="2097"/>
      <c r="E67" s="2097"/>
      <c r="F67" s="2097"/>
      <c r="G67" s="2097"/>
      <c r="H67" s="2097"/>
      <c r="I67" s="2097"/>
      <c r="J67" s="209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3" t="s">
        <v>1390</v>
      </c>
      <c r="B70" s="2086"/>
      <c r="C70" s="2086"/>
      <c r="D70" s="2086"/>
      <c r="E70" s="2087"/>
      <c r="F70" s="2087"/>
      <c r="G70" s="2087"/>
      <c r="H70" s="2087"/>
      <c r="I70" s="208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8" t="s">
        <v>1387</v>
      </c>
      <c r="B83" s="2088"/>
      <c r="C83" s="2088"/>
      <c r="D83" s="208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0"/>
      <c r="C102" s="2071"/>
      <c r="D102" s="2071"/>
      <c r="E102" s="2071"/>
      <c r="F102" s="2071"/>
      <c r="G102" s="2071"/>
      <c r="H102" s="2071"/>
      <c r="I102" s="2072"/>
    </row>
    <row r="103" spans="1:9" s="181" customFormat="1" ht="11.25" customHeight="1" x14ac:dyDescent="0.2">
      <c r="A103" s="316"/>
      <c r="B103" s="2073"/>
      <c r="C103" s="2074"/>
      <c r="D103" s="2074"/>
      <c r="E103" s="2074"/>
      <c r="F103" s="2074"/>
      <c r="G103" s="2074"/>
      <c r="H103" s="2074"/>
      <c r="I103" s="2075"/>
    </row>
    <row r="104" spans="1:9" s="181" customFormat="1" ht="11.25" customHeight="1" x14ac:dyDescent="0.2">
      <c r="A104" s="316"/>
      <c r="B104" s="2073"/>
      <c r="C104" s="2074"/>
      <c r="D104" s="2074"/>
      <c r="E104" s="2074"/>
      <c r="F104" s="2074"/>
      <c r="G104" s="2074"/>
      <c r="H104" s="2074"/>
      <c r="I104" s="2075"/>
    </row>
    <row r="105" spans="1:9" s="181" customFormat="1" x14ac:dyDescent="0.2">
      <c r="A105" s="316"/>
      <c r="B105" s="2073"/>
      <c r="C105" s="2074"/>
      <c r="D105" s="2074"/>
      <c r="E105" s="2074"/>
      <c r="F105" s="2074"/>
      <c r="G105" s="2074"/>
      <c r="H105" s="2074"/>
      <c r="I105" s="2075"/>
    </row>
    <row r="106" spans="1:9" s="181" customFormat="1" ht="11.25" customHeight="1" x14ac:dyDescent="0.2">
      <c r="A106" s="316"/>
      <c r="B106" s="2073"/>
      <c r="C106" s="2074"/>
      <c r="D106" s="2074"/>
      <c r="E106" s="2074"/>
      <c r="F106" s="2074"/>
      <c r="G106" s="2074"/>
      <c r="H106" s="2074"/>
      <c r="I106" s="2075"/>
    </row>
    <row r="107" spans="1:9" s="181" customFormat="1" ht="11.25" customHeight="1" x14ac:dyDescent="0.2">
      <c r="A107" s="316"/>
      <c r="B107" s="2073"/>
      <c r="C107" s="2074"/>
      <c r="D107" s="2074"/>
      <c r="E107" s="2074"/>
      <c r="F107" s="2074"/>
      <c r="G107" s="2074"/>
      <c r="H107" s="2074"/>
      <c r="I107" s="2075"/>
    </row>
    <row r="108" spans="1:9" s="181" customFormat="1" ht="11.25" customHeight="1" x14ac:dyDescent="0.2">
      <c r="A108" s="316"/>
      <c r="B108" s="2073"/>
      <c r="C108" s="2074"/>
      <c r="D108" s="2074"/>
      <c r="E108" s="2074"/>
      <c r="F108" s="2074"/>
      <c r="G108" s="2074"/>
      <c r="H108" s="2074"/>
      <c r="I108" s="2075"/>
    </row>
    <row r="109" spans="1:9" s="181" customFormat="1" ht="11.25" customHeight="1" x14ac:dyDescent="0.2">
      <c r="A109" s="316"/>
      <c r="B109" s="2073"/>
      <c r="C109" s="2074"/>
      <c r="D109" s="2074"/>
      <c r="E109" s="2074"/>
      <c r="F109" s="2074"/>
      <c r="G109" s="2074"/>
      <c r="H109" s="2074"/>
      <c r="I109" s="2075"/>
    </row>
    <row r="110" spans="1:9" s="181" customFormat="1" ht="11.25" customHeight="1" x14ac:dyDescent="0.2">
      <c r="A110" s="316"/>
      <c r="B110" s="2073"/>
      <c r="C110" s="2074"/>
      <c r="D110" s="2074"/>
      <c r="E110" s="2074"/>
      <c r="F110" s="2074"/>
      <c r="G110" s="2074"/>
      <c r="H110" s="2074"/>
      <c r="I110" s="2075"/>
    </row>
    <row r="111" spans="1:9" s="181" customFormat="1" ht="11.25" customHeight="1" x14ac:dyDescent="0.2">
      <c r="A111" s="316"/>
      <c r="B111" s="2073"/>
      <c r="C111" s="2074"/>
      <c r="D111" s="2074"/>
      <c r="E111" s="2074"/>
      <c r="F111" s="2074"/>
      <c r="G111" s="2074"/>
      <c r="H111" s="2074"/>
      <c r="I111" s="2075"/>
    </row>
    <row r="112" spans="1:9" s="181" customFormat="1" ht="11.25" customHeight="1" x14ac:dyDescent="0.2">
      <c r="A112" s="316"/>
      <c r="B112" s="2076"/>
      <c r="C112" s="2077"/>
      <c r="D112" s="2077"/>
      <c r="E112" s="2077"/>
      <c r="F112" s="2077"/>
      <c r="G112" s="2077"/>
      <c r="H112" s="2077"/>
      <c r="I112" s="207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9" t="s">
        <v>2093</v>
      </c>
      <c r="D114" s="207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0" t="s">
        <v>1397</v>
      </c>
      <c r="D117" s="2081"/>
      <c r="E117" s="2082"/>
      <c r="F117" s="2082"/>
      <c r="G117" s="2082"/>
      <c r="H117" s="208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Vermilion Vocational Educational Delivery System</v>
      </c>
      <c r="C1" s="2469"/>
      <c r="D1" s="2469"/>
      <c r="E1" s="2469"/>
      <c r="F1" s="2469"/>
      <c r="G1" s="2469"/>
      <c r="H1" s="2469"/>
      <c r="I1" s="2469"/>
      <c r="J1" s="1422"/>
    </row>
    <row r="2" spans="2:10" s="317" customFormat="1" ht="12.75" customHeight="1" x14ac:dyDescent="0.2">
      <c r="B2" s="2470" t="str">
        <f>'Single Audit Cover'!E7</f>
        <v>54-002-7400-45</v>
      </c>
      <c r="C2" s="2471"/>
      <c r="D2" s="2471"/>
      <c r="E2" s="2471"/>
      <c r="F2" s="2471"/>
      <c r="G2" s="2471"/>
      <c r="H2" s="2471"/>
      <c r="I2" s="2471"/>
      <c r="J2" s="1422"/>
    </row>
    <row r="3" spans="2:10" s="317" customFormat="1" ht="12.75" customHeight="1" x14ac:dyDescent="0.2">
      <c r="B3" s="2472" t="s">
        <v>1347</v>
      </c>
      <c r="C3" s="2473"/>
      <c r="D3" s="2473"/>
      <c r="E3" s="2473"/>
      <c r="F3" s="2473"/>
      <c r="G3" s="2473"/>
      <c r="H3" s="2473"/>
      <c r="I3" s="2473"/>
      <c r="J3" s="1423"/>
    </row>
    <row r="4" spans="2:10" s="317" customFormat="1" ht="12.75" customHeight="1" x14ac:dyDescent="0.2">
      <c r="B4" s="2472" t="str">
        <f>'Single Audit Cover'!A4</f>
        <v>Year Ending June 30, 2018</v>
      </c>
      <c r="C4" s="2473"/>
      <c r="D4" s="2473"/>
      <c r="E4" s="2473"/>
      <c r="F4" s="2473"/>
      <c r="G4" s="2473"/>
      <c r="H4" s="2473"/>
      <c r="I4" s="247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2" t="s">
        <v>1346</v>
      </c>
      <c r="C7" s="2473"/>
      <c r="D7" s="2473"/>
      <c r="E7" s="2473"/>
      <c r="F7" s="2473"/>
      <c r="G7" s="2473"/>
      <c r="H7" s="2473"/>
      <c r="I7" s="247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4"/>
      <c r="D11" s="247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5"/>
      <c r="E29" s="2475"/>
      <c r="F29" s="2475"/>
      <c r="G29" s="2475"/>
      <c r="H29" s="2475"/>
      <c r="I29" s="247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6" t="s">
        <v>1854</v>
      </c>
      <c r="D37" s="2477"/>
      <c r="E37" s="2477"/>
      <c r="F37" s="2478"/>
      <c r="G37" s="2476" t="s">
        <v>1674</v>
      </c>
      <c r="H37" s="2477"/>
      <c r="I37" s="2478"/>
    </row>
    <row r="38" spans="2:9" ht="16.5" customHeight="1" x14ac:dyDescent="0.2">
      <c r="B38" s="1444"/>
      <c r="C38" s="2464"/>
      <c r="D38" s="2465"/>
      <c r="E38" s="2465"/>
      <c r="F38" s="2466"/>
      <c r="G38" s="2479"/>
      <c r="H38" s="2480"/>
      <c r="I38" s="2481"/>
    </row>
    <row r="39" spans="2:9" ht="16.5" customHeight="1" x14ac:dyDescent="0.2">
      <c r="B39" s="1444"/>
      <c r="C39" s="2464"/>
      <c r="D39" s="2465"/>
      <c r="E39" s="2465"/>
      <c r="F39" s="2466"/>
      <c r="G39" s="2467"/>
      <c r="H39" s="2467"/>
      <c r="I39" s="2467"/>
    </row>
    <row r="40" spans="2:9" ht="16.5" customHeight="1" x14ac:dyDescent="0.2">
      <c r="B40" s="1444"/>
      <c r="C40" s="2464"/>
      <c r="D40" s="2465"/>
      <c r="E40" s="2465"/>
      <c r="F40" s="2466"/>
      <c r="G40" s="2467"/>
      <c r="H40" s="2467"/>
      <c r="I40" s="2467"/>
    </row>
    <row r="41" spans="2:9" ht="16.5" customHeight="1" x14ac:dyDescent="0.2">
      <c r="B41" s="1444"/>
      <c r="C41" s="2464"/>
      <c r="D41" s="2465"/>
      <c r="E41" s="2465"/>
      <c r="F41" s="2466"/>
      <c r="G41" s="2467"/>
      <c r="H41" s="2467"/>
      <c r="I41" s="2467"/>
    </row>
    <row r="42" spans="2:9" ht="16.5" customHeight="1" x14ac:dyDescent="0.2">
      <c r="B42" s="1444"/>
      <c r="C42" s="2464"/>
      <c r="D42" s="2465"/>
      <c r="E42" s="2465"/>
      <c r="F42" s="2466"/>
      <c r="G42" s="2467"/>
      <c r="H42" s="2467"/>
      <c r="I42" s="2467"/>
    </row>
    <row r="43" spans="2:9" ht="16.5" customHeight="1" x14ac:dyDescent="0.2">
      <c r="B43" s="1444"/>
      <c r="C43" s="2482" t="s">
        <v>1675</v>
      </c>
      <c r="D43" s="2483"/>
      <c r="E43" s="2483"/>
      <c r="F43" s="2484"/>
      <c r="G43" s="2485">
        <f>SUM(G38:I42)</f>
        <v>0</v>
      </c>
      <c r="H43" s="2485"/>
      <c r="I43" s="2485"/>
    </row>
    <row r="44" spans="2:9" ht="12.75" customHeight="1" x14ac:dyDescent="0.2"/>
    <row r="45" spans="2:9" ht="12.75" customHeight="1" x14ac:dyDescent="0.2">
      <c r="B45" s="1435" t="s">
        <v>1952</v>
      </c>
      <c r="D45" s="2486">
        <v>0</v>
      </c>
      <c r="E45" s="2487"/>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8"/>
      <c r="F49" s="2488"/>
      <c r="G49" s="2488"/>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Vermilion Vocational Educational Delivery System</v>
      </c>
      <c r="C1" s="2468"/>
      <c r="D1" s="2468"/>
      <c r="E1" s="2468"/>
      <c r="F1" s="2468"/>
      <c r="G1" s="2468"/>
      <c r="H1" s="2468"/>
      <c r="I1" s="2468"/>
      <c r="J1" s="2468"/>
      <c r="K1" s="2468"/>
      <c r="L1" s="1374"/>
      <c r="M1" s="1374"/>
    </row>
    <row r="2" spans="1:13" ht="12" customHeight="1" x14ac:dyDescent="0.2">
      <c r="B2" s="2470" t="str">
        <f>'Single Audit Cover'!E7</f>
        <v>54-002-7400-45</v>
      </c>
      <c r="C2" s="2470"/>
      <c r="D2" s="2470"/>
      <c r="E2" s="2470"/>
      <c r="F2" s="2470"/>
      <c r="G2" s="2470"/>
      <c r="H2" s="2470"/>
      <c r="I2" s="2470"/>
      <c r="J2" s="2470"/>
      <c r="K2" s="2470"/>
      <c r="L2" s="1375"/>
      <c r="M2" s="1376"/>
    </row>
    <row r="3" spans="1:13" ht="10.35" customHeight="1" x14ac:dyDescent="0.2">
      <c r="B3" s="2491" t="s">
        <v>1347</v>
      </c>
      <c r="C3" s="2491"/>
      <c r="D3" s="2491"/>
      <c r="E3" s="2491"/>
      <c r="F3" s="2491"/>
      <c r="G3" s="2491"/>
      <c r="H3" s="2491"/>
      <c r="I3" s="2491"/>
      <c r="J3" s="2491"/>
      <c r="K3" s="2491"/>
      <c r="L3" s="1377"/>
      <c r="M3" s="1377"/>
    </row>
    <row r="4" spans="1:13" ht="14.25" customHeight="1" x14ac:dyDescent="0.2">
      <c r="B4" s="2492" t="str">
        <f>'Single Audit Cover'!A4</f>
        <v>Year Ending June 30, 2018</v>
      </c>
      <c r="C4" s="2492"/>
      <c r="D4" s="2492"/>
      <c r="E4" s="2492"/>
      <c r="F4" s="2492"/>
      <c r="G4" s="2492"/>
      <c r="H4" s="2492"/>
      <c r="I4" s="2492"/>
      <c r="J4" s="2492"/>
      <c r="K4" s="249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2" t="s">
        <v>1363</v>
      </c>
      <c r="C7" s="2492"/>
      <c r="D7" s="2493"/>
      <c r="E7" s="2493"/>
      <c r="F7" s="2493"/>
      <c r="G7" s="2493"/>
      <c r="H7" s="2493"/>
      <c r="I7" s="2493"/>
      <c r="J7" s="2493"/>
      <c r="K7" s="249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0"/>
      <c r="C14" s="2490"/>
      <c r="D14" s="2490"/>
      <c r="E14" s="2490"/>
      <c r="F14" s="2490"/>
      <c r="G14" s="2490"/>
      <c r="H14" s="2490"/>
      <c r="I14" s="2490"/>
      <c r="J14" s="2490"/>
      <c r="K14" s="249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0"/>
      <c r="C17" s="2490"/>
      <c r="D17" s="2490"/>
      <c r="E17" s="2490"/>
      <c r="F17" s="2490"/>
      <c r="G17" s="2490"/>
      <c r="H17" s="2490"/>
      <c r="I17" s="2490"/>
      <c r="J17" s="2490"/>
      <c r="K17" s="249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4"/>
      <c r="C20" s="2494"/>
      <c r="D20" s="2490"/>
      <c r="E20" s="2490"/>
      <c r="F20" s="2490"/>
      <c r="G20" s="2490"/>
      <c r="H20" s="2490"/>
      <c r="I20" s="2490"/>
      <c r="J20" s="2490"/>
      <c r="K20" s="249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0"/>
      <c r="C23" s="2490"/>
      <c r="D23" s="2490"/>
      <c r="E23" s="2490"/>
      <c r="F23" s="2490"/>
      <c r="G23" s="2490"/>
      <c r="H23" s="2490"/>
      <c r="I23" s="2490"/>
      <c r="J23" s="2490"/>
      <c r="K23" s="249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0"/>
      <c r="C26" s="2490"/>
      <c r="D26" s="2490"/>
      <c r="E26" s="2490"/>
      <c r="F26" s="2490"/>
      <c r="G26" s="2490"/>
      <c r="H26" s="2490"/>
      <c r="I26" s="2490"/>
      <c r="J26" s="2490"/>
      <c r="K26" s="249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9"/>
      <c r="C29" s="2489"/>
      <c r="D29" s="2490"/>
      <c r="E29" s="2490"/>
      <c r="F29" s="2490"/>
      <c r="G29" s="2490"/>
      <c r="H29" s="2490"/>
      <c r="I29" s="2490"/>
      <c r="J29" s="2490"/>
      <c r="K29" s="249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9"/>
      <c r="C32" s="2489"/>
      <c r="D32" s="2490"/>
      <c r="E32" s="2490"/>
      <c r="F32" s="2490"/>
      <c r="G32" s="2490"/>
      <c r="H32" s="2490"/>
      <c r="I32" s="2490"/>
      <c r="J32" s="2490"/>
      <c r="K32" s="249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Vermilion Vocational Educational Delivery System</v>
      </c>
      <c r="C1" s="2495"/>
      <c r="D1" s="2495"/>
      <c r="E1" s="2495"/>
      <c r="F1" s="2495"/>
      <c r="G1" s="2495"/>
      <c r="H1" s="2495"/>
      <c r="I1" s="2495"/>
      <c r="J1" s="2495"/>
      <c r="K1" s="2495"/>
      <c r="L1" s="1465"/>
    </row>
    <row r="2" spans="1:12" ht="12.75" customHeight="1" x14ac:dyDescent="0.2">
      <c r="B2" s="2496" t="str">
        <f>'Single Audit Cover'!E7</f>
        <v>54-002-7400-45</v>
      </c>
      <c r="C2" s="2496"/>
      <c r="D2" s="2496"/>
      <c r="E2" s="2496"/>
      <c r="F2" s="2496"/>
      <c r="G2" s="2496"/>
      <c r="H2" s="2496"/>
      <c r="I2" s="2496"/>
      <c r="J2" s="2496"/>
      <c r="K2" s="2496"/>
      <c r="L2" s="1466"/>
    </row>
    <row r="3" spans="1:12" ht="12.75" customHeight="1" x14ac:dyDescent="0.2">
      <c r="B3" s="2491" t="s">
        <v>1347</v>
      </c>
      <c r="C3" s="2491"/>
      <c r="D3" s="2491"/>
      <c r="E3" s="2491"/>
      <c r="F3" s="2491"/>
      <c r="G3" s="2491"/>
      <c r="H3" s="2491"/>
      <c r="I3" s="2491"/>
      <c r="J3" s="2491"/>
      <c r="K3" s="2491"/>
      <c r="L3" s="1377"/>
    </row>
    <row r="4" spans="1:12" ht="12.75" customHeight="1" x14ac:dyDescent="0.2">
      <c r="B4" s="2491" t="str">
        <f>'Single Audit Cover'!A4</f>
        <v>Year Ending June 30, 2018</v>
      </c>
      <c r="C4" s="2491"/>
      <c r="D4" s="2491"/>
      <c r="E4" s="2491"/>
      <c r="F4" s="2491"/>
      <c r="G4" s="2491"/>
      <c r="H4" s="2491"/>
      <c r="I4" s="2491"/>
      <c r="J4" s="2491"/>
      <c r="K4" s="2491"/>
      <c r="L4" s="1377"/>
    </row>
    <row r="5" spans="1:12" ht="5.25" customHeight="1" x14ac:dyDescent="0.2">
      <c r="B5" s="1260" t="s">
        <v>1231</v>
      </c>
      <c r="C5" s="1260"/>
      <c r="L5" s="322"/>
    </row>
    <row r="6" spans="1:12" ht="30.75" customHeight="1" x14ac:dyDescent="0.2">
      <c r="A6" s="322"/>
      <c r="B6" s="2497" t="s">
        <v>1375</v>
      </c>
      <c r="C6" s="2497"/>
      <c r="D6" s="2497"/>
      <c r="E6" s="2497"/>
      <c r="F6" s="2497"/>
      <c r="G6" s="2497"/>
      <c r="H6" s="2497"/>
      <c r="I6" s="2497"/>
      <c r="J6" s="2497"/>
      <c r="K6" s="2497"/>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5"/>
      <c r="G12" s="2475"/>
      <c r="H12" s="2475"/>
      <c r="I12" s="2475"/>
      <c r="J12" s="2475"/>
      <c r="K12" s="247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0"/>
      <c r="C20" s="2490"/>
      <c r="D20" s="2490"/>
      <c r="E20" s="2490"/>
      <c r="F20" s="2490"/>
      <c r="G20" s="2490"/>
      <c r="H20" s="2490"/>
      <c r="I20" s="2490"/>
      <c r="J20" s="2490"/>
      <c r="K20" s="249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0"/>
      <c r="C23" s="2490"/>
      <c r="D23" s="2490"/>
      <c r="E23" s="2490"/>
      <c r="F23" s="2490"/>
      <c r="G23" s="2490"/>
      <c r="H23" s="2490"/>
      <c r="I23" s="2490"/>
      <c r="J23" s="2490"/>
      <c r="K23" s="249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0"/>
      <c r="C26" s="2490"/>
      <c r="D26" s="2490"/>
      <c r="E26" s="2490"/>
      <c r="F26" s="2490"/>
      <c r="G26" s="2490"/>
      <c r="H26" s="2490"/>
      <c r="I26" s="2490"/>
      <c r="J26" s="2490"/>
      <c r="K26" s="249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0"/>
      <c r="C29" s="2490"/>
      <c r="D29" s="2490"/>
      <c r="E29" s="2490"/>
      <c r="F29" s="2490"/>
      <c r="G29" s="2490"/>
      <c r="H29" s="2490"/>
      <c r="I29" s="2490"/>
      <c r="J29" s="2490"/>
      <c r="K29" s="249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0"/>
      <c r="C32" s="2490"/>
      <c r="D32" s="2490"/>
      <c r="E32" s="2490"/>
      <c r="F32" s="2490"/>
      <c r="G32" s="2490"/>
      <c r="H32" s="2490"/>
      <c r="I32" s="2490"/>
      <c r="J32" s="2490"/>
      <c r="K32" s="249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0"/>
      <c r="C35" s="2490"/>
      <c r="D35" s="2490"/>
      <c r="E35" s="2490"/>
      <c r="F35" s="2490"/>
      <c r="G35" s="2490"/>
      <c r="H35" s="2490"/>
      <c r="I35" s="2490"/>
      <c r="J35" s="2490"/>
      <c r="K35" s="249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0"/>
      <c r="C38" s="2490"/>
      <c r="D38" s="2490"/>
      <c r="E38" s="2490"/>
      <c r="F38" s="2490"/>
      <c r="G38" s="2490"/>
      <c r="H38" s="2490"/>
      <c r="I38" s="2490"/>
      <c r="J38" s="2490"/>
      <c r="K38" s="249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0"/>
      <c r="C41" s="2490"/>
      <c r="D41" s="2490"/>
      <c r="E41" s="2490"/>
      <c r="F41" s="2490"/>
      <c r="G41" s="2490"/>
      <c r="H41" s="2490"/>
      <c r="I41" s="2490"/>
      <c r="J41" s="2490"/>
      <c r="K41" s="249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8" t="str">
        <f>'Single Audit Cover'!A7</f>
        <v>Vermilion Vocational Educational Delivery System</v>
      </c>
      <c r="C1" s="2468"/>
      <c r="D1" s="2468"/>
      <c r="E1" s="1491"/>
    </row>
    <row r="2" spans="2:5" s="1282" customFormat="1" ht="12.75" customHeight="1" x14ac:dyDescent="0.2">
      <c r="B2" s="2470" t="str">
        <f>'Single Audit Cover'!E7</f>
        <v>54-002-7400-45</v>
      </c>
      <c r="C2" s="2470"/>
      <c r="D2" s="2470"/>
      <c r="E2" s="1492"/>
    </row>
    <row r="3" spans="2:5" ht="12.75" customHeight="1" x14ac:dyDescent="0.2">
      <c r="B3" s="2491" t="s">
        <v>1869</v>
      </c>
      <c r="C3" s="2491"/>
      <c r="D3" s="2491"/>
      <c r="E3" s="1274"/>
    </row>
    <row r="4" spans="2:5" s="1282" customFormat="1" ht="12.75" customHeight="1" x14ac:dyDescent="0.2">
      <c r="B4" s="2501" t="str">
        <f>'Single Audit Cover'!A4</f>
        <v>Year Ending June 30, 2018</v>
      </c>
      <c r="C4" s="2501"/>
      <c r="D4" s="250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9" t="s">
        <v>404</v>
      </c>
      <c r="B1" s="2099"/>
      <c r="C1" s="2099"/>
      <c r="D1" s="2099"/>
      <c r="E1" s="2099"/>
      <c r="F1" s="2099"/>
      <c r="G1" s="2099"/>
      <c r="H1" s="2099"/>
      <c r="I1" s="2099"/>
      <c r="J1" s="2099"/>
      <c r="K1" s="2099"/>
      <c r="L1" s="2099"/>
      <c r="M1" s="209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759415</v>
      </c>
      <c r="E16" s="356"/>
      <c r="F16" s="1755">
        <f>SUM('Acct Summary 7-8'!C17,'Acct Summary 7-8'!D17,'Acct Summary 7-8'!F17)</f>
        <v>663599</v>
      </c>
      <c r="G16" s="356"/>
      <c r="H16" s="1755">
        <f>SUM(D16-F16)</f>
        <v>95816</v>
      </c>
      <c r="I16" s="222"/>
      <c r="J16" s="1755">
        <f>SUM('Acct Summary 7-8'!C81,'Acct Summary 7-8'!D81,'Acct Summary 7-8'!F81,'Acct Summary 7-8'!I81)</f>
        <v>352249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0"/>
      <c r="C54" s="2101"/>
      <c r="D54" s="2101"/>
      <c r="E54" s="2101"/>
      <c r="F54" s="2101"/>
      <c r="G54" s="2101"/>
      <c r="H54" s="2101"/>
      <c r="I54" s="2101"/>
      <c r="J54" s="2101"/>
      <c r="K54" s="2101"/>
      <c r="L54" s="2102"/>
      <c r="M54" s="380"/>
    </row>
    <row r="55" spans="1:13" ht="12.75" customHeight="1" x14ac:dyDescent="0.2">
      <c r="B55" s="2103"/>
      <c r="C55" s="2104"/>
      <c r="D55" s="2104"/>
      <c r="E55" s="2104"/>
      <c r="F55" s="2104"/>
      <c r="G55" s="2104"/>
      <c r="H55" s="2104"/>
      <c r="I55" s="2104"/>
      <c r="J55" s="2104"/>
      <c r="K55" s="2104"/>
      <c r="L55" s="2105"/>
      <c r="M55" s="380"/>
    </row>
    <row r="56" spans="1:13" ht="12.75" customHeight="1" x14ac:dyDescent="0.2">
      <c r="B56" s="2103"/>
      <c r="C56" s="2104"/>
      <c r="D56" s="2104"/>
      <c r="E56" s="2104"/>
      <c r="F56" s="2104"/>
      <c r="G56" s="2104"/>
      <c r="H56" s="2104"/>
      <c r="I56" s="2104"/>
      <c r="J56" s="2104"/>
      <c r="K56" s="2104"/>
      <c r="L56" s="2105"/>
      <c r="M56" s="222"/>
    </row>
    <row r="57" spans="1:13" ht="12.75" customHeight="1" x14ac:dyDescent="0.2">
      <c r="B57" s="2103"/>
      <c r="C57" s="2104"/>
      <c r="D57" s="2104"/>
      <c r="E57" s="2104"/>
      <c r="F57" s="2104"/>
      <c r="G57" s="2104"/>
      <c r="H57" s="2104"/>
      <c r="I57" s="2104"/>
      <c r="J57" s="2104"/>
      <c r="K57" s="2104"/>
      <c r="L57" s="2105"/>
      <c r="M57" s="222"/>
    </row>
    <row r="58" spans="1:13" x14ac:dyDescent="0.2">
      <c r="B58" s="2106"/>
      <c r="C58" s="2107"/>
      <c r="D58" s="2107"/>
      <c r="E58" s="2107"/>
      <c r="F58" s="2107"/>
      <c r="G58" s="2107"/>
      <c r="H58" s="2107"/>
      <c r="I58" s="2107"/>
      <c r="J58" s="2107"/>
      <c r="K58" s="2107"/>
      <c r="L58" s="210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1"/>
      <c r="D61" s="211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H1" zoomScale="110" zoomScaleNormal="110" workbookViewId="0">
      <selection activeCell="U14" sqref="U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4"/>
      <c r="B1" s="2115"/>
      <c r="C1" s="2115"/>
      <c r="D1" s="384"/>
      <c r="E1" s="384"/>
      <c r="F1" s="384"/>
      <c r="G1" s="384"/>
      <c r="H1" s="384"/>
      <c r="I1" s="384"/>
      <c r="J1" s="384"/>
      <c r="K1" s="384"/>
      <c r="L1" s="384"/>
      <c r="M1" s="384"/>
      <c r="N1" s="384"/>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Vermilion Vocational Educational Delivery System</v>
      </c>
      <c r="E7" s="391"/>
      <c r="G7" s="252"/>
      <c r="H7" s="387"/>
      <c r="I7" s="387"/>
      <c r="J7" s="387"/>
      <c r="K7" s="387"/>
      <c r="L7" s="329"/>
      <c r="M7" s="329"/>
      <c r="N7" s="329"/>
      <c r="O7" s="329"/>
      <c r="P7" s="329"/>
    </row>
    <row r="8" spans="1:18" ht="12.75" x14ac:dyDescent="0.2">
      <c r="A8" s="329"/>
      <c r="B8" s="329"/>
      <c r="C8" s="389" t="s">
        <v>1187</v>
      </c>
      <c r="D8" s="392" t="str">
        <f>COVER!A13</f>
        <v>54-002-7400-45</v>
      </c>
      <c r="E8" s="393"/>
      <c r="G8" s="329"/>
      <c r="H8" s="329"/>
      <c r="I8" s="329"/>
      <c r="J8" s="329"/>
      <c r="K8" s="329"/>
      <c r="L8" s="329"/>
      <c r="M8" s="329"/>
      <c r="N8" s="329"/>
      <c r="O8" s="329"/>
      <c r="P8" s="329"/>
    </row>
    <row r="9" spans="1:18" ht="12.75" x14ac:dyDescent="0.2">
      <c r="A9" s="329"/>
      <c r="B9" s="329"/>
      <c r="C9" s="389" t="s">
        <v>737</v>
      </c>
      <c r="D9" s="394" t="str">
        <f>COVER!A15</f>
        <v>Vermilion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352249</v>
      </c>
      <c r="I12" s="404"/>
      <c r="J12" s="404"/>
      <c r="K12" s="405">
        <f>TRUNC((H12/H13*100000),5)/100000</f>
        <v>0.46384256299999999</v>
      </c>
      <c r="L12" s="406"/>
      <c r="M12" s="360" t="s">
        <v>1206</v>
      </c>
      <c r="N12" s="360"/>
      <c r="O12" s="407">
        <v>0.35</v>
      </c>
      <c r="P12" s="218"/>
      <c r="Q12" s="218"/>
    </row>
    <row r="13" spans="1:18" s="408" customFormat="1" ht="12.75" x14ac:dyDescent="0.2">
      <c r="A13" s="218"/>
      <c r="B13" s="401"/>
      <c r="C13" s="2116" t="s">
        <v>1391</v>
      </c>
      <c r="D13" s="2117"/>
      <c r="E13" s="218"/>
      <c r="F13" s="409" t="s">
        <v>826</v>
      </c>
      <c r="G13" s="402"/>
      <c r="H13" s="403">
        <f>SUM('Acct Summary 7-8'!C8+'Acct Summary 7-8'!D8+'Acct Summary 7-8'!F8+'Acct Summary 7-8'!I8)+H14</f>
        <v>759415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663599</v>
      </c>
      <c r="I17" s="404"/>
      <c r="J17" s="416"/>
      <c r="K17" s="405">
        <f>TRUNC((H17/H18*100000),5)/100000</f>
        <v>0.87382919739999998</v>
      </c>
      <c r="L17" s="406"/>
      <c r="M17" s="417" t="s">
        <v>1233</v>
      </c>
      <c r="O17" s="418" t="str">
        <f>IF(AND(O16="2", J20 &gt; 2),"1",IF(AND(O16 = "1", J20 &gt; 2),"2",IF(AND(O16="1", J20 &gt;1),"1","0")))</f>
        <v>0</v>
      </c>
      <c r="P17" s="218"/>
    </row>
    <row r="18" spans="1:18" s="408" customFormat="1" ht="11.25" x14ac:dyDescent="0.2">
      <c r="A18" s="218"/>
      <c r="B18" s="401"/>
      <c r="C18" s="2116" t="s">
        <v>1384</v>
      </c>
      <c r="D18" s="2117"/>
      <c r="E18" s="218"/>
      <c r="F18" s="419" t="s">
        <v>827</v>
      </c>
      <c r="G18" s="402"/>
      <c r="H18" s="403">
        <f>SUM('Acct Summary 7-8'!C8+'Acct Summary 7-8'!D8+'Acct Summary 7-8'!F8+'Acct Summary 7-8'!I8)+H19</f>
        <v>759415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3" t="s">
        <v>1479</v>
      </c>
      <c r="D24" s="2113"/>
      <c r="E24" s="218"/>
      <c r="F24" s="218" t="s">
        <v>465</v>
      </c>
      <c r="G24" s="402"/>
      <c r="H24" s="403">
        <f>SUM('Assets-Liab 5-6'!C4+'Assets-Liab 5-6'!D4+'Assets-Liab 5-6'!F4+'Assets-Liab 5-6'!I4+'Assets-Liab 5-6'!C5+'Assets-Liab 5-6'!D5+'Assets-Liab 5-6'!F5+'Assets-Liab 5-6'!I5)</f>
        <v>359458</v>
      </c>
      <c r="I24" s="422"/>
      <c r="J24" s="422"/>
      <c r="K24" s="423">
        <f>TRUNC(((H24/H25*100000)/100000),2)</f>
        <v>195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1843.3305600000001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47" sqref="A47"/>
      <selection pane="bottomLeft" activeCell="C39" sqref="C39:D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3" t="s">
        <v>1030</v>
      </c>
      <c r="B3" s="2124"/>
      <c r="C3" s="1581"/>
      <c r="D3" s="1582"/>
      <c r="E3" s="1582"/>
      <c r="F3" s="1582"/>
      <c r="G3" s="1582"/>
      <c r="H3" s="1582"/>
      <c r="I3" s="1582"/>
      <c r="J3" s="1582"/>
      <c r="K3" s="1582"/>
      <c r="L3" s="1582"/>
      <c r="M3" s="1583"/>
      <c r="N3" s="1584"/>
    </row>
    <row r="4" spans="1:14" ht="13.5" customHeight="1" x14ac:dyDescent="0.2">
      <c r="A4" s="463" t="s">
        <v>1750</v>
      </c>
      <c r="B4" s="464"/>
      <c r="C4" s="465">
        <v>210395</v>
      </c>
      <c r="D4" s="466">
        <v>149063</v>
      </c>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210395</v>
      </c>
      <c r="D13" s="1759">
        <f t="shared" ref="D13:L13" si="0">SUM(D4:D12)</f>
        <v>149063</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5" t="s">
        <v>149</v>
      </c>
      <c r="B14" s="212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27" t="s">
        <v>619</v>
      </c>
      <c r="B24" s="212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7209</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7209</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29" t="s">
        <v>550</v>
      </c>
      <c r="B35" s="213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f>
        <v>203186</v>
      </c>
      <c r="D39" s="466">
        <f>'Acct Summary 7-8'!D81</f>
        <v>149063</v>
      </c>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210395</v>
      </c>
      <c r="D41" s="1710">
        <f t="shared" ref="D41:L41" si="2">SUM(D34,D37,D38:D39)</f>
        <v>149063</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76" sqref="C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1" t="s">
        <v>1237</v>
      </c>
      <c r="B3" s="2152"/>
      <c r="C3" s="1595"/>
      <c r="D3" s="1596"/>
      <c r="E3" s="1596"/>
      <c r="F3" s="1596"/>
      <c r="G3" s="1596"/>
      <c r="H3" s="1596"/>
      <c r="I3" s="1596"/>
      <c r="J3" s="1596"/>
      <c r="K3" s="1597"/>
      <c r="L3" s="506"/>
    </row>
    <row r="4" spans="1:13" ht="15.75" customHeight="1" x14ac:dyDescent="0.2">
      <c r="A4" s="1954" t="s">
        <v>1579</v>
      </c>
      <c r="B4" s="1955">
        <v>1000</v>
      </c>
      <c r="C4" s="1764">
        <f>'Revenues 9-14'!C109</f>
        <v>28286</v>
      </c>
      <c r="D4" s="1764">
        <f>'Revenues 9-14'!D109</f>
        <v>6181</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531859</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193089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753234</v>
      </c>
      <c r="D8" s="1710">
        <f t="shared" ref="D8:K8" si="0">SUM(D4:D7)</f>
        <v>6181</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13129</v>
      </c>
      <c r="D9" s="516"/>
      <c r="E9" s="481"/>
      <c r="F9" s="481"/>
      <c r="G9" s="517"/>
      <c r="H9" s="481"/>
      <c r="I9" s="509" t="s">
        <v>1231</v>
      </c>
      <c r="J9" s="478"/>
      <c r="K9" s="481"/>
      <c r="L9" s="347"/>
    </row>
    <row r="10" spans="1:13" s="519" customFormat="1" ht="13.5" thickBot="1" x14ac:dyDescent="0.25">
      <c r="A10" s="1758" t="s">
        <v>1235</v>
      </c>
      <c r="B10" s="1731"/>
      <c r="C10" s="1710">
        <f>SUM(C8:C9)</f>
        <v>766363</v>
      </c>
      <c r="D10" s="1710">
        <f t="shared" ref="D10:K10" si="1">SUM(D8:D9)</f>
        <v>6181</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5" t="s">
        <v>1238</v>
      </c>
      <c r="B11" s="2126"/>
      <c r="C11" s="1592"/>
      <c r="D11" s="1593"/>
      <c r="E11" s="1593"/>
      <c r="F11" s="1593"/>
      <c r="G11" s="1593"/>
      <c r="H11" s="1593"/>
      <c r="I11" s="1593"/>
      <c r="J11" s="1593"/>
      <c r="K11" s="1594"/>
      <c r="L11" s="518"/>
    </row>
    <row r="12" spans="1:13" ht="15.75" customHeight="1" x14ac:dyDescent="0.2">
      <c r="A12" s="1598" t="s">
        <v>476</v>
      </c>
      <c r="B12" s="1600">
        <v>1000</v>
      </c>
      <c r="C12" s="1764">
        <f>'Expenditures 15-22'!K33</f>
        <v>245530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340680</v>
      </c>
      <c r="D13" s="1765">
        <f>'Expenditures 15-22'!K129</f>
        <v>13899</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63490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649700</v>
      </c>
      <c r="D17" s="1710">
        <f t="shared" si="2"/>
        <v>13899</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13129</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662829</v>
      </c>
      <c r="D19" s="1710">
        <f t="shared" si="4"/>
        <v>13899</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1" t="s">
        <v>1754</v>
      </c>
      <c r="B20" s="2142"/>
      <c r="C20" s="1768">
        <f>C8-C17</f>
        <v>103534</v>
      </c>
      <c r="D20" s="1768">
        <f t="shared" ref="D20:K20" si="5">D8-D17</f>
        <v>-7718</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3" t="s">
        <v>616</v>
      </c>
      <c r="B21" s="2154"/>
      <c r="C21" s="1592"/>
      <c r="D21" s="1593"/>
      <c r="E21" s="1593"/>
      <c r="F21" s="1593"/>
      <c r="G21" s="1593"/>
      <c r="H21" s="1593"/>
      <c r="I21" s="1593"/>
      <c r="J21" s="1593"/>
      <c r="K21" s="1594"/>
      <c r="L21" s="524"/>
    </row>
    <row r="22" spans="1:12" ht="15.75" customHeight="1" collapsed="1" x14ac:dyDescent="0.2">
      <c r="A22" s="2149" t="s">
        <v>617</v>
      </c>
      <c r="B22" s="2150"/>
      <c r="C22" s="477"/>
      <c r="D22" s="477"/>
      <c r="E22" s="477"/>
      <c r="F22" s="477"/>
      <c r="G22" s="477"/>
      <c r="H22" s="477"/>
      <c r="I22" s="477"/>
      <c r="J22" s="477"/>
      <c r="K22" s="477"/>
      <c r="L22" s="347"/>
    </row>
    <row r="23" spans="1:12" s="485" customFormat="1" ht="15.75" customHeight="1" x14ac:dyDescent="0.2">
      <c r="A23" s="2145" t="s">
        <v>311</v>
      </c>
      <c r="B23" s="214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7" t="s">
        <v>1038</v>
      </c>
      <c r="B32" s="214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5" t="s">
        <v>392</v>
      </c>
      <c r="B44" s="2156"/>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49" t="s">
        <v>110</v>
      </c>
      <c r="B45" s="2150"/>
      <c r="C45" s="528"/>
      <c r="D45" s="528"/>
      <c r="E45" s="528"/>
      <c r="F45" s="528"/>
      <c r="G45" s="528"/>
      <c r="H45" s="528"/>
      <c r="I45" s="528"/>
      <c r="J45" s="528"/>
      <c r="K45" s="528"/>
      <c r="L45" s="347"/>
    </row>
    <row r="46" spans="1:12" s="485" customFormat="1" ht="15.75" customHeight="1" x14ac:dyDescent="0.2">
      <c r="A46" s="2157" t="s">
        <v>111</v>
      </c>
      <c r="B46" s="215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v>0</v>
      </c>
      <c r="D75" s="531"/>
      <c r="E75" s="530"/>
      <c r="F75" s="532"/>
      <c r="G75" s="532"/>
      <c r="H75" s="532"/>
      <c r="I75" s="530"/>
      <c r="J75" s="530"/>
      <c r="K75" s="532"/>
      <c r="L75" s="524"/>
    </row>
    <row r="76" spans="1:12" s="485" customFormat="1" ht="14.25" thickTop="1" thickBot="1" x14ac:dyDescent="0.25">
      <c r="A76" s="2131" t="s">
        <v>460</v>
      </c>
      <c r="B76" s="2132"/>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3" t="s">
        <v>1239</v>
      </c>
      <c r="B77" s="2134"/>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7" t="s">
        <v>618</v>
      </c>
      <c r="B78" s="2138"/>
      <c r="C78" s="1724">
        <f t="shared" ref="C78:K78" si="9">C20+C77</f>
        <v>103534</v>
      </c>
      <c r="D78" s="1724">
        <f t="shared" si="9"/>
        <v>-7718</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99652</v>
      </c>
      <c r="D79" s="535">
        <v>156781</v>
      </c>
      <c r="E79" s="535"/>
      <c r="F79" s="535"/>
      <c r="G79" s="535"/>
      <c r="H79" s="535"/>
      <c r="I79" s="535"/>
      <c r="J79" s="535"/>
      <c r="K79" s="535"/>
      <c r="L79" s="347"/>
    </row>
    <row r="80" spans="1:12" x14ac:dyDescent="0.2">
      <c r="A80" s="2143" t="s">
        <v>1898</v>
      </c>
      <c r="B80" s="2144"/>
      <c r="C80" s="467"/>
      <c r="D80" s="467"/>
      <c r="E80" s="467"/>
      <c r="F80" s="467"/>
      <c r="G80" s="467"/>
      <c r="H80" s="467"/>
      <c r="I80" s="467"/>
      <c r="J80" s="467"/>
      <c r="K80" s="467"/>
      <c r="L80" s="347"/>
    </row>
    <row r="81" spans="1:12" ht="13.5" thickBot="1" x14ac:dyDescent="0.25">
      <c r="A81" s="2135" t="s">
        <v>2074</v>
      </c>
      <c r="B81" s="2136"/>
      <c r="C81" s="1710">
        <f>(SUM(C78:C80))</f>
        <v>203186</v>
      </c>
      <c r="D81" s="1710">
        <f>SUM(D78:D80)</f>
        <v>149063</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103534</v>
      </c>
      <c r="D82" s="538">
        <f t="shared" ref="D82:K82" si="11">(D81-D79)</f>
        <v>-7718</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0.5095528235213056</v>
      </c>
      <c r="D83" s="540">
        <f t="shared" ref="D83:K83" si="12">D82/D81</f>
        <v>-5.1776765528669083E-2</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10" activePane="bottomLeft" state="frozen"/>
      <selection activeCell="A47" sqref="A47"/>
      <selection pane="bottomLeft" activeCell="D104" sqref="D10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9" t="s">
        <v>1905</v>
      </c>
      <c r="B1" s="452"/>
      <c r="C1" s="453" t="s">
        <v>445</v>
      </c>
      <c r="D1" s="453" t="s">
        <v>446</v>
      </c>
      <c r="E1" s="453" t="s">
        <v>447</v>
      </c>
      <c r="F1" s="453" t="s">
        <v>448</v>
      </c>
      <c r="G1" s="453" t="s">
        <v>449</v>
      </c>
      <c r="H1" s="453" t="s">
        <v>450</v>
      </c>
      <c r="I1" s="453" t="s">
        <v>451</v>
      </c>
      <c r="J1" s="453" t="s">
        <v>452</v>
      </c>
      <c r="K1" s="453" t="s">
        <v>780</v>
      </c>
    </row>
    <row r="2" spans="1:12" ht="36" x14ac:dyDescent="0.2">
      <c r="A2" s="214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v>19238</v>
      </c>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19238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48</v>
      </c>
      <c r="D65" s="466">
        <v>29</v>
      </c>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48</v>
      </c>
      <c r="D67" s="1710">
        <f t="shared" ref="D67:K67" si="2">SUM(D65:D66)</f>
        <v>29</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6152</v>
      </c>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9000</v>
      </c>
      <c r="D107" s="466"/>
      <c r="E107" s="466"/>
      <c r="F107" s="466"/>
      <c r="G107" s="466"/>
      <c r="H107" s="466"/>
      <c r="I107" s="466"/>
      <c r="J107" s="467"/>
      <c r="K107" s="466"/>
    </row>
    <row r="108" spans="1:12" ht="12.75" customHeight="1" thickBot="1" x14ac:dyDescent="0.25">
      <c r="A108" s="1730" t="s">
        <v>508</v>
      </c>
      <c r="B108" s="1734"/>
      <c r="C108" s="1729">
        <f>SUM(C95:C107)</f>
        <v>9000</v>
      </c>
      <c r="D108" s="1729">
        <f t="shared" ref="D108:K108" si="3">SUM(D95:D107)</f>
        <v>6152</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28286</v>
      </c>
      <c r="D109" s="1737">
        <f t="shared" si="4"/>
        <v>6181</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531859</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531859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59" t="s">
        <v>418</v>
      </c>
      <c r="B172" s="2160"/>
      <c r="C172" s="1744">
        <f t="shared" ref="C172:K172" si="6">SUM(C131,C140,C144,C145:C149,C154,C155:C170,C171)</f>
        <v>531859</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531859</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1" t="s">
        <v>1572</v>
      </c>
      <c r="B175" s="216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5" t="s">
        <v>1764</v>
      </c>
      <c r="B178" s="216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69" t="s">
        <v>1763</v>
      </c>
      <c r="B179" s="217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7" t="s">
        <v>818</v>
      </c>
      <c r="B184" s="216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3" t="s">
        <v>1906</v>
      </c>
      <c r="B185" s="216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193089</v>
      </c>
      <c r="D227" s="466"/>
      <c r="E227" s="468"/>
      <c r="F227" s="468"/>
      <c r="G227" s="466"/>
      <c r="H227" s="468"/>
      <c r="I227" s="468"/>
      <c r="J227" s="468"/>
      <c r="K227" s="468"/>
    </row>
    <row r="228" spans="1:11" ht="12.75" customHeight="1" thickBot="1" x14ac:dyDescent="0.25">
      <c r="A228" s="1745" t="s">
        <v>1145</v>
      </c>
      <c r="B228" s="1746"/>
      <c r="C228" s="1729">
        <f>SUM(C226:C227)</f>
        <v>193089</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193089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193089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753234</v>
      </c>
      <c r="D275" s="1737">
        <f t="shared" si="12"/>
        <v>6181</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80" zoomScaleNormal="80" workbookViewId="0">
      <pane ySplit="2" topLeftCell="A97" activePane="bottomLeft" state="frozen"/>
      <selection activeCell="A47" sqref="A47"/>
      <selection pane="bottomLeft" activeCell="A108" sqref="A10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25130</v>
      </c>
      <c r="D13" s="466">
        <v>1768</v>
      </c>
      <c r="E13" s="466">
        <v>20098</v>
      </c>
      <c r="F13" s="466">
        <v>115477</v>
      </c>
      <c r="G13" s="466"/>
      <c r="H13" s="466"/>
      <c r="I13" s="467">
        <v>83057</v>
      </c>
      <c r="J13" s="467"/>
      <c r="K13" s="1693">
        <f t="shared" si="0"/>
        <v>245530</v>
      </c>
      <c r="L13" s="466">
        <v>174956</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25130</v>
      </c>
      <c r="D33" s="1692">
        <f t="shared" ref="D33:L33" si="1">SUM(D5:D32)</f>
        <v>1768</v>
      </c>
      <c r="E33" s="1692">
        <f t="shared" si="1"/>
        <v>20098</v>
      </c>
      <c r="F33" s="1692">
        <f t="shared" si="1"/>
        <v>115477</v>
      </c>
      <c r="G33" s="1692">
        <f t="shared" si="1"/>
        <v>0</v>
      </c>
      <c r="H33" s="1692">
        <f t="shared" si="1"/>
        <v>0</v>
      </c>
      <c r="I33" s="1692">
        <f t="shared" si="1"/>
        <v>83057</v>
      </c>
      <c r="J33" s="1692">
        <f t="shared" si="1"/>
        <v>0</v>
      </c>
      <c r="K33" s="1692">
        <f t="shared" si="1"/>
        <v>245530</v>
      </c>
      <c r="L33" s="1692">
        <f t="shared" si="1"/>
        <v>174956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10504</v>
      </c>
      <c r="D37" s="466">
        <v>2893</v>
      </c>
      <c r="E37" s="466">
        <v>26254</v>
      </c>
      <c r="F37" s="466">
        <v>21800</v>
      </c>
      <c r="G37" s="466"/>
      <c r="H37" s="466"/>
      <c r="I37" s="467">
        <v>1333</v>
      </c>
      <c r="J37" s="467"/>
      <c r="K37" s="1693">
        <f t="shared" si="2"/>
        <v>62784</v>
      </c>
      <c r="L37" s="466">
        <v>57015</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10504</v>
      </c>
      <c r="D42" s="1692">
        <f t="shared" ref="D42:L42" si="3">SUM(D36:D41)</f>
        <v>2893</v>
      </c>
      <c r="E42" s="1692">
        <f t="shared" si="3"/>
        <v>26254</v>
      </c>
      <c r="F42" s="1692">
        <f t="shared" si="3"/>
        <v>21800</v>
      </c>
      <c r="G42" s="1692">
        <f t="shared" si="3"/>
        <v>0</v>
      </c>
      <c r="H42" s="1692">
        <f t="shared" si="3"/>
        <v>0</v>
      </c>
      <c r="I42" s="1692">
        <f t="shared" si="3"/>
        <v>1333</v>
      </c>
      <c r="J42" s="1692">
        <f t="shared" si="3"/>
        <v>0</v>
      </c>
      <c r="K42" s="1692">
        <f t="shared" si="3"/>
        <v>62784</v>
      </c>
      <c r="L42" s="1692">
        <f t="shared" si="3"/>
        <v>57015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148321</v>
      </c>
      <c r="D44" s="481">
        <v>26591</v>
      </c>
      <c r="E44" s="481">
        <v>19873</v>
      </c>
      <c r="F44" s="481">
        <v>859</v>
      </c>
      <c r="G44" s="481"/>
      <c r="H44" s="481"/>
      <c r="I44" s="467"/>
      <c r="J44" s="467"/>
      <c r="K44" s="1694">
        <f>SUM(C44:J44)</f>
        <v>195644</v>
      </c>
      <c r="L44" s="481">
        <v>174754</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148321</v>
      </c>
      <c r="D47" s="1692">
        <f t="shared" ref="D47:K47" si="4">SUM(D44:D46)</f>
        <v>26591</v>
      </c>
      <c r="E47" s="1692">
        <f t="shared" si="4"/>
        <v>19873</v>
      </c>
      <c r="F47" s="1692">
        <f t="shared" si="4"/>
        <v>859</v>
      </c>
      <c r="G47" s="1692">
        <f t="shared" si="4"/>
        <v>0</v>
      </c>
      <c r="H47" s="1692">
        <f t="shared" si="4"/>
        <v>0</v>
      </c>
      <c r="I47" s="1692">
        <f t="shared" si="4"/>
        <v>0</v>
      </c>
      <c r="J47" s="1692">
        <f t="shared" si="4"/>
        <v>0</v>
      </c>
      <c r="K47" s="1692">
        <f t="shared" si="4"/>
        <v>195644</v>
      </c>
      <c r="L47" s="1692">
        <f>SUM(L44:L46)</f>
        <v>174754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55367</v>
      </c>
      <c r="D49" s="481">
        <v>10117</v>
      </c>
      <c r="E49" s="481">
        <v>1408</v>
      </c>
      <c r="F49" s="481"/>
      <c r="G49" s="481"/>
      <c r="H49" s="481"/>
      <c r="I49" s="467">
        <v>1875</v>
      </c>
      <c r="J49" s="467"/>
      <c r="K49" s="1694">
        <f>SUM(C49:J49)</f>
        <v>68767</v>
      </c>
      <c r="L49" s="481">
        <f>76687-9095</f>
        <v>67592</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4891</v>
      </c>
      <c r="D51" s="466">
        <v>1262</v>
      </c>
      <c r="E51" s="466"/>
      <c r="F51" s="466">
        <v>982</v>
      </c>
      <c r="G51" s="466"/>
      <c r="H51" s="466"/>
      <c r="I51" s="467"/>
      <c r="J51" s="467"/>
      <c r="K51" s="1694">
        <f>SUM(C51:J51)</f>
        <v>7135</v>
      </c>
      <c r="L51" s="466">
        <f>4891+111+2925+71+7+1000+90</f>
        <v>9095</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60258</v>
      </c>
      <c r="D53" s="1692">
        <f t="shared" ref="D53:L53" si="5">SUM(D49:D52)</f>
        <v>11379</v>
      </c>
      <c r="E53" s="1692">
        <f t="shared" si="5"/>
        <v>1408</v>
      </c>
      <c r="F53" s="1692">
        <f t="shared" si="5"/>
        <v>982</v>
      </c>
      <c r="G53" s="1692">
        <f t="shared" si="5"/>
        <v>0</v>
      </c>
      <c r="H53" s="1692">
        <f t="shared" si="5"/>
        <v>0</v>
      </c>
      <c r="I53" s="1692">
        <f t="shared" si="5"/>
        <v>1875</v>
      </c>
      <c r="J53" s="1692">
        <f t="shared" si="5"/>
        <v>0</v>
      </c>
      <c r="K53" s="1692">
        <f t="shared" si="5"/>
        <v>75902</v>
      </c>
      <c r="L53" s="1692">
        <f t="shared" si="5"/>
        <v>76687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v>6350</v>
      </c>
      <c r="F60" s="466"/>
      <c r="G60" s="466"/>
      <c r="H60" s="466"/>
      <c r="I60" s="467"/>
      <c r="J60" s="467"/>
      <c r="K60" s="1694">
        <f t="shared" si="7"/>
        <v>6350</v>
      </c>
      <c r="L60" s="466">
        <v>6200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6350</v>
      </c>
      <c r="F65" s="1692">
        <f t="shared" si="8"/>
        <v>0</v>
      </c>
      <c r="G65" s="1692">
        <f t="shared" si="8"/>
        <v>0</v>
      </c>
      <c r="H65" s="1692">
        <f t="shared" si="8"/>
        <v>0</v>
      </c>
      <c r="I65" s="1692">
        <f t="shared" si="8"/>
        <v>0</v>
      </c>
      <c r="J65" s="1692">
        <f t="shared" si="8"/>
        <v>0</v>
      </c>
      <c r="K65" s="1692">
        <f t="shared" si="8"/>
        <v>6350</v>
      </c>
      <c r="L65" s="1692">
        <f t="shared" si="8"/>
        <v>6200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219083</v>
      </c>
      <c r="D74" s="1699">
        <f t="shared" ref="D74:K74" si="10">SUM(D42,D47,D53,D57,D65,D72,D73)</f>
        <v>40863</v>
      </c>
      <c r="E74" s="1699">
        <f t="shared" si="10"/>
        <v>53885</v>
      </c>
      <c r="F74" s="1699">
        <f t="shared" si="10"/>
        <v>23641</v>
      </c>
      <c r="G74" s="1699">
        <f t="shared" si="10"/>
        <v>0</v>
      </c>
      <c r="H74" s="1699">
        <f t="shared" si="10"/>
        <v>0</v>
      </c>
      <c r="I74" s="1699">
        <f t="shared" si="10"/>
        <v>3208</v>
      </c>
      <c r="J74" s="1699">
        <f t="shared" si="10"/>
        <v>0</v>
      </c>
      <c r="K74" s="1699">
        <f t="shared" si="10"/>
        <v>340680</v>
      </c>
      <c r="L74" s="1699">
        <f>SUM(L42,L47,L53,L57,L65,L72,L73)</f>
        <v>314656</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15990</v>
      </c>
      <c r="F81" s="617"/>
      <c r="G81" s="617"/>
      <c r="H81" s="466">
        <v>47500</v>
      </c>
      <c r="I81" s="477"/>
      <c r="J81" s="477"/>
      <c r="K81" s="1693">
        <f t="shared" si="11"/>
        <v>63490</v>
      </c>
      <c r="L81" s="466">
        <f>47500+2500+20000</f>
        <v>70000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15990</v>
      </c>
      <c r="F84" s="617"/>
      <c r="G84" s="617"/>
      <c r="H84" s="1692">
        <f>SUM(H78:H83)</f>
        <v>47500</v>
      </c>
      <c r="I84" s="477"/>
      <c r="J84" s="477"/>
      <c r="K84" s="1692">
        <f>SUM(K78:K83)</f>
        <v>63490</v>
      </c>
      <c r="L84" s="1692">
        <f>SUM(L78:L83)</f>
        <v>70000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15990</v>
      </c>
      <c r="F102" s="617"/>
      <c r="G102" s="617"/>
      <c r="H102" s="1699">
        <f>SUM(H84,H92,H100,H101)</f>
        <v>47500</v>
      </c>
      <c r="I102" s="477"/>
      <c r="J102" s="477"/>
      <c r="K102" s="1699">
        <f>SUM(K84,K92,K100,K101)</f>
        <v>63490</v>
      </c>
      <c r="L102" s="1699">
        <f>SUM(L84,L92,L100,L101)</f>
        <v>70000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244213</v>
      </c>
      <c r="D114" s="1692">
        <f t="shared" ref="D114:K114" si="13">SUM(D33,D74,D75,D102,D112,D113)</f>
        <v>42631</v>
      </c>
      <c r="E114" s="1692">
        <f t="shared" si="13"/>
        <v>89973</v>
      </c>
      <c r="F114" s="1692">
        <f t="shared" si="13"/>
        <v>139118</v>
      </c>
      <c r="G114" s="1692">
        <f t="shared" si="13"/>
        <v>0</v>
      </c>
      <c r="H114" s="1692">
        <f>SUM(H33,H74,H75,H102,H112,H113)</f>
        <v>47500</v>
      </c>
      <c r="I114" s="1692">
        <f t="shared" si="13"/>
        <v>86265</v>
      </c>
      <c r="J114" s="1692">
        <f t="shared" si="13"/>
        <v>0</v>
      </c>
      <c r="K114" s="1692">
        <f t="shared" si="13"/>
        <v>649700</v>
      </c>
      <c r="L114" s="1692">
        <f>SUM(L33,L74,L75,L102,L112,L113)</f>
        <v>559612</v>
      </c>
    </row>
    <row r="115" spans="1:14" ht="13.5" thickTop="1" x14ac:dyDescent="0.2">
      <c r="A115" s="2171" t="s">
        <v>1053</v>
      </c>
      <c r="B115" s="2172"/>
      <c r="C115" s="619"/>
      <c r="D115" s="619"/>
      <c r="E115" s="619"/>
      <c r="F115" s="619"/>
      <c r="G115" s="619"/>
      <c r="H115" s="619"/>
      <c r="I115" s="619"/>
      <c r="J115" s="619"/>
      <c r="K115" s="1706">
        <f>'Revenues 9-14'!C275-'Expenditures 15-22'!K114</f>
        <v>103534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13899-7148</f>
        <v>6751</v>
      </c>
      <c r="F124" s="466"/>
      <c r="G124" s="466"/>
      <c r="H124" s="466">
        <v>7148</v>
      </c>
      <c r="I124" s="467"/>
      <c r="J124" s="467"/>
      <c r="K124" s="1692">
        <f>SUM(C124:J124)</f>
        <v>13899</v>
      </c>
      <c r="L124" s="466">
        <v>6200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6751</v>
      </c>
      <c r="F127" s="1692">
        <f t="shared" si="14"/>
        <v>0</v>
      </c>
      <c r="G127" s="1692">
        <f t="shared" si="14"/>
        <v>0</v>
      </c>
      <c r="H127" s="1692">
        <f t="shared" si="14"/>
        <v>7148</v>
      </c>
      <c r="I127" s="1692">
        <f t="shared" si="14"/>
        <v>0</v>
      </c>
      <c r="J127" s="1692">
        <f t="shared" si="14"/>
        <v>0</v>
      </c>
      <c r="K127" s="1692">
        <f t="shared" si="14"/>
        <v>13899</v>
      </c>
      <c r="L127" s="1692">
        <f t="shared" si="14"/>
        <v>6200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6751</v>
      </c>
      <c r="F129" s="1699">
        <f t="shared" si="15"/>
        <v>0</v>
      </c>
      <c r="G129" s="1699">
        <f t="shared" si="15"/>
        <v>0</v>
      </c>
      <c r="H129" s="1699">
        <f t="shared" si="15"/>
        <v>7148</v>
      </c>
      <c r="I129" s="1699">
        <f t="shared" si="15"/>
        <v>0</v>
      </c>
      <c r="J129" s="1699">
        <f t="shared" si="15"/>
        <v>0</v>
      </c>
      <c r="K129" s="1699">
        <f t="shared" si="15"/>
        <v>13899</v>
      </c>
      <c r="L129" s="1699">
        <f t="shared" si="15"/>
        <v>6200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68"/>
      <c r="C151" s="1692">
        <f>SUM(C129,C130,C139,C149,C150)</f>
        <v>0</v>
      </c>
      <c r="D151" s="1692">
        <f t="shared" ref="D151:K151" si="16">SUM(D129,D130,D139,D149,D150)</f>
        <v>0</v>
      </c>
      <c r="E151" s="1692">
        <f t="shared" si="16"/>
        <v>6751</v>
      </c>
      <c r="F151" s="1692">
        <f t="shared" si="16"/>
        <v>0</v>
      </c>
      <c r="G151" s="1692">
        <f t="shared" si="16"/>
        <v>0</v>
      </c>
      <c r="H151" s="1692">
        <f t="shared" si="16"/>
        <v>7148</v>
      </c>
      <c r="I151" s="1692">
        <f t="shared" si="16"/>
        <v>0</v>
      </c>
      <c r="J151" s="1692">
        <f t="shared" si="16"/>
        <v>0</v>
      </c>
      <c r="K151" s="1692">
        <f t="shared" si="16"/>
        <v>13899</v>
      </c>
      <c r="L151" s="1692">
        <f>SUM(L129,L130,L139,L149,L150)</f>
        <v>6200</v>
      </c>
    </row>
    <row r="152" spans="1:14" ht="12.75" customHeight="1" thickTop="1" x14ac:dyDescent="0.2">
      <c r="A152" s="2191" t="s">
        <v>1240</v>
      </c>
      <c r="B152" s="2192"/>
      <c r="C152" s="619"/>
      <c r="D152" s="619"/>
      <c r="E152" s="619"/>
      <c r="F152" s="619"/>
      <c r="G152" s="619"/>
      <c r="H152" s="619"/>
      <c r="I152" s="619"/>
      <c r="J152" s="617"/>
      <c r="K152" s="1706">
        <f>'Revenues 9-14'!D275-'Expenditures 15-22'!K151</f>
        <v>-7718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1" t="s">
        <v>1053</v>
      </c>
      <c r="B175" s="2172"/>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1" t="s">
        <v>1053</v>
      </c>
      <c r="B211" s="2172"/>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1" t="s">
        <v>1053</v>
      </c>
      <c r="B296" s="2172"/>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4" t="s">
        <v>1053</v>
      </c>
      <c r="B343" s="218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1" t="s">
        <v>1053</v>
      </c>
      <c r="B368" s="2172"/>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purl.org/dc/dcmitype/"/>
    <ds:schemaRef ds:uri="4d435f69-8686-490b-bd6d-b153bf22ab50"/>
    <ds:schemaRef ds:uri="http://schemas.microsoft.com/office/2006/metadata/properties"/>
    <ds:schemaRef ds:uri="http://purl.org/dc/elements/1.1/"/>
    <ds:schemaRef ds:uri="http://schemas.openxmlformats.org/package/2006/metadata/core-properties"/>
    <ds:schemaRef ds:uri="http://www.w3.org/XML/1998/namespace"/>
    <ds:schemaRef ds:uri="6ce3111e-7420-4802-b50a-75d4e9a0b980"/>
    <ds:schemaRef ds:uri="d21dc803-237d-4c68-8692-8d731fd29118"/>
    <ds:schemaRef ds:uri="http://schemas.microsoft.com/office/2006/documentManagement/types"/>
    <ds:schemaRef ds:uri="http://schemas.microsoft.com/office/infopath/2007/PartnerControl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2018-10-22T20:32:32Z</cp:lastPrinted>
  <dcterms:created xsi:type="dcterms:W3CDTF">2003-10-29T19:06:34Z</dcterms:created>
  <dcterms:modified xsi:type="dcterms:W3CDTF">2019-04-09T16:32:52Z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