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14370" windowHeight="120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SEFA 18" sheetId="183" r:id="rId29"/>
    <sheet name="SEFA NOTES" sheetId="173" r:id="rId30"/>
    <sheet name="SF&amp;QC Sec-1" sheetId="174" r:id="rId31"/>
    <sheet name="SF&amp;QC Sec-2" sheetId="175" r:id="rId32"/>
    <sheet name="SF&amp;QC Sec-3" sheetId="176" r:id="rId33"/>
    <sheet name="SSPAF" sheetId="177" r:id="rId34"/>
  </sheets>
  <definedNames>
    <definedName name="goof">#REF!</definedName>
    <definedName name="oops">#REF!</definedName>
    <definedName name="_xlnm.Print_Area" localSheetId="27">' SEFA'!$B$1:$M$46</definedName>
    <definedName name="_xlnm.Print_Area" localSheetId="28">'SEFA 18'!$A$1:$S$90</definedName>
    <definedName name="_xlnm.Print_Area" localSheetId="29">'SEFA NOTES'!$A$1:$F$59</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Print_Area_MI" localSheetId="28">'SEFA 18'!$B$28:$T$68</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18'!$1:$14</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 name="Z_11C3950E_E1AD_46EF_BD3F_576593C7D4EA_.wvu.PrintArea" localSheetId="28" hidden="1">'SEFA 18'!$A$1:$S$90</definedName>
    <definedName name="Z_11C3950E_E1AD_46EF_BD3F_576593C7D4EA_.wvu.PrintTitles" localSheetId="28" hidden="1">'SEFA 18'!$1:$14</definedName>
    <definedName name="Z_11C3950E_E1AD_46EF_BD3F_576593C7D4EA_.wvu.Rows" localSheetId="28" hidden="1">'SEFA 18'!$1:$3,'SEFA 18'!$32:$32,'SEFA 18'!$65:$65</definedName>
    <definedName name="Z_98E73BED_02DF_4792_A0B6_65D3606E16ED_.wvu.PrintArea" localSheetId="28" hidden="1">'SEFA 18'!$A$1:$S$90</definedName>
    <definedName name="Z_98E73BED_02DF_4792_A0B6_65D3606E16ED_.wvu.PrintTitles" localSheetId="28" hidden="1">'SEFA 18'!$1:$14</definedName>
    <definedName name="Z_98E73BED_02DF_4792_A0B6_65D3606E16ED_.wvu.Rows" localSheetId="28" hidden="1">'SEFA 18'!$1:$3,'SEFA 18'!$32:$32,'SEFA 18'!$65:$65</definedName>
    <definedName name="Z_F252E715_53BC_4AA1_B324_042FBA50142A_.wvu.PrintArea" localSheetId="28" hidden="1">'SEFA 18'!$A$1:$S$90</definedName>
    <definedName name="Z_F252E715_53BC_4AA1_B324_042FBA50142A_.wvu.PrintTitles" localSheetId="28" hidden="1">'SEFA 18'!$1:$14</definedName>
    <definedName name="Z_F252E715_53BC_4AA1_B324_042FBA50142A_.wvu.Rows" localSheetId="28" hidden="1">'SEFA 18'!$1:$3,'SEFA 18'!$32:$32,'SEFA 18'!$65:$65</definedName>
    <definedName name="Z_FB153465_B060_4D8B_8214_DA59E6E3F7C0_.wvu.PrintArea" localSheetId="28" hidden="1">'SEFA 18'!$A$1:$S$90</definedName>
    <definedName name="Z_FB153465_B060_4D8B_8214_DA59E6E3F7C0_.wvu.PrintTitles" localSheetId="28" hidden="1">'SEFA 18'!$1:$14</definedName>
    <definedName name="Z_FB153465_B060_4D8B_8214_DA59E6E3F7C0_.wvu.Rows" localSheetId="28" hidden="1">'SEFA 18'!$1:$3,'SEFA 18'!$32:$32,'SEFA 18'!$65:$65</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88" i="183" l="1"/>
  <c r="G88" i="183"/>
  <c r="C88" i="183"/>
  <c r="E77" i="183"/>
  <c r="E88" i="183" s="1"/>
  <c r="O60" i="183"/>
  <c r="M60" i="183"/>
  <c r="K60" i="183"/>
  <c r="I60" i="183"/>
  <c r="G60" i="183"/>
  <c r="O59" i="183"/>
  <c r="M59" i="183"/>
  <c r="K59" i="183"/>
  <c r="G59" i="183"/>
  <c r="Q53" i="183"/>
  <c r="Q52" i="183"/>
  <c r="Q60" i="183" s="1"/>
  <c r="Q47" i="183"/>
  <c r="I47" i="183"/>
  <c r="Q46" i="183"/>
  <c r="Q44" i="183"/>
  <c r="I44" i="183"/>
  <c r="Q43" i="183"/>
  <c r="I43" i="183"/>
  <c r="I59" i="183" s="1"/>
  <c r="P38" i="183"/>
  <c r="L38" i="183"/>
  <c r="K38" i="183"/>
  <c r="K54" i="183" s="1"/>
  <c r="J38" i="183"/>
  <c r="G38" i="183"/>
  <c r="G54" i="183" s="1"/>
  <c r="G56" i="183" s="1"/>
  <c r="G61" i="183" s="1"/>
  <c r="S37" i="183"/>
  <c r="O37" i="183"/>
  <c r="O38" i="183" s="1"/>
  <c r="O54" i="183" s="1"/>
  <c r="O56" i="183" s="1"/>
  <c r="O61" i="183" s="1"/>
  <c r="M37" i="183"/>
  <c r="Q36" i="183"/>
  <c r="Q35" i="183"/>
  <c r="I35" i="183"/>
  <c r="Q34" i="183"/>
  <c r="I34" i="183"/>
  <c r="Q32" i="183"/>
  <c r="Q31" i="183"/>
  <c r="M30" i="183"/>
  <c r="M38" i="183" s="1"/>
  <c r="I30" i="183"/>
  <c r="M24" i="183"/>
  <c r="K24" i="183"/>
  <c r="G24" i="183"/>
  <c r="Q23" i="183"/>
  <c r="Q22" i="183"/>
  <c r="Q20" i="183"/>
  <c r="Q19" i="183"/>
  <c r="I19" i="183"/>
  <c r="I24" i="183" s="1"/>
  <c r="M12" i="183"/>
  <c r="K12" i="183"/>
  <c r="M11" i="183"/>
  <c r="Q59" i="183" l="1"/>
  <c r="G58" i="183"/>
  <c r="Q37" i="183"/>
  <c r="K56" i="183"/>
  <c r="K61" i="183" s="1"/>
  <c r="I38" i="183"/>
  <c r="I58" i="183" s="1"/>
  <c r="Q24" i="183"/>
  <c r="Q30" i="183"/>
  <c r="Q38" i="183" s="1"/>
  <c r="Q54" i="183" s="1"/>
  <c r="Q56" i="183" s="1"/>
  <c r="Q61" i="183" s="1"/>
  <c r="M54" i="183"/>
  <c r="M56" i="183" s="1"/>
  <c r="M61" i="183" s="1"/>
  <c r="M58" i="183"/>
  <c r="K58" i="183"/>
  <c r="O58" i="183"/>
  <c r="Q58" i="183" l="1"/>
  <c r="I54" i="183"/>
  <c r="I56" i="183" s="1"/>
  <c r="I61" i="183" s="1"/>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D7764" i="106" s="1"/>
  <c r="J85" i="28"/>
  <c r="B7758" i="106" s="1"/>
  <c r="D7758" i="106" s="1"/>
  <c r="J88" i="28"/>
  <c r="K6" i="29"/>
  <c r="B7763" i="106" s="1"/>
  <c r="B7762" i="106"/>
  <c r="K12" i="12"/>
  <c r="K23" i="12"/>
  <c r="K24" i="12" s="1"/>
  <c r="B7733" i="106" s="1"/>
  <c r="J12" i="12"/>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C224" i="5"/>
  <c r="B5286" i="106" s="1"/>
  <c r="D5286" i="106" s="1"/>
  <c r="C228" i="5"/>
  <c r="C259" i="5"/>
  <c r="B7761" i="106"/>
  <c r="D7761" i="106" s="1"/>
  <c r="L127" i="29"/>
  <c r="L129" i="29" s="1"/>
  <c r="L139" i="29"/>
  <c r="L149" i="29"/>
  <c r="I7" i="145"/>
  <c r="I6" i="145"/>
  <c r="D82" i="36"/>
  <c r="D78" i="36"/>
  <c r="K75" i="29"/>
  <c r="K130" i="29"/>
  <c r="B2805" i="106" s="1"/>
  <c r="D2805" i="106" s="1"/>
  <c r="K185" i="29"/>
  <c r="F14" i="4" s="1"/>
  <c r="B2597" i="106" s="1"/>
  <c r="D2597"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c r="J10" i="37"/>
  <c r="D31" i="36" s="1"/>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c r="B6633" i="106"/>
  <c r="D6633" i="106" s="1"/>
  <c r="B6634" i="106"/>
  <c r="D6634" i="106" s="1"/>
  <c r="B6635" i="106"/>
  <c r="D6635" i="106" s="1"/>
  <c r="B6636" i="106"/>
  <c r="D6636" i="106"/>
  <c r="B6637" i="106"/>
  <c r="D6637" i="106" s="1"/>
  <c r="B6638" i="106"/>
  <c r="D6638" i="106" s="1"/>
  <c r="B6639" i="106"/>
  <c r="D6639" i="106" s="1"/>
  <c r="B6640" i="106"/>
  <c r="D6640" i="106"/>
  <c r="B6641" i="106"/>
  <c r="D6641" i="106"/>
  <c r="B6642" i="106"/>
  <c r="D6642" i="106" s="1"/>
  <c r="B6643" i="106"/>
  <c r="D6643" i="106" s="1"/>
  <c r="B6644" i="106"/>
  <c r="D6644" i="106" s="1"/>
  <c r="B6645" i="106"/>
  <c r="D6645" i="106" s="1"/>
  <c r="B6646" i="106"/>
  <c r="D6646" i="106" s="1"/>
  <c r="B6647" i="106"/>
  <c r="D6647" i="106" s="1"/>
  <c r="B6648" i="106"/>
  <c r="D6648" i="106"/>
  <c r="B6649" i="106"/>
  <c r="D6649" i="106" s="1"/>
  <c r="B6650" i="106"/>
  <c r="D6650" i="106"/>
  <c r="B6651" i="106"/>
  <c r="D6651" i="106" s="1"/>
  <c r="B6652" i="106"/>
  <c r="D6652" i="106" s="1"/>
  <c r="B6653" i="106"/>
  <c r="D6653" i="106" s="1"/>
  <c r="B6654" i="106"/>
  <c r="D6654" i="106" s="1"/>
  <c r="B6655" i="106"/>
  <c r="D6655" i="106" s="1"/>
  <c r="B6656" i="106"/>
  <c r="D6656" i="106"/>
  <c r="B6657" i="106"/>
  <c r="D6657" i="106" s="1"/>
  <c r="B6658" i="106"/>
  <c r="D6658" i="106" s="1"/>
  <c r="B6659" i="106"/>
  <c r="D6659" i="106" s="1"/>
  <c r="B6660" i="106"/>
  <c r="D6660" i="106"/>
  <c r="B6661" i="106"/>
  <c r="D6661" i="106" s="1"/>
  <c r="B6662" i="106"/>
  <c r="D6662" i="106" s="1"/>
  <c r="B6663" i="106"/>
  <c r="D6663" i="106" s="1"/>
  <c r="B6664" i="106"/>
  <c r="D6664" i="106"/>
  <c r="B6665" i="106"/>
  <c r="D6665" i="106" s="1"/>
  <c r="B6666" i="106"/>
  <c r="D6666" i="106" s="1"/>
  <c r="B6667" i="106"/>
  <c r="D6667" i="106" s="1"/>
  <c r="B6668" i="106"/>
  <c r="D6668" i="106"/>
  <c r="B6669" i="106"/>
  <c r="D6669" i="106" s="1"/>
  <c r="B6670" i="106"/>
  <c r="D6670" i="106"/>
  <c r="B6671" i="106"/>
  <c r="D6671" i="106" s="1"/>
  <c r="B6672" i="106"/>
  <c r="D6672" i="106"/>
  <c r="B6673" i="106"/>
  <c r="D6673" i="106"/>
  <c r="B6674" i="106"/>
  <c r="D6674" i="106" s="1"/>
  <c r="B6675" i="106"/>
  <c r="D6675" i="106" s="1"/>
  <c r="B6676" i="106"/>
  <c r="D6676" i="106" s="1"/>
  <c r="B6677" i="106"/>
  <c r="D6677" i="106" s="1"/>
  <c r="B6678" i="106"/>
  <c r="D6678" i="106" s="1"/>
  <c r="B6679" i="106"/>
  <c r="D6679" i="106" s="1"/>
  <c r="B6680" i="106"/>
  <c r="D6680" i="106" s="1"/>
  <c r="B6681" i="106"/>
  <c r="D6681" i="106"/>
  <c r="B6682" i="106"/>
  <c r="D6682" i="106" s="1"/>
  <c r="B6683" i="106"/>
  <c r="D6683" i="106" s="1"/>
  <c r="B6684" i="106"/>
  <c r="D6684" i="106"/>
  <c r="B6685" i="106"/>
  <c r="D6685" i="106" s="1"/>
  <c r="B6686" i="106"/>
  <c r="D6686" i="106"/>
  <c r="B6687" i="106"/>
  <c r="D6687" i="106" s="1"/>
  <c r="B6688" i="106"/>
  <c r="D6688" i="106"/>
  <c r="B6689" i="106"/>
  <c r="D6689" i="106"/>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c r="B6703" i="106"/>
  <c r="D6703" i="106"/>
  <c r="B6704" i="106"/>
  <c r="D6704" i="106" s="1"/>
  <c r="B6705" i="106"/>
  <c r="D6705" i="106" s="1"/>
  <c r="B6706" i="106"/>
  <c r="D6706" i="106" s="1"/>
  <c r="B6707" i="106"/>
  <c r="D6707" i="106" s="1"/>
  <c r="B6708" i="106"/>
  <c r="D6708" i="106" s="1"/>
  <c r="B6709" i="106"/>
  <c r="D6709" i="106" s="1"/>
  <c r="B6710" i="106"/>
  <c r="D6710" i="106" s="1"/>
  <c r="B6711" i="106"/>
  <c r="D6711" i="106"/>
  <c r="B6712" i="106"/>
  <c r="D6712" i="106" s="1"/>
  <c r="B6713" i="106"/>
  <c r="D6713" i="106" s="1"/>
  <c r="B6714" i="106"/>
  <c r="D6714" i="106" s="1"/>
  <c r="B6715" i="106"/>
  <c r="D6715" i="106" s="1"/>
  <c r="B6716" i="106"/>
  <c r="D6716" i="106" s="1"/>
  <c r="B6717" i="106"/>
  <c r="D6717" i="106" s="1"/>
  <c r="B6718" i="106"/>
  <c r="D6718" i="106"/>
  <c r="B6719" i="106"/>
  <c r="D6719" i="106"/>
  <c r="B6720" i="106"/>
  <c r="D6720" i="106" s="1"/>
  <c r="B6721" i="106"/>
  <c r="D6721" i="106" s="1"/>
  <c r="B6722" i="106"/>
  <c r="D6722" i="106" s="1"/>
  <c r="B6723" i="106"/>
  <c r="D6723" i="106" s="1"/>
  <c r="B6724" i="106"/>
  <c r="D6724" i="106" s="1"/>
  <c r="B6725" i="106"/>
  <c r="D6725" i="106" s="1"/>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B7735" i="106"/>
  <c r="D7735" i="106" s="1"/>
  <c r="B7736" i="106"/>
  <c r="D7736" i="106" s="1"/>
  <c r="B7737" i="106"/>
  <c r="D7737" i="106" s="1"/>
  <c r="B7738" i="106"/>
  <c r="D7738" i="106" s="1"/>
  <c r="K26" i="12"/>
  <c r="B7743" i="106" s="1"/>
  <c r="D7743"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71" i="36"/>
  <c r="D79" i="36"/>
  <c r="B64" i="127"/>
  <c r="B65" i="127"/>
  <c r="D26" i="108"/>
  <c r="F26" i="108"/>
  <c r="E27" i="108"/>
  <c r="F27" i="108"/>
  <c r="G27" i="108"/>
  <c r="F36" i="108"/>
  <c r="G28"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C57" i="34"/>
  <c r="D57" i="34"/>
  <c r="C61" i="34"/>
  <c r="C62" i="34"/>
  <c r="C63" i="34"/>
  <c r="D63" i="34"/>
  <c r="C64" i="34"/>
  <c r="F64" i="34"/>
  <c r="C67" i="34"/>
  <c r="D67" i="34"/>
  <c r="C68" i="34"/>
  <c r="D68" i="34"/>
  <c r="C69" i="34"/>
  <c r="D69" i="34"/>
  <c r="F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N22" i="3"/>
  <c r="B283" i="106" s="1"/>
  <c r="D283" i="106" s="1"/>
  <c r="D7" i="118"/>
  <c r="D8" i="118"/>
  <c r="D9" i="118"/>
  <c r="H14" i="118"/>
  <c r="H19" i="118"/>
  <c r="H24" i="118"/>
  <c r="H33" i="118"/>
  <c r="D22" i="37"/>
  <c r="J22" i="37"/>
  <c r="D24" i="37"/>
  <c r="B4270" i="106" s="1"/>
  <c r="D4270" i="106" s="1"/>
  <c r="G172" i="5" l="1"/>
  <c r="I24" i="12"/>
  <c r="I26" i="12" s="1"/>
  <c r="B7741" i="106" s="1"/>
  <c r="D7741" i="106" s="1"/>
  <c r="H28" i="118"/>
  <c r="F45" i="34"/>
  <c r="D11" i="37"/>
  <c r="D5" i="4"/>
  <c r="B3406" i="106" s="1"/>
  <c r="D3406" i="106" s="1"/>
  <c r="F21" i="8"/>
  <c r="B1879" i="106" s="1"/>
  <c r="D1879" i="106" s="1"/>
  <c r="H29" i="118"/>
  <c r="K28" i="118" s="1"/>
  <c r="O27" i="118" s="1"/>
  <c r="O29" i="118" s="1"/>
  <c r="I210" i="29"/>
  <c r="B7071" i="106" s="1"/>
  <c r="D7071" i="106" s="1"/>
  <c r="F49" i="34"/>
  <c r="F41" i="34"/>
  <c r="B7074" i="106"/>
  <c r="D7074" i="106" s="1"/>
  <c r="F70" i="34"/>
  <c r="F37" i="34"/>
  <c r="H112" i="29"/>
  <c r="B7018" i="106" s="1"/>
  <c r="D7018" i="106" s="1"/>
  <c r="D31" i="108"/>
  <c r="F131" i="34"/>
  <c r="B7076" i="106"/>
  <c r="D7076" i="106" s="1"/>
  <c r="F35" i="34"/>
  <c r="G35" i="108"/>
  <c r="D13" i="7"/>
  <c r="B3726" i="106" s="1"/>
  <c r="D3726" i="106" s="1"/>
  <c r="E35" i="108"/>
  <c r="C129" i="29"/>
  <c r="C151" i="29" s="1"/>
  <c r="B1226" i="106" s="1"/>
  <c r="D1226" i="106" s="1"/>
  <c r="J210" i="29"/>
  <c r="B7072" i="106" s="1"/>
  <c r="D7072" i="106" s="1"/>
  <c r="L15" i="11"/>
  <c r="B3459" i="106" s="1"/>
  <c r="D3459" i="106" s="1"/>
  <c r="L5" i="11"/>
  <c r="B2056" i="106" s="1"/>
  <c r="D2056" i="106" s="1"/>
  <c r="F38" i="34"/>
  <c r="B7047" i="106"/>
  <c r="D7047" i="106" s="1"/>
  <c r="B4411" i="106"/>
  <c r="D4411" i="106" s="1"/>
  <c r="G33" i="108"/>
  <c r="B1746" i="106"/>
  <c r="D1746" i="106" s="1"/>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F66" i="34"/>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G173" i="5"/>
  <c r="B5778" i="106" s="1"/>
  <c r="D5778" i="106" s="1"/>
  <c r="B5770" i="106"/>
  <c r="D5770" i="106" s="1"/>
  <c r="D109" i="5"/>
  <c r="D9" i="7"/>
  <c r="B1767" i="106" s="1"/>
  <c r="D1767" i="106" s="1"/>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996" i="106"/>
  <c r="D1996"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0" i="106"/>
  <c r="B7503" i="106"/>
  <c r="B7531" i="106"/>
  <c r="D7253" i="106"/>
  <c r="D7251" i="106"/>
  <c r="B7214" i="106"/>
  <c r="D7214" i="106" s="1"/>
  <c r="B6917" i="106"/>
  <c r="D6917" i="106" s="1"/>
  <c r="J74" i="29"/>
  <c r="D273" i="5"/>
  <c r="B5501" i="106" s="1"/>
  <c r="D5501" i="106" s="1"/>
  <c r="D7256" i="106"/>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L151" i="29"/>
  <c r="C273" i="5"/>
  <c r="J24" i="12"/>
  <c r="B7270" i="106"/>
  <c r="H22" i="37" l="1"/>
  <c r="I7" i="4"/>
  <c r="B4444" i="106" s="1"/>
  <c r="D4444" i="106" s="1"/>
  <c r="D41" i="108"/>
  <c r="E43" i="108" s="1"/>
  <c r="H77" i="4"/>
  <c r="B3299" i="106" s="1"/>
  <c r="D3299" i="106" s="1"/>
  <c r="J151" i="29"/>
  <c r="B7052" i="106" s="1"/>
  <c r="D7052" i="106" s="1"/>
  <c r="B1225" i="106"/>
  <c r="D1225" i="106" s="1"/>
  <c r="I6" i="4"/>
  <c r="B5011" i="106" s="1"/>
  <c r="D5011" i="106" s="1"/>
  <c r="L16" i="11"/>
  <c r="B2061" i="106" s="1"/>
  <c r="D206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5719" i="106" l="1"/>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F8" i="146" l="1"/>
  <c r="D10" i="146"/>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D44" i="36"/>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B18" i="7"/>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J13" i="3" l="1"/>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F179"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J275" i="5" l="1"/>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O35" i="118" s="1"/>
  <c r="O37" i="118" s="1"/>
  <c r="K20" i="118"/>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<sst xmlns="http://schemas.openxmlformats.org/spreadsheetml/2006/main" count="5246" uniqueCount="2230">
  <si>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</si>
  <si>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</si>
  <si>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</si>
  <si>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</si>
  <si>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</si>
  <si>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</si>
  <si>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</si>
  <si>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</si>
  <si>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</si>
  <si>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</si>
  <si>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</si>
  <si>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</si>
  <si>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</si>
  <si>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</si>
  <si>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</si>
  <si>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</si>
  <si>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</si>
  <si>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</si>
  <si>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</si>
  <si>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</si>
  <si>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</si>
  <si>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</si>
  <si>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</si>
  <si>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</si>
  <si>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</si>
  <si>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</si>
  <si>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</si>
  <si>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</si>
  <si>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</si>
  <si>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</si>
  <si>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</si>
  <si>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</si>
  <si>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</si>
  <si>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</si>
  <si>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</si>
  <si>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</si>
  <si>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</si>
  <si>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</si>
  <si>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</si>
  <si>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</si>
  <si>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</si>
  <si>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</si>
  <si>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</si>
  <si>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</si>
  <si>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</si>
  <si>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</si>
  <si>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</si>
  <si>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</si>
  <si>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</si>
  <si>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</si>
  <si>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</si>
  <si>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</si>
  <si>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</si>
  <si>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</si>
  <si>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</si>
  <si>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</si>
  <si>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</si>
  <si>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</si>
  <si>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</si>
  <si>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</si>
  <si>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</si>
  <si>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</si>
  <si>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</si>
  <si>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</si>
  <si>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</si>
  <si>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</si>
  <si>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</si>
  <si>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</si>
  <si>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</si>
  <si>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</si>
  <si>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</si>
  <si>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</si>
  <si>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</si>
  <si>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</si>
  <si>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</si>
  <si>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</si>
  <si>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</si>
  <si>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</si>
  <si>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</si>
  <si>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</si>
  <si>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</si>
  <si>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</si>
  <si>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</si>
  <si>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</si>
  <si>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</si>
  <si>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</si>
  <si>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</si>
  <si>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</si>
  <si>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</si>
  <si>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</si>
  <si>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</si>
  <si>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</si>
  <si>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</si>
  <si>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</si>
  <si>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</si>
  <si>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</si>
  <si>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</si>
  <si>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</si>
  <si>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</si>
  <si>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</si>
  <si>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</si>
  <si>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</si>
  <si>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</si>
  <si>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</si>
  <si>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</si>
  <si>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</si>
  <si>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</si>
  <si>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</si>
  <si>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</si>
  <si>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</si>
  <si>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</si>
  <si>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</si>
  <si>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</si>
  <si>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</si>
  <si>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</si>
  <si>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</si>
  <si>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</si>
  <si>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</si>
  <si>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</si>
  <si>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</si>
  <si>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</si>
  <si>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</si>
  <si>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</si>
  <si>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</si>
  <si>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</si>
  <si>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</si>
  <si>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</si>
  <si>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</si>
  <si>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</si>
  <si>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</si>
  <si>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</si>
  <si>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</si>
  <si>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</si>
  <si>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</si>
  <si>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</si>
  <si>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</si>
  <si>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</si>
  <si>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</si>
  <si>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</si>
  <si>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</si>
  <si>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</si>
  <si>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</si>
  <si>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</si>
  <si>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</si>
  <si>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</si>
  <si>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</si>
  <si>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</si>
  <si>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</si>
  <si>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</si>
  <si>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</si>
  <si>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</si>
  <si>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</si>
  <si>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</si>
  <si>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</si>
  <si>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</si>
  <si>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</si>
  <si>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</si>
  <si>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</si>
  <si>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</si>
  <si>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</si>
  <si>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</si>
  <si>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</si>
  <si>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</si>
  <si>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</si>
  <si>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</si>
  <si>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</si>
  <si>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</si>
  <si>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</si>
  <si>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</si>
  <si>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</si>
  <si>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</si>
  <si>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</si>
  <si>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</si>
  <si>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</si>
  <si>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</si>
  <si>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</si>
  <si>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</si>
  <si>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</si>
  <si>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</si>
  <si>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</si>
  <si>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</si>
  <si>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</si>
  <si>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</si>
  <si>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</si>
  <si>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</si>
  <si>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</si>
  <si>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</si>
  <si>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</si>
  <si>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</si>
  <si>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</si>
  <si>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</si>
  <si>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</si>
  <si>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</si>
  <si>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</si>
  <si>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</si>
  <si>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</si>
  <si>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</si>
  <si>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</si>
  <si>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</si>
  <si>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</si>
  <si>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</si>
  <si>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</si>
  <si>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</si>
  <si>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</si>
  <si>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</si>
  <si>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</si>
  <si>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</si>
  <si>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</si>
  <si>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</si>
  <si>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</si>
  <si>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</si>
  <si>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</si>
  <si>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</si>
  <si>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</si>
  <si>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</si>
  <si>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</si>
  <si>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</si>
  <si>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</si>
  <si>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</si>
  <si>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</si>
  <si>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</si>
  <si>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</si>
  <si>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</si>
  <si>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</si>
  <si>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</si>
  <si>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</si>
  <si>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</si>
  <si>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</si>
  <si>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</si>
  <si>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</si>
  <si>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</si>
  <si>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</si>
  <si>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</si>
  <si>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</si>
  <si>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</si>
  <si>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</si>
  <si>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</si>
  <si>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</si>
  <si>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</si>
  <si>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</si>
  <si>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</si>
  <si>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</si>
  <si>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</si>
  <si>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</si>
  <si>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</si>
  <si>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</si>
  <si>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</si>
  <si>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</si>
  <si>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</si>
  <si>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</si>
  <si>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</si>
  <si>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</si>
  <si>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</si>
  <si>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</si>
  <si>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</si>
  <si>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</si>
  <si>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</si>
  <si>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</si>
  <si>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</si>
  <si>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</si>
  <si>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</si>
  <si>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</si>
  <si>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</si>
  <si>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</si>
  <si>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</si>
  <si>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</si>
  <si>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</si>
  <si>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</si>
  <si>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</si>
  <si>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</si>
  <si>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</si>
  <si>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</si>
  <si>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</si>
  <si>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</si>
  <si>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</si>
  <si>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</si>
  <si>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</si>
  <si>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</si>
  <si>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</si>
  <si>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</si>
  <si>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</si>
  <si>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</si>
  <si>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</si>
  <si>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</si>
  <si>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</si>
  <si>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</si>
  <si>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</si>
  <si>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</si>
  <si>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</si>
  <si>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</si>
  <si>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</si>
  <si>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</si>
  <si>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</si>
  <si>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</si>
  <si>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</si>
  <si>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</si>
  <si>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</si>
  <si>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</si>
  <si>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</si>
  <si>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</si>
  <si>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</si>
  <si>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</si>
  <si>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</si>
  <si>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</si>
  <si>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</si>
  <si>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</si>
  <si>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</si>
  <si>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</si>
  <si>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</si>
  <si>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</si>
  <si>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</si>
  <si>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</si>
  <si>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</si>
  <si>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</si>
  <si>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</si>
  <si>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</si>
  <si>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</si>
  <si>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</si>
  <si>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</si>
  <si>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</si>
  <si>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</si>
  <si>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</si>
  <si>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</si>
  <si>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</si>
  <si>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</si>
  <si>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</si>
  <si>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</si>
  <si>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</si>
  <si>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</si>
  <si>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</si>
  <si>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</si>
  <si>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</si>
  <si>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</si>
  <si>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</si>
  <si>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</si>
  <si>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</si>
  <si>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</si>
  <si>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</si>
  <si>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</si>
  <si>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</si>
  <si>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</si>
  <si>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</si>
  <si>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</si>
  <si>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</si>
  <si>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</si>
  <si>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</si>
  <si>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</si>
  <si>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</si>
  <si>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</si>
  <si>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</si>
  <si>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</si>
  <si>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</si>
  <si>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</si>
  <si>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</si>
  <si>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</si>
  <si>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</si>
  <si>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</si>
  <si>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</si>
  <si>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</si>
  <si>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</si>
  <si>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</si>
  <si>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</si>
  <si>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</si>
  <si>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</si>
  <si>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</si>
  <si>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</si>
  <si>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</si>
  <si>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</si>
  <si>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</si>
  <si>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</si>
  <si>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</si>
  <si>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</si>
  <si>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</si>
  <si>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</si>
  <si>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</si>
  <si>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</si>
  <si>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</si>
  <si>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</si>
  <si>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</si>
  <si>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</si>
  <si>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</si>
  <si>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</si>
  <si>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</si>
  <si>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</si>
  <si>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</si>
  <si>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</si>
  <si>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</si>
  <si>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</si>
  <si>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</si>
  <si>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</si>
  <si>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</si>
  <si>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</si>
  <si>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</si>
  <si>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</si>
  <si>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</si>
  <si>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</si>
  <si>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</si>
  <si>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</si>
  <si>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</si>
  <si>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</si>
  <si>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</si>
  <si>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</si>
  <si>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</si>
  <si>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</si>
  <si>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</si>
  <si>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</si>
  <si>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</si>
  <si>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</si>
  <si>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</si>
  <si>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</si>
  <si>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</si>
  <si>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</si>
  <si>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</si>
  <si>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</si>
  <si>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</si>
  <si>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</si>
  <si>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</si>
  <si>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</si>
  <si>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</si>
  <si>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</si>
  <si>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</si>
  <si>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</si>
  <si>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</si>
  <si>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</si>
  <si>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</si>
  <si>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</si>
  <si>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</si>
  <si>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</si>
  <si>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</si>
  <si>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</si>
  <si>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</si>
  <si>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</si>
  <si>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</si>
  <si>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</si>
  <si>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</si>
  <si>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</si>
  <si>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</si>
  <si>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</si>
  <si>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</si>
  <si>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</si>
  <si>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</si>
  <si>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</si>
  <si>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</si>
  <si>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</si>
  <si>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</si>
  <si>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</si>
  <si>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</si>
  <si>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</si>
  <si>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</si>
  <si>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</si>
  <si>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</si>
  <si>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</si>
  <si>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</si>
  <si>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</si>
  <si>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</si>
  <si>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</si>
  <si>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</si>
  <si>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</si>
  <si>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</si>
  <si>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</si>
  <si>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</si>
  <si>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</si>
  <si>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</si>
  <si>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</si>
  <si>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</si>
  <si>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</si>
  <si>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</si>
  <si>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</si>
  <si>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</si>
  <si>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</si>
  <si>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</si>
  <si>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</si>
  <si>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</si>
  <si>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</si>
  <si>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</si>
  <si>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</si>
  <si>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</si>
  <si>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</si>
  <si>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</si>
  <si>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</si>
  <si>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</si>
  <si>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</si>
  <si>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</si>
  <si>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</si>
  <si>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</si>
  <si>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</si>
  <si>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</si>
  <si>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</si>
  <si>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</si>
  <si>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</si>
  <si>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</si>
  <si>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</si>
  <si>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</si>
  <si>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</si>
  <si>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</si>
  <si>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</si>
  <si>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</si>
  <si>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</si>
  <si>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</si>
  <si>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</si>
  <si>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</si>
  <si>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</si>
  <si>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</si>
  <si>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</si>
  <si>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</si>
  <si>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</si>
  <si>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</si>
  <si>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</si>
  <si>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</si>
  <si>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</si>
  <si>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</si>
  <si>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</si>
  <si>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</si>
  <si>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</si>
  <si>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</si>
  <si>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</si>
  <si>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</si>
  <si>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</si>
  <si>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</si>
  <si>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</si>
  <si>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</si>
  <si>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</si>
  <si>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</si>
  <si>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</si>
  <si>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</si>
  <si>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</si>
  <si>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</si>
  <si>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</si>
  <si>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</si>
  <si>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</si>
  <si>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</si>
  <si>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</si>
  <si>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</si>
  <si>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</si>
  <si>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</si>
  <si>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</si>
  <si>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</si>
  <si>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</si>
  <si>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</si>
  <si>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</si>
  <si>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</si>
  <si>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</si>
  <si>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</si>
  <si>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</si>
  <si>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</si>
  <si>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</si>
  <si>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</si>
  <si>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</si>
  <si>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</si>
  <si>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</si>
  <si>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</si>
  <si>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</si>
  <si>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</si>
  <si>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</si>
  <si>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</si>
  <si>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</si>
  <si>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</si>
  <si>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</si>
  <si>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</si>
  <si>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</si>
  <si>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</si>
  <si>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</si>
  <si>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</si>
  <si>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</si>
  <si>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</si>
  <si>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</si>
  <si>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</si>
  <si>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</si>
  <si>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</si>
  <si>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</si>
  <si>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</si>
  <si>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</si>
  <si>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</si>
  <si>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</si>
  <si>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</si>
  <si>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</si>
  <si>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</si>
  <si>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</si>
  <si>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</si>
  <si>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</si>
  <si>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</si>
  <si>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</si>
  <si>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</si>
  <si>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</si>
  <si>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</si>
  <si>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</si>
  <si>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</si>
  <si>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</si>
  <si>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</si>
  <si>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</si>
  <si>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</si>
  <si>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</si>
  <si>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</si>
  <si>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</si>
  <si>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</si>
  <si>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</si>
  <si>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</si>
  <si>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</si>
  <si>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</si>
  <si>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</si>
  <si>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</si>
  <si>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</si>
  <si>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</si>
  <si>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</si>
  <si>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</si>
  <si>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</si>
  <si>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</si>
  <si>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</si>
  <si>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</si>
  <si>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</si>
  <si>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</si>
  <si>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</si>
  <si>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</si>
  <si>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</si>
  <si>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</si>
  <si>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</si>
  <si>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</si>
  <si>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</si>
  <si>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</si>
  <si>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</si>
  <si>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</si>
  <si>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</si>
  <si>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</si>
  <si>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</si>
  <si>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</si>
  <si>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</si>
  <si>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</si>
  <si>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</si>
  <si>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</si>
  <si>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</si>
  <si>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</si>
  <si>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</si>
  <si>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</si>
  <si>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</si>
  <si>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</si>
  <si>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</si>
  <si>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</si>
  <si>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</si>
  <si>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</si>
  <si>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</si>
  <si>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</si>
  <si>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</si>
  <si>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</si>
  <si>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</si>
  <si>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</si>
  <si>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</si>
  <si>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</si>
  <si>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</si>
  <si>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</si>
  <si>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</si>
  <si>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</si>
  <si>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</si>
  <si>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</si>
  <si>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</si>
  <si>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</si>
  <si>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</si>
  <si>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</si>
  <si>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</si>
  <si>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</si>
  <si>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</si>
  <si>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</si>
  <si>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</si>
  <si>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</si>
  <si>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</si>
  <si>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</si>
  <si>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</si>
  <si>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</si>
  <si>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</si>
  <si>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</si>
  <si>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</si>
  <si>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</si>
  <si>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</si>
  <si>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</si>
  <si>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</si>
  <si>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</si>
  <si>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</si>
  <si>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</si>
  <si>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</si>
  <si>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</si>
  <si>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</si>
  <si>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</si>
  <si>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</si>
  <si>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</si>
  <si>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</si>
  <si>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</si>
  <si>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</si>
  <si>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</si>
  <si>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</si>
  <si>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</si>
  <si>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</si>
  <si>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</si>
  <si>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</si>
  <si>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</si>
  <si>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</si>
  <si>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</si>
  <si>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</si>
  <si>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</si>
  <si>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</si>
  <si>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</si>
  <si>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</si>
  <si>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</si>
  <si>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</si>
  <si>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</si>
  <si>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</si>
  <si>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</si>
  <si>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</si>
  <si>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</si>
  <si>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</si>
  <si>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</si>
  <si>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</si>
  <si>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</si>
  <si>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</si>
  <si>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</si>
  <si>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</si>
  <si>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</si>
  <si>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</si>
  <si>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</si>
  <si>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</si>
  <si>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</si>
  <si>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</si>
  <si>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</si>
  <si>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</si>
  <si>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</si>
  <si>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</si>
  <si>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</si>
  <si>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</si>
  <si>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</si>
  <si>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</si>
  <si>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</si>
  <si>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</si>
  <si>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</si>
  <si>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</si>
  <si>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</si>
  <si>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</si>
  <si>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</si>
  <si>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</si>
  <si>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</si>
  <si>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</si>
  <si>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</si>
  <si>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</si>
  <si>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</si>
  <si>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</si>
  <si>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</si>
  <si>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</si>
  <si>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</si>
  <si>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</si>
  <si>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</si>
  <si>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</si>
  <si>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</si>
  <si>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</si>
  <si>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</si>
  <si>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</si>
  <si>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</si>
  <si>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</si>
  <si>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</si>
  <si>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</si>
  <si>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</si>
  <si>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</si>
  <si>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</si>
  <si>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</si>
  <si>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</si>
  <si>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</si>
  <si>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</si>
  <si>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</si>
  <si>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</si>
  <si>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</si>
  <si>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</si>
  <si>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</si>
  <si>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</si>
  <si>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</si>
  <si>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</si>
  <si>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</si>
  <si>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</si>
  <si>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</si>
  <si>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</si>
  <si>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</si>
  <si>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</si>
  <si>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</si>
  <si>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</si>
  <si>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</si>
  <si>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</si>
  <si>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</si>
  <si>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</si>
  <si>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</si>
  <si>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</si>
  <si>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</si>
  <si>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</si>
  <si>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</si>
  <si>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</si>
  <si>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</si>
  <si>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</si>
  <si>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</si>
  <si>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</si>
  <si>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</si>
  <si>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</si>
  <si>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</si>
  <si>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</si>
  <si>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</si>
  <si>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</si>
  <si>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</si>
  <si>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</si>
  <si>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</si>
  <si>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</si>
  <si>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</si>
  <si>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</si>
  <si>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</si>
  <si>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</si>
  <si>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</si>
  <si>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</si>
  <si>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</si>
  <si>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</si>
  <si>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</si>
  <si>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</si>
  <si>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</si>
  <si>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</si>
  <si>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</si>
  <si>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</si>
  <si>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</si>
  <si>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</si>
  <si>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</si>
  <si>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</si>
  <si>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</si>
  <si>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</si>
  <si>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</si>
  <si>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</si>
  <si>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</si>
  <si>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</si>
  <si>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</si>
  <si>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</si>
  <si>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</si>
  <si>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</si>
  <si>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</si>
  <si>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</si>
  <si>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</si>
  <si>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</si>
  <si>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</si>
  <si>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</si>
  <si>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</si>
  <si>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</si>
  <si>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</si>
  <si>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</si>
  <si>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</si>
  <si>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</si>
  <si>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</si>
  <si>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</si>
  <si>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</si>
  <si>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</si>
  <si>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</si>
  <si>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</si>
  <si>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</si>
  <si>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</si>
  <si>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</si>
  <si>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</si>
  <si>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</si>
  <si>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</si>
  <si>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</si>
  <si>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</si>
  <si>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</si>
  <si>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</si>
  <si>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</si>
  <si>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</si>
  <si>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</si>
  <si>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</si>
  <si>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</si>
  <si>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</si>
  <si>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</si>
  <si>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</si>
  <si>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</si>
  <si>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</si>
  <si>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</si>
  <si>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</si>
  <si>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</si>
  <si>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</si>
  <si>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</si>
  <si>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</si>
  <si>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</si>
  <si>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</si>
  <si>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</si>
  <si>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</si>
  <si>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</si>
  <si>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</si>
  <si>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</si>
  <si>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</si>
  <si>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</si>
  <si>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</si>
  <si>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</si>
  <si>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</si>
  <si>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</si>
  <si>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</si>
  <si>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</si>
  <si>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</si>
  <si>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</si>
  <si>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</si>
  <si>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</si>
  <si>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</si>
  <si>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</si>
  <si>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</si>
  <si>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</si>
  <si>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</si>
  <si>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</si>
  <si>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</si>
  <si>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</si>
  <si>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</si>
  <si>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</si>
  <si>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</si>
  <si>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</si>
  <si>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</si>
  <si>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</si>
  <si>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</si>
  <si>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</si>
  <si>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</si>
  <si>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</si>
  <si>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</si>
  <si>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</si>
  <si>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</si>
  <si>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</si>
  <si>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</si>
  <si>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</si>
  <si>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</si>
  <si>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</si>
  <si>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</si>
  <si>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</si>
  <si>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</si>
  <si>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</si>
  <si>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</si>
  <si>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</si>
  <si>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</si>
  <si>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</si>
  <si>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</si>
  <si>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</si>
  <si>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</si>
  <si>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</si>
  <si>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</si>
  <si>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</si>
  <si>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</si>
  <si>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</si>
  <si>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</si>
  <si>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</si>
  <si>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</si>
  <si>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</si>
  <si>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</si>
  <si>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</si>
  <si>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</si>
  <si>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</si>
  <si>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</si>
  <si>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</si>
  <si>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</si>
  <si>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</si>
  <si>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</si>
  <si>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</si>
  <si>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</si>
  <si>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</si>
  <si>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</si>
  <si>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</si>
  <si>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</si>
  <si>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</si>
  <si>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</si>
  <si>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</si>
  <si>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</si>
  <si>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</si>
  <si>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</si>
  <si>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</si>
  <si>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</si>
  <si>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</si>
  <si>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</si>
  <si>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</si>
  <si>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</si>
  <si>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</si>
  <si>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</si>
  <si>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</si>
  <si>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</si>
  <si>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</si>
  <si>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</si>
  <si>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</si>
  <si>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</si>
  <si>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</si>
  <si>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</si>
  <si>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</si>
  <si>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</si>
  <si>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</si>
  <si>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</si>
  <si>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</si>
  <si>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</si>
  <si>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</si>
  <si>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</si>
  <si>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</si>
  <si>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</si>
  <si>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</si>
  <si>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</si>
  <si>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</si>
  <si>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</si>
  <si>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</si>
  <si>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</si>
  <si>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</si>
  <si>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</si>
  <si>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</si>
  <si>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</si>
  <si>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</si>
  <si>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</si>
  <si>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</si>
  <si>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</si>
  <si>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</si>
  <si>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</si>
  <si>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</si>
  <si>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</si>
  <si>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</si>
  <si>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</si>
  <si>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</si>
  <si>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</si>
  <si>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</si>
  <si>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</si>
  <si>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</si>
  <si>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</si>
  <si>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</si>
  <si>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</si>
  <si>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</si>
  <si>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</si>
  <si>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</si>
  <si>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</si>
  <si>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</si>
  <si>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</si>
  <si>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</si>
  <si>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</si>
  <si>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</si>
  <si>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</si>
  <si>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</si>
  <si>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</si>
  <si>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</si>
  <si>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</si>
  <si>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</si>
  <si>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</si>
  <si>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</si>
  <si>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</si>
  <si>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</si>
  <si>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</si>
  <si>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</si>
  <si>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</si>
  <si>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</si>
  <si>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</si>
  <si>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</si>
  <si>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</si>
  <si>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</si>
  <si>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</si>
  <si>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</si>
  <si>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</si>
  <si>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</si>
  <si>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</si>
  <si>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</si>
  <si>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</si>
  <si>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</si>
  <si>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</si>
  <si>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</si>
  <si>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</si>
  <si>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</si>
  <si>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</si>
  <si>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</si>
  <si>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</si>
  <si>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</si>
  <si>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</si>
  <si>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</si>
  <si>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</si>
  <si>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</si>
  <si>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</si>
  <si>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</si>
  <si>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</si>
  <si>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</si>
  <si>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</si>
  <si>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</si>
  <si>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</si>
  <si>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</si>
  <si>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</si>
  <si>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</si>
  <si>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</si>
  <si>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</si>
  <si>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</si>
  <si>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</si>
  <si>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</si>
  <si>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</si>
  <si>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</si>
  <si>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</si>
  <si>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</si>
  <si>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</si>
  <si>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</si>
  <si>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</si>
  <si>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</si>
  <si>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</si>
  <si>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</si>
  <si>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</si>
  <si>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</si>
  <si>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</si>
  <si>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</si>
  <si>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</si>
  <si>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</si>
  <si>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</si>
  <si>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</si>
  <si>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</si>
  <si>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</si>
  <si>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</si>
  <si>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</si>
  <si>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</si>
  <si>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</si>
  <si>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</si>
  <si>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</si>
  <si>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</si>
  <si>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</si>
  <si>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</si>
  <si>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</si>
  <si>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</si>
  <si>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</si>
  <si>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</si>
  <si>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</si>
  <si>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</si>
  <si>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</si>
  <si>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</si>
  <si>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</si>
  <si>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</si>
  <si>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</si>
  <si>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</si>
  <si>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</si>
  <si>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</si>
  <si>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</si>
  <si>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</si>
  <si>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</si>
  <si>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</si>
  <si>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</si>
  <si>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</si>
  <si>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</si>
  <si>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</si>
  <si>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</si>
  <si>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</si>
  <si>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</si>
  <si>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</si>
  <si>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</si>
  <si>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</si>
  <si>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</si>
  <si>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</si>
  <si>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</si>
  <si>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</si>
  <si>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</si>
  <si>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</si>
  <si>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</si>
  <si>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</si>
  <si>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</si>
  <si>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</si>
  <si>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</si>
  <si>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</si>
  <si>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</si>
  <si>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</si>
  <si>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</si>
  <si>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</si>
  <si>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</si>
  <si>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</si>
  <si>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</si>
  <si>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</si>
  <si>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</si>
  <si>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</si>
  <si>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</si>
  <si>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</si>
  <si>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</si>
  <si>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</si>
  <si>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</si>
  <si>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</si>
  <si>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</si>
  <si>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</si>
  <si>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</si>
  <si>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</si>
  <si>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</si>
  <si>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</si>
  <si>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</si>
  <si>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</si>
  <si>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</si>
  <si>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</si>
  <si>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</si>
  <si>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</si>
  <si>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</si>
  <si>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</si>
  <si>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</si>
  <si>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</si>
  <si>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</si>
  <si>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</si>
  <si>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</si>
  <si>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</si>
  <si>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</si>
  <si>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</si>
  <si>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</si>
  <si>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</si>
  <si>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</si>
  <si>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</si>
  <si>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</si>
  <si>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</si>
  <si>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</si>
  <si>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</si>
  <si>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</si>
  <si>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</si>
  <si>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</si>
  <si>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</si>
  <si>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</si>
  <si>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</si>
  <si>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</si>
  <si>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</si>
  <si>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</si>
  <si>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</si>
  <si>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</si>
  <si>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</si>
  <si>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</si>
  <si>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</si>
  <si>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</si>
  <si>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</si>
  <si>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</si>
  <si>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</si>
  <si>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</si>
  <si>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</si>
  <si>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</si>
  <si>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</si>
  <si>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</si>
  <si>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</si>
  <si>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</si>
  <si>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</si>
  <si>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</si>
  <si>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</si>
  <si>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</si>
  <si>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</si>
  <si>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</si>
  <si>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</si>
  <si>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</si>
  <si>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</si>
  <si>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</si>
  <si>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</si>
  <si>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</si>
  <si>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</si>
  <si>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</si>
  <si>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</si>
  <si>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</si>
  <si>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</si>
  <si>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</si>
  <si>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</si>
  <si>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</si>
  <si>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</si>
  <si>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</si>
  <si>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</si>
  <si>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</si>
  <si>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</si>
  <si>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</si>
  <si>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</si>
  <si>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</si>
  <si>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</si>
  <si>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</si>
  <si>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</si>
  <si>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</si>
  <si>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</si>
  <si>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</si>
  <si>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</si>
  <si>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</si>
  <si>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</si>
  <si>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</si>
  <si>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</si>
  <si>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</si>
  <si>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</si>
  <si>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</si>
  <si>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</si>
  <si>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</si>
  <si>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</si>
  <si>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</si>
  <si>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</si>
  <si>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</si>
  <si>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</si>
  <si>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</si>
  <si>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</si>
  <si>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</si>
  <si>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</si>
  <si>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</si>
  <si>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</si>
  <si>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</si>
  <si>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</si>
  <si>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</si>
  <si>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</si>
  <si>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</si>
  <si>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</si>
  <si>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</si>
  <si>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</si>
  <si>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</si>
  <si>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</si>
  <si>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</si>
  <si>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</si>
  <si>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</si>
  <si>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</si>
  <si>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</si>
  <si>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</si>
  <si>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</si>
  <si>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</si>
  <si>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</si>
  <si>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</si>
  <si>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</si>
  <si>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</si>
  <si>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</si>
  <si>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</si>
  <si>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</si>
  <si>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</si>
  <si>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</si>
  <si>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</si>
  <si>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</si>
  <si>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</si>
  <si>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</si>
  <si>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</si>
  <si>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</si>
  <si>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</si>
  <si>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</si>
  <si>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</si>
  <si>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</si>
  <si>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</si>
  <si>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</si>
  <si>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</si>
  <si>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</si>
  <si>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</si>
  <si>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</si>
  <si>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</si>
  <si>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</si>
  <si>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</si>
  <si>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</si>
  <si>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</si>
  <si>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</si>
  <si>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</si>
  <si>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</si>
  <si>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</si>
  <si>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</si>
  <si>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</si>
  <si>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</si>
  <si>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</si>
  <si>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</si>
  <si>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</si>
  <si>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</si>
  <si>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</si>
  <si>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</si>
  <si>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</si>
  <si>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</si>
  <si>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</si>
  <si>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</si>
  <si>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</si>
  <si>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</si>
  <si>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</si>
  <si>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</si>
  <si>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</si>
  <si>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</si>
  <si>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</si>
  <si>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</si>
  <si>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</si>
  <si>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</si>
  <si>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</si>
  <si>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</si>
  <si>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</si>
  <si>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</si>
  <si>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</si>
  <si>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</si>
  <si>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</si>
  <si>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</si>
  <si>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</si>
  <si>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</si>
  <si>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</si>
  <si>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</si>
  <si>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</si>
  <si>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</si>
  <si>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</si>
  <si>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</si>
  <si>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</si>
  <si>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</si>
  <si>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</si>
  <si>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</si>
  <si>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</si>
  <si>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</si>
  <si>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</si>
  <si>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</si>
  <si>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</si>
  <si>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</si>
  <si>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</si>
  <si>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</si>
  <si>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</si>
  <si>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</si>
  <si>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</si>
  <si>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</si>
  <si>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</si>
  <si>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</si>
  <si>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</si>
  <si>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</si>
  <si>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</si>
  <si>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</si>
  <si>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</si>
  <si>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</si>
  <si>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</si>
  <si>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</si>
  <si>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</si>
  <si>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</si>
  <si>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</si>
  <si>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</si>
  <si>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</si>
  <si>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</si>
  <si>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</si>
  <si>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</si>
  <si>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</si>
  <si>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</si>
  <si>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</si>
  <si>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</si>
  <si>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</si>
  <si>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</si>
  <si>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</si>
  <si>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</si>
  <si>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</si>
  <si>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</si>
  <si>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</si>
  <si>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</si>
  <si>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</si>
  <si>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</si>
  <si>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</si>
  <si>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</si>
  <si>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</si>
  <si>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</si>
  <si>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</si>
  <si>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</si>
  <si>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</si>
  <si>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</si>
  <si>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</si>
  <si>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</si>
  <si>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</si>
  <si>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</si>
  <si>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</si>
  <si>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</si>
  <si>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</si>
  <si>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</si>
  <si>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</si>
  <si>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</si>
  <si>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</si>
  <si>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</si>
  <si>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</si>
  <si>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</si>
  <si>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</si>
  <si>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</si>
  <si>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</si>
  <si>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</si>
  <si>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</si>
  <si>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</si>
  <si>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</si>
  <si>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</si>
  <si>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</si>
  <si>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</si>
  <si>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</si>
  <si>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</si>
  <si>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</si>
  <si>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</si>
  <si>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</si>
  <si>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</si>
  <si>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</si>
  <si>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</si>
  <si>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</si>
  <si>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</si>
  <si>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</si>
  <si>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</si>
  <si>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</si>
  <si>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</si>
  <si>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</si>
  <si>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</si>
  <si>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</si>
  <si>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</si>
  <si>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</si>
  <si>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</si>
  <si>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</si>
  <si>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</si>
  <si>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</si>
  <si>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</si>
  <si>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</si>
  <si>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</si>
  <si>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</si>
  <si>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</si>
  <si>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</si>
  <si>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</si>
  <si>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</si>
  <si>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</si>
  <si>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</si>
  <si>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</si>
  <si>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</si>
  <si>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</si>
  <si>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</si>
  <si>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</si>
  <si>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</si>
  <si>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</si>
  <si>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</si>
  <si>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</si>
  <si>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</si>
  <si>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</si>
  <si>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</si>
  <si>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</si>
  <si>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</si>
  <si>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</si>
  <si>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</si>
  <si>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</si>
  <si>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</si>
  <si>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</si>
  <si>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</si>
  <si>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</si>
  <si>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</si>
  <si>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</si>
  <si>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</si>
  <si>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</si>
  <si>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</si>
  <si>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</si>
  <si>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</si>
  <si>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</si>
  <si>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</si>
  <si>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</si>
  <si>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</si>
  <si>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</si>
  <si>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</si>
  <si>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</si>
  <si>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</si>
  <si>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</si>
  <si>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</si>
  <si>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</si>
  <si>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</si>
  <si>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</si>
  <si>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</si>
  <si>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</si>
  <si>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</si>
  <si>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</si>
  <si>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</si>
  <si>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</si>
  <si>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</si>
  <si>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</si>
  <si>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</si>
  <si>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</si>
  <si>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</si>
  <si>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</si>
  <si>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</si>
  <si>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</si>
  <si>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</si>
  <si>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</si>
  <si>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</si>
  <si>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</si>
  <si>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</si>
  <si>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</si>
  <si>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</si>
  <si>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</si>
  <si>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</si>
  <si>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</si>
  <si>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</si>
  <si>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</si>
  <si>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</si>
  <si>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</si>
  <si>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</si>
  <si>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</si>
  <si>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</si>
  <si>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</si>
  <si>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</si>
  <si>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</si>
  <si>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</si>
  <si>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</si>
  <si>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</si>
  <si>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</si>
  <si>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</si>
  <si>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</si>
  <si>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</si>
  <si>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</si>
  <si>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</si>
  <si>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</si>
  <si>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</si>
  <si>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</si>
  <si>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</si>
  <si>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</si>
  <si>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</si>
  <si>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</si>
  <si>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</si>
  <si>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</si>
  <si>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</si>
  <si>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</si>
  <si>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</si>
  <si>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</si>
  <si>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</si>
  <si>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</si>
  <si>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</si>
  <si>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</si>
  <si>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</si>
  <si>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</si>
  <si>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</si>
  <si>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</si>
  <si>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</si>
  <si>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</si>
  <si>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</si>
  <si>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</si>
  <si>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</si>
  <si>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</si>
  <si>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</si>
  <si>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</si>
  <si>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</si>
  <si>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</si>
  <si>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</si>
  <si>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</si>
  <si>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</si>
  <si>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</si>
  <si>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</si>
  <si>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</si>
  <si>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</si>
  <si>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</si>
  <si>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</si>
  <si>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</si>
  <si>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</si>
  <si>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</si>
  <si>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</si>
  <si>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</si>
  <si>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</si>
  <si>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</si>
  <si>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</si>
  <si>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</si>
  <si>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</si>
  <si>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</si>
  <si>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</si>
  <si>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</si>
  <si>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</si>
  <si>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</si>
  <si>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</si>
  <si>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</si>
  <si>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</si>
  <si>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</si>
  <si>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</si>
  <si>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</si>
  <si>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</si>
  <si>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</si>
  <si>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</si>
  <si>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</si>
  <si>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</si>
  <si>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</si>
  <si>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</si>
  <si>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</si>
  <si>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</si>
  <si>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</si>
  <si>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</si>
  <si>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</si>
  <si>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</si>
  <si>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</si>
  <si>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</si>
  <si>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</si>
  <si>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</si>
  <si>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</si>
  <si>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</si>
  <si>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</si>
  <si>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</si>
  <si>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</si>
  <si>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</si>
  <si>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</si>
  <si>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</si>
  <si>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</si>
  <si>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</si>
  <si>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</si>
  <si>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</si>
  <si>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</si>
  <si>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</si>
  <si>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</si>
  <si>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</si>
  <si>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</si>
  <si>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</si>
  <si>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</si>
  <si>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</si>
  <si>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</si>
  <si>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</si>
  <si>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</si>
  <si>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</si>
  <si>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</si>
  <si>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</si>
  <si>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</si>
  <si>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</si>
  <si>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</si>
  <si>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</si>
  <si>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</si>
  <si>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</si>
  <si>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</si>
  <si>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</si>
  <si>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</si>
  <si>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</si>
  <si>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</si>
  <si>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</si>
  <si>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</si>
  <si>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</si>
  <si>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</si>
  <si>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</si>
  <si>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</si>
  <si>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</si>
  <si>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</si>
  <si>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</si>
  <si>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</si>
  <si>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</si>
  <si>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</si>
  <si>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</si>
  <si>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</si>
  <si>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</si>
  <si>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</si>
  <si>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</si>
  <si>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</si>
  <si>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</si>
  <si>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</si>
  <si>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</si>
  <si>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</si>
  <si>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</si>
  <si>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</si>
  <si>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</si>
  <si>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</si>
  <si>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</si>
  <si>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</si>
  <si>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</si>
  <si>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</si>
  <si>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</si>
  <si>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</si>
  <si>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</si>
  <si>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</si>
  <si>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</si>
  <si>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</si>
  <si>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</si>
  <si>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</si>
  <si>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</si>
  <si>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</si>
  <si>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</si>
  <si>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</si>
  <si>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</si>
  <si>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</si>
  <si>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</si>
  <si>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</si>
  <si>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</si>
  <si>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</si>
  <si>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</si>
  <si>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</si>
  <si>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</si>
  <si>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</si>
  <si>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</si>
  <si>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</si>
  <si>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</si>
  <si>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</si>
  <si>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</si>
  <si>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</si>
  <si>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</si>
  <si>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</si>
  <si>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</si>
  <si>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</si>
  <si>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</si>
  <si>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</si>
  <si>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</si>
  <si>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</si>
  <si>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</si>
  <si>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</si>
  <si>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</si>
  <si>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</si>
  <si>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</si>
  <si>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</si>
  <si>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</si>
  <si>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</si>
  <si>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</si>
  <si>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</si>
  <si>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</si>
  <si>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</si>
  <si>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</si>
  <si>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</si>
  <si>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</si>
  <si>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</si>
  <si>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</si>
  <si>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</si>
  <si>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</si>
  <si>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</si>
  <si>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</si>
  <si>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</si>
  <si>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</si>
  <si>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</si>
  <si>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</si>
  <si>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</si>
  <si>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</si>
  <si>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</si>
  <si>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</si>
  <si>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</si>
  <si>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</si>
  <si>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</si>
  <si>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</si>
  <si>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</si>
  <si>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</si>
  <si>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</si>
  <si>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</si>
  <si>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</si>
  <si>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</si>
  <si>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</si>
  <si>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</si>
  <si>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</si>
  <si>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</si>
  <si>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</si>
  <si>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</si>
  <si>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</si>
  <si>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</si>
  <si>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</si>
  <si>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</si>
  <si>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</si>
  <si>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</si>
  <si>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</si>
  <si>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</si>
  <si>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</si>
  <si>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</si>
  <si>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</si>
  <si>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</si>
  <si>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</si>
  <si>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</si>
  <si>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</si>
  <si>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</si>
  <si>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</si>
  <si>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</si>
  <si>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</si>
  <si>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</si>
  <si>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</si>
  <si>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</si>
  <si>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</si>
  <si>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</si>
  <si>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</si>
  <si>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</si>
  <si>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</si>
  <si>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</si>
  <si>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</si>
  <si>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</si>
  <si>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</si>
  <si>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</si>
  <si>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</si>
  <si>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</si>
  <si>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</si>
  <si>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</si>
  <si>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</si>
  <si>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</si>
  <si>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</si>
  <si>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</si>
  <si>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</si>
  <si>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</si>
  <si>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</si>
  <si>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</si>
  <si>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</si>
  <si>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</si>
  <si>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</si>
  <si>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</si>
  <si>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</si>
  <si>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</si>
  <si>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</si>
  <si>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</si>
  <si>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</si>
  <si>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</si>
  <si>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</si>
  <si>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</si>
  <si>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</si>
  <si>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</si>
  <si>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</si>
  <si>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</si>
  <si>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</si>
  <si>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</si>
  <si>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</si>
  <si>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</si>
  <si>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</si>
  <si>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</si>
  <si>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</si>
  <si>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</si>
  <si>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</si>
  <si>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</si>
  <si>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</si>
  <si>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</si>
  <si>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</si>
  <si>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</si>
  <si>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</si>
  <si>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</si>
  <si>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</si>
  <si>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</si>
  <si>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</si>
  <si>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</si>
  <si>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</si>
  <si>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</si>
  <si>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</si>
  <si>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</si>
  <si>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</si>
  <si>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</si>
  <si>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</si>
  <si>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</si>
  <si>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</si>
  <si>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</si>
  <si>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</si>
  <si>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</si>
  <si>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</si>
  <si>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</si>
  <si>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</si>
  <si>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</si>
  <si>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</si>
  <si>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</si>
  <si>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</si>
  <si>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</si>
  <si>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</si>
  <si>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</si>
  <si>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</si>
  <si>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</si>
  <si>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</si>
  <si>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</si>
  <si>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</si>
  <si>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</si>
  <si>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</si>
  <si>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</si>
  <si>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</si>
  <si>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</si>
  <si>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</si>
  <si>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</si>
  <si>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</si>
  <si>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</si>
  <si>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</si>
  <si>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</si>
  <si>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</si>
  <si>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</si>
  <si>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</si>
  <si>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</si>
  <si>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</si>
  <si>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</si>
  <si>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</si>
  <si>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</si>
  <si>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</si>
  <si>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</si>
  <si>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</si>
  <si>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</si>
  <si>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</si>
  <si>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</si>
  <si>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</si>
  <si>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</si>
  <si>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</si>
  <si>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</si>
  <si>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</si>
  <si>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</si>
  <si>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</si>
  <si>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</si>
  <si>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</si>
  <si>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</si>
  <si>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</si>
  <si>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</si>
  <si>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</si>
  <si>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</si>
  <si>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</si>
  <si>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</si>
  <si>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</si>
  <si>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</si>
  <si>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</si>
  <si>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</si>
  <si>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</si>
  <si>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</si>
  <si>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</si>
  <si>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</si>
  <si>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</si>
  <si>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</si>
  <si>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</si>
  <si>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</si>
  <si>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</si>
  <si>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</si>
  <si>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</si>
  <si>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</si>
  <si>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</si>
  <si>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</si>
  <si>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</si>
  <si>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</si>
  <si>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</si>
  <si>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</si>
  <si>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</si>
  <si>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</si>
  <si>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</si>
  <si>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</si>
  <si>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</si>
  <si>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</si>
  <si>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</si>
  <si>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</si>
  <si>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</si>
  <si>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</si>
  <si>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</si>
  <si>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</si>
  <si>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</si>
  <si>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</si>
  <si>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</si>
  <si>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</si>
  <si>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</si>
  <si>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</si>
  <si>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</si>
  <si>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</si>
  <si>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</si>
  <si>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</si>
  <si>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</si>
  <si>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</si>
  <si>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</si>
  <si>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</si>
  <si>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</si>
  <si>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</si>
  <si>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</si>
  <si>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</si>
  <si>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</si>
  <si>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</si>
  <si>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</si>
  <si>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</si>
  <si>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</si>
  <si>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</si>
  <si>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</si>
  <si>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</si>
  <si>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</si>
  <si>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</si>
  <si>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</si>
  <si>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</si>
  <si>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</si>
  <si>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</si>
  <si>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</si>
  <si>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</si>
  <si>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</si>
  <si>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</si>
  <si>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</si>
  <si>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</si>
  <si>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</si>
  <si>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</si>
  <si>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</si>
  <si>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</si>
  <si>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</si>
  <si>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</si>
  <si>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</si>
  <si>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</si>
  <si>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</si>
  <si>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</si>
  <si>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</si>
  <si>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</si>
  <si>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</si>
  <si>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</si>
  <si>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</si>
  <si>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</si>
  <si>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</si>
  <si>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</si>
  <si>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</si>
  <si>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</si>
  <si>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</si>
  <si>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</si>
  <si>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</si>
  <si>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</si>
  <si>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</si>
  <si>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</si>
  <si>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</si>
  <si>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</si>
  <si>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</si>
  <si>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</si>
  <si>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</si>
  <si>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</si>
  <si>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</si>
  <si>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</si>
  <si>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</si>
  <si>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</si>
  <si>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</si>
  <si>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</si>
  <si>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</si>
  <si>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</si>
  <si>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</si>
  <si>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</si>
  <si>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</si>
  <si>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</si>
  <si>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</si>
  <si>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</si>
  <si>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</si>
  <si>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</si>
  <si>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</si>
  <si>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</si>
  <si>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</si>
  <si>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</si>
  <si>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</si>
  <si>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</si>
  <si>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</si>
  <si>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</si>
  <si>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</si>
  <si>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</si>
  <si>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</si>
  <si>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</si>
  <si>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</si>
  <si>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</si>
  <si>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</si>
  <si>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</si>
  <si>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</si>
  <si>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</si>
  <si>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</si>
  <si>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</si>
  <si>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</si>
  <si>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</si>
  <si>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</si>
  <si>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</si>
  <si>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</si>
  <si>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</si>
  <si>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</si>
  <si>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</si>
  <si>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Tazewell</t>
  </si>
  <si>
    <t>Tazewell-Mason Counties Special Education Association</t>
  </si>
  <si>
    <t>300 Cedar St.</t>
  </si>
  <si>
    <t>Pekin</t>
  </si>
  <si>
    <t>Kristina Neville</t>
  </si>
  <si>
    <t>Thomas R. Peffer, CPA</t>
  </si>
  <si>
    <t>tpeffer@gorenzcpa.com</t>
  </si>
  <si>
    <t>kneville@tmcsea.org</t>
  </si>
  <si>
    <t>The opinion is adverse due to the use of the Regulatory Basis of Accounting.</t>
  </si>
  <si>
    <t>10-2320-325</t>
  </si>
  <si>
    <t>ED - Exec Admin Services - Purchased Services</t>
  </si>
  <si>
    <t>RK Dixon Copiers</t>
  </si>
  <si>
    <t>Walz</t>
  </si>
  <si>
    <t>See member districts below</t>
  </si>
  <si>
    <t xml:space="preserve">District 50 Schools, Central School District #51, Washington School District #52, Creve Coeur School District #76, Robein School District #85, East Peoria Grade School District #86, Rankin School District #98, North Pekin/Marquette
</t>
  </si>
  <si>
    <t>Heights School District #102, Pekin Public School District #108, Havana School District #126, South Pekin School District #137, Illini Central School CUSD 189, Midwest Central CUSD 191, Pekin High School #303, Washington High</t>
  </si>
  <si>
    <t>School #308, East Peoria High School #309, Springlake School District #606, Deer Creek/ Mackinaw #701, Tremont CUSD 702, Delavan CUSD 703, Morton School District #709</t>
  </si>
  <si>
    <t>Page 11, Line 107 - Other Local Revenue  E-Rate and Jury Duty reimbursements</t>
  </si>
  <si>
    <t>Page 14, Line 272 - Other Restricted Revenue from Federal Sources  STEP and TSP programs</t>
  </si>
  <si>
    <t>x</t>
  </si>
  <si>
    <t>Non-cash Commodities</t>
  </si>
  <si>
    <t>SEE SEFA 18 TAB</t>
  </si>
  <si>
    <t>RCDT 53-090-3090-61</t>
  </si>
  <si>
    <t xml:space="preserve">                                  Year Ending June 30, 2018                                  </t>
  </si>
  <si>
    <t>ISBE</t>
  </si>
  <si>
    <t xml:space="preserve">          Receipts/Revenues          </t>
  </si>
  <si>
    <t xml:space="preserve">  Expenditures/Disbursements  </t>
  </si>
  <si>
    <t>Project</t>
  </si>
  <si>
    <t>Prior to</t>
  </si>
  <si>
    <t>7/01/17-</t>
  </si>
  <si>
    <t>Final</t>
  </si>
  <si>
    <t>Federal Grantor/Pass-Through Grantor,</t>
  </si>
  <si>
    <t>Number</t>
  </si>
  <si>
    <t>6/30/17</t>
  </si>
  <si>
    <t>6/30/18</t>
  </si>
  <si>
    <t>Encumbrances</t>
  </si>
  <si>
    <t>Program Title &amp; Major Program Designation</t>
  </si>
  <si>
    <t xml:space="preserve">        (A)        </t>
  </si>
  <si>
    <t xml:space="preserve">         (B)         </t>
  </si>
  <si>
    <t xml:space="preserve">         (C)         </t>
  </si>
  <si>
    <t xml:space="preserve">         (D)         </t>
  </si>
  <si>
    <t xml:space="preserve">         (E)         </t>
  </si>
  <si>
    <t xml:space="preserve">         (F)         </t>
  </si>
  <si>
    <t xml:space="preserve">         (G)         </t>
  </si>
  <si>
    <t xml:space="preserve">         (H)         </t>
  </si>
  <si>
    <t xml:space="preserve">         (I)         </t>
  </si>
  <si>
    <t>U.S. Department of Agriculture -</t>
  </si>
  <si>
    <t xml:space="preserve">  Pass-through program from</t>
  </si>
  <si>
    <t xml:space="preserve">  Illinois State Board of Education</t>
  </si>
  <si>
    <t>10.555</t>
  </si>
  <si>
    <t>17-4210-00</t>
  </si>
  <si>
    <t>N/A</t>
  </si>
  <si>
    <t>National school Lunch Program</t>
  </si>
  <si>
    <t>18-4210-00</t>
  </si>
  <si>
    <t>School Lunch - Food Donation (3)</t>
  </si>
  <si>
    <t>FY 17</t>
  </si>
  <si>
    <t>FY 18</t>
  </si>
  <si>
    <t>Total U.S. Department of Agriculture</t>
  </si>
  <si>
    <t xml:space="preserve">U.S. Department of Education - </t>
  </si>
  <si>
    <t xml:space="preserve">   Pass-through program from </t>
  </si>
  <si>
    <t xml:space="preserve">   Illinois State Board of Education</t>
  </si>
  <si>
    <t>(M)</t>
  </si>
  <si>
    <t>IDEA - Preschool Flow-Through (Revenue Acct. 2200)</t>
  </si>
  <si>
    <t>17-4600-00</t>
  </si>
  <si>
    <t>18-4600-00</t>
  </si>
  <si>
    <t>IDEA Part B - Flow-Through (Revenue Acct. 2200)</t>
  </si>
  <si>
    <t>17-4620-00</t>
  </si>
  <si>
    <t>IDEA Part B - Flow-Through (Revenue Acct. 4620)</t>
  </si>
  <si>
    <t>18-4620-00</t>
  </si>
  <si>
    <t xml:space="preserve">   Illinois Dept. of Human Services</t>
  </si>
  <si>
    <t>Secondary Transition Experience Program</t>
  </si>
  <si>
    <t>46CVF00111</t>
  </si>
  <si>
    <t>46CWF00111</t>
  </si>
  <si>
    <t>.</t>
  </si>
  <si>
    <t>Transitional Specialist Program</t>
  </si>
  <si>
    <t>46CVF00110</t>
  </si>
  <si>
    <t>46CWF00110</t>
  </si>
  <si>
    <t xml:space="preserve">   Illinois Dept. of Healthcare and Family Services</t>
  </si>
  <si>
    <t>Medicaid Administrative Outreach</t>
  </si>
  <si>
    <t>17-4991-00</t>
  </si>
  <si>
    <t>18-4991-00</t>
  </si>
  <si>
    <t>Total U.S. Department of Education</t>
  </si>
  <si>
    <t>Total Federal Awards</t>
  </si>
  <si>
    <t>Total Illinois State Board of Education</t>
  </si>
  <si>
    <t>Total Illinois Dept. of Human Services</t>
  </si>
  <si>
    <t>Total Illinois Dept. of Healthcare and Family Services</t>
  </si>
  <si>
    <t>(M) Indicates Major Federal Financial Assistance Program.</t>
  </si>
  <si>
    <t xml:space="preserve">        IDEA Preschool</t>
  </si>
  <si>
    <t xml:space="preserve">            IDEA Flow-Through</t>
  </si>
  <si>
    <t>(1)Flow-through funding distributed to sub-grantees as follows:</t>
  </si>
  <si>
    <t>FY17</t>
  </si>
  <si>
    <t>FY18</t>
  </si>
  <si>
    <t>District 50 Schools</t>
  </si>
  <si>
    <t>Central School District #51</t>
  </si>
  <si>
    <t>Washington School District #52</t>
  </si>
  <si>
    <t>Creve Coeur School District #76</t>
  </si>
  <si>
    <t>Robein School District #85</t>
  </si>
  <si>
    <t>East Peoria Grade District #86</t>
  </si>
  <si>
    <t>Rankin School District #98</t>
  </si>
  <si>
    <t>North Pekin/Marquette Heights #102</t>
  </si>
  <si>
    <t>Pekin Public School District #108</t>
  </si>
  <si>
    <t>Havana School District #126</t>
  </si>
  <si>
    <t>South Pekin School District #137</t>
  </si>
  <si>
    <t>Illini Central CUSD #189</t>
  </si>
  <si>
    <t>Midwest Central CUSD #191</t>
  </si>
  <si>
    <t>Pekin High School #303</t>
  </si>
  <si>
    <t>Washington High School #308</t>
  </si>
  <si>
    <t>East Peoria High School District #309</t>
  </si>
  <si>
    <t>Springlake School District #606</t>
  </si>
  <si>
    <t>Deer Creek/Mackinaw #701</t>
  </si>
  <si>
    <t>Tremont CUSD #702</t>
  </si>
  <si>
    <t>Delavan CUSD #703</t>
  </si>
  <si>
    <t>Morton School District #709</t>
  </si>
  <si>
    <t xml:space="preserve">(2) Project not complete as of June 30, 2018. </t>
  </si>
  <si>
    <r>
      <t xml:space="preserve">1 </t>
    </r>
    <r>
      <rPr>
        <sz val="8"/>
        <rFont val="Arial"/>
        <family val="2"/>
      </rPr>
      <t xml:space="preserve"> To meet state or other requirements, auditees may decide to include certain nonfederal awards (for example, state awards) in this schedule.  If such nonfederal data are presented,</t>
    </r>
  </si>
  <si>
    <t xml:space="preserve">     they should be segregated and clearly designated as nonfederal.  The title of the schedule should also be modified to indicate that nonfederal awards are included.</t>
  </si>
  <si>
    <r>
      <t>2</t>
    </r>
    <r>
      <rPr>
        <sz val="8"/>
        <rFont val="Arial"/>
        <family val="2"/>
      </rPr>
      <t xml:space="preserve">  When the CFDA number is not available, the auditee should indicate that the CFDA number is not available and include in the schedule the program's name and, if applicable, </t>
    </r>
  </si>
  <si>
    <t xml:space="preserve">     other identifying number.</t>
  </si>
  <si>
    <r>
      <t>3</t>
    </r>
    <r>
      <rPr>
        <sz val="8"/>
        <rFont val="Arial"/>
        <family val="2"/>
      </rPr>
      <t xml:space="preserve">  When awards are received as a subrecipient, the identifying number assigned by the pass-through entity should be included in the schedule.</t>
    </r>
  </si>
  <si>
    <r>
      <t xml:space="preserve">4  </t>
    </r>
    <r>
      <rPr>
        <sz val="8"/>
        <rFont val="Arial"/>
        <family val="2"/>
      </rPr>
      <t xml:space="preserve">Circular A-133 requires that the value of federal awards expended in the form of non-cash assistance, the amount of insurance in effect during the year, and loans or loan guarantees </t>
    </r>
  </si>
  <si>
    <t xml:space="preserve">    outstanding at year end be included in either the schedule or a note to the schedule.  Although it is not required, Circular A-133 states that it is preferable to present this information in</t>
  </si>
  <si>
    <t xml:space="preserve">    the schedule (versus the notes to the schedule).  If the auditee presents non-cash assistance in the notes to the schedule, the auditor should be aware that such amounts must</t>
  </si>
  <si>
    <t xml:space="preserve">    still be included in part III of the data collection form.</t>
  </si>
  <si>
    <t>The accompanying Schedule of Expenditures of Federal Awards includes the federal grant activity of Tazewell-Mason Counties Special Education Association and is presented on the cash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</si>
  <si>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Tazewell-Mason Counties Special Education Association provided federal awards to subrecipients as follows:</t>
  </si>
  <si>
    <t>IDEA Pre-School Flow-Through FY 2017</t>
  </si>
  <si>
    <t>18,903*</t>
  </si>
  <si>
    <t>IDEA Pre-School Flow-Through FY 2018</t>
  </si>
  <si>
    <t>255,507*</t>
  </si>
  <si>
    <t>IDEA Part B Flow-Through FY 2017</t>
  </si>
  <si>
    <t>192,208*</t>
  </si>
  <si>
    <t>IDEA Part B Flow-Through FY 2018</t>
  </si>
  <si>
    <t>2,402,899*</t>
  </si>
  <si>
    <t>*See SEFA 18 schedule for detail amounts provided to individual subrecipients</t>
  </si>
  <si>
    <t>Note 6: Matching Expenditures</t>
  </si>
  <si>
    <r>
      <rPr>
        <u/>
        <sz val="9"/>
        <rFont val="Calibri"/>
        <family val="2"/>
        <scheme val="minor"/>
      </rPr>
      <t xml:space="preserve">    Program Title          </t>
    </r>
    <r>
      <rPr>
        <sz val="9"/>
        <rFont val="Calibri"/>
        <family val="2"/>
        <scheme val="minor"/>
      </rPr>
      <t xml:space="preserve">        </t>
    </r>
    <r>
      <rPr>
        <u/>
        <sz val="9"/>
        <rFont val="Calibri"/>
        <family val="2"/>
        <scheme val="minor"/>
      </rPr>
      <t>Federal CFDA#</t>
    </r>
    <r>
      <rPr>
        <sz val="9"/>
        <rFont val="Calibri"/>
        <family val="2"/>
        <scheme val="minor"/>
      </rPr>
      <t xml:space="preserve">        </t>
    </r>
    <r>
      <rPr>
        <u/>
        <sz val="9"/>
        <rFont val="Calibri"/>
        <family val="2"/>
        <scheme val="minor"/>
      </rPr>
      <t>Project Number</t>
    </r>
    <r>
      <rPr>
        <sz val="9"/>
        <rFont val="Calibri"/>
        <family val="2"/>
        <scheme val="minor"/>
      </rPr>
      <t xml:space="preserve">                                               </t>
    </r>
    <r>
      <rPr>
        <u/>
        <sz val="9"/>
        <rFont val="Calibri"/>
        <family val="2"/>
        <scheme val="minor"/>
      </rPr>
      <t xml:space="preserve">Amount Expended
</t>
    </r>
    <r>
      <rPr>
        <sz val="9"/>
        <rFont val="Calibri"/>
        <family val="2"/>
        <scheme val="minor"/>
      </rPr>
      <t xml:space="preserve">          S.T.E.P.                              84.126                 46CWF00111              Local Match                       180,076
Transitional Specialist              84.126                 46CWF00110              Local Match                         24,290           </t>
    </r>
  </si>
  <si>
    <t>Note 7: Relationship to Basic Financial Statements and Program Financial Reports</t>
  </si>
  <si>
    <t>Federal awards received are reflected in the Association's financial statements within the Educational Fund as receipts from federal sources or flow-through. Amounts reported in the accompanying Schedule of Expenditures of Federal Awards agree with amounts reported in the Program Financial Report for programs which have filed final reports as of June 30, 2018 with ISBE.</t>
  </si>
  <si>
    <t>Unmodified</t>
  </si>
  <si>
    <t>IDEA Pre-School Flow-Through</t>
  </si>
  <si>
    <t>IDEA Flow-Through</t>
  </si>
  <si>
    <t>None</t>
  </si>
  <si>
    <t>Noted</t>
  </si>
  <si>
    <t>There were no findings for the prior year ended June 30, 2017</t>
  </si>
  <si>
    <t>066-005027</t>
  </si>
  <si>
    <r>
      <t xml:space="preserve">The following amounts were expended in the form of non-cash assistance by Tazewell-Mason Counties Special Education Association and </t>
    </r>
    <r>
      <rPr>
        <b/>
        <sz val="9"/>
        <rFont val="Calibri"/>
        <family val="2"/>
        <scheme val="minor"/>
      </rPr>
      <t>should be</t>
    </r>
    <r>
      <rPr>
        <sz val="9"/>
        <rFont val="Calibri"/>
        <family val="2"/>
        <scheme val="minor"/>
      </rPr>
      <t xml:space="preserve"> included in the Schedule of Expenditures of Federal Awards:</t>
    </r>
  </si>
  <si>
    <t>see embedded PDF version</t>
  </si>
  <si>
    <t>Tazewell-Mason Co Sp Ed Assoc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</si>
</sst>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 &quot;_);_(@_)"/>
    <numFmt numFmtId="182" formatCode="0.000_)"/>
    <numFmt numFmtId="183" formatCode="_(* #,##0_);_(* \(#,##0\);_(* &quot;-&quot;??_);_(@_)"/>
  </numFmts>
  <fonts count="1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ont>
    <font>
      <sz val="10"/>
      <name val="Courier"/>
      <family val="3"/>
    </font>
    <font>
      <b/>
      <sz val="12"/>
      <name val="Times New Roman"/>
      <family val="1"/>
    </font>
    <font>
      <b/>
      <u/>
      <sz val="11"/>
      <name val="Times New Roman"/>
      <family val="1"/>
    </font>
    <font>
      <b/>
      <sz val="10"/>
      <name val="Times New Roman"/>
      <family val="1"/>
    </font>
    <font>
      <sz val="11"/>
      <name val="Times New Roman"/>
      <family val="1"/>
    </font>
    <font>
      <u/>
      <sz val="11"/>
      <name val="Times New Roman"/>
      <family val="1"/>
    </font>
    <font>
      <u val="singleAccounting"/>
      <sz val="11"/>
      <name val="Times New Roman"/>
      <family val="1"/>
    </font>
    <font>
      <b/>
      <u val="singleAccounting"/>
      <sz val="11"/>
      <name val="Times New Roman"/>
      <family val="1"/>
    </font>
    <font>
      <sz val="11"/>
      <name val="Courier"/>
      <family val="3"/>
    </font>
    <font>
      <b/>
      <u val="singleAccounting"/>
      <sz val="11"/>
      <name val="Garamond"/>
      <family val="1"/>
    </font>
    <font>
      <b/>
      <sz val="11"/>
      <name val="Garamond"/>
      <family val="1"/>
    </font>
    <font>
      <b/>
      <sz val="11"/>
      <name val="Times New Roman"/>
      <family val="1"/>
    </font>
    <font>
      <u val="doubleAccounting"/>
      <sz val="11"/>
      <name val="Times New Roman"/>
      <family val="1"/>
    </font>
    <font>
      <u val="double"/>
      <sz val="11"/>
      <name val="Times New Roman"/>
      <family val="1"/>
    </font>
    <font>
      <vertAlign val="superscript"/>
      <sz val="8"/>
      <name val="Arial"/>
      <family val="2"/>
    </font>
  </fonts>
  <fills count="2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2">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37" fontId="136" fillId="0" borderId="0"/>
    <xf numFmtId="37" fontId="137" fillId="0" borderId="0" applyProtection="0"/>
    <xf numFmtId="43" fontId="43" fillId="0" borderId="0" applyFont="0" applyFill="0" applyBorder="0" applyAlignment="0" applyProtection="0"/>
  </cellStyleXfs>
  <cellXfs count="263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37" fontId="43" fillId="0" borderId="0" xfId="19" applyFont="1" applyFill="1" applyAlignment="1">
      <alignment horizontal="center" vertical="center"/>
    </xf>
    <xf numFmtId="37" fontId="136" fillId="0" borderId="0" xfId="19" applyFill="1" applyAlignment="1">
      <alignment vertical="center"/>
    </xf>
    <xf numFmtId="37" fontId="136" fillId="0" borderId="0" xfId="19" applyFill="1" applyAlignment="1">
      <alignment horizontal="center" vertical="center"/>
    </xf>
    <xf numFmtId="37" fontId="136" fillId="0" borderId="0" xfId="19" applyFill="1" applyBorder="1" applyAlignment="1">
      <alignment vertical="center"/>
    </xf>
    <xf numFmtId="37" fontId="136" fillId="0" borderId="0" xfId="19" applyFill="1" applyBorder="1" applyAlignment="1">
      <alignment horizontal="center" vertical="center"/>
    </xf>
    <xf numFmtId="37" fontId="136" fillId="0" borderId="0" xfId="19" applyFill="1"/>
    <xf numFmtId="37" fontId="137" fillId="0" borderId="0" xfId="20" applyFill="1" applyAlignment="1">
      <alignment vertical="center"/>
    </xf>
    <xf numFmtId="37" fontId="43" fillId="0" borderId="0" xfId="19" quotePrefix="1" applyFont="1" applyFill="1" applyBorder="1" applyAlignment="1">
      <alignment horizontal="center" vertical="center"/>
    </xf>
    <xf numFmtId="37" fontId="43" fillId="0" borderId="0" xfId="20" applyFont="1" applyFill="1" applyBorder="1" applyAlignment="1">
      <alignment vertical="center"/>
    </xf>
    <xf numFmtId="37" fontId="43" fillId="0" borderId="0" xfId="19" applyFont="1" applyFill="1" applyAlignment="1">
      <alignment vertical="center"/>
    </xf>
    <xf numFmtId="37" fontId="43" fillId="0" borderId="0" xfId="19" applyFont="1" applyFill="1" applyBorder="1" applyAlignment="1">
      <alignment vertical="center"/>
    </xf>
    <xf numFmtId="37" fontId="43" fillId="0" borderId="0" xfId="19" applyFont="1" applyFill="1" applyBorder="1" applyAlignment="1">
      <alignment horizontal="centerContinuous" vertical="center"/>
    </xf>
    <xf numFmtId="37" fontId="43" fillId="0" borderId="0" xfId="19" applyFont="1" applyFill="1" applyBorder="1" applyAlignment="1">
      <alignment horizontal="left" vertical="center"/>
    </xf>
    <xf numFmtId="37" fontId="43" fillId="0" borderId="0" xfId="19" applyFont="1" applyFill="1" applyBorder="1" applyAlignment="1">
      <alignment horizontal="center" vertical="center"/>
    </xf>
    <xf numFmtId="37" fontId="140" fillId="0" borderId="0" xfId="19" applyFont="1" applyFill="1" applyAlignment="1">
      <alignment horizontal="center"/>
    </xf>
    <xf numFmtId="37" fontId="141" fillId="0" borderId="0" xfId="19" applyFont="1" applyFill="1" applyBorder="1" applyAlignment="1">
      <alignment horizontal="center" vertical="center"/>
    </xf>
    <xf numFmtId="37" fontId="141" fillId="0" borderId="0" xfId="19" applyFont="1" applyFill="1" applyBorder="1" applyAlignment="1">
      <alignment horizontal="left" vertical="center"/>
    </xf>
    <xf numFmtId="37" fontId="141" fillId="0" borderId="0" xfId="19" applyFont="1" applyFill="1" applyBorder="1" applyAlignment="1">
      <alignment vertical="center"/>
    </xf>
    <xf numFmtId="37" fontId="142" fillId="0" borderId="0" xfId="19" applyFont="1" applyFill="1" applyBorder="1" applyAlignment="1">
      <alignment horizontal="centerContinuous" vertical="center"/>
    </xf>
    <xf numFmtId="43" fontId="144" fillId="0" borderId="0" xfId="21" applyFont="1" applyFill="1" applyAlignment="1">
      <alignment horizontal="center"/>
    </xf>
    <xf numFmtId="37" fontId="145" fillId="0" borderId="0" xfId="19" applyFont="1" applyFill="1" applyAlignment="1">
      <alignment vertical="center"/>
    </xf>
    <xf numFmtId="37" fontId="141" fillId="0" borderId="0" xfId="19" applyFont="1" applyFill="1" applyAlignment="1">
      <alignment horizontal="center" vertical="center"/>
    </xf>
    <xf numFmtId="37" fontId="141" fillId="0" borderId="0" xfId="19" applyFont="1" applyFill="1" applyAlignment="1">
      <alignment horizontal="left" vertical="center"/>
    </xf>
    <xf numFmtId="37" fontId="141" fillId="0" borderId="0" xfId="19" applyFont="1" applyFill="1" applyAlignment="1">
      <alignment vertical="center"/>
    </xf>
    <xf numFmtId="37" fontId="141" fillId="0" borderId="0" xfId="19" quotePrefix="1" applyFont="1" applyFill="1" applyAlignment="1">
      <alignment horizontal="center" vertical="center"/>
    </xf>
    <xf numFmtId="14" fontId="147" fillId="0" borderId="0" xfId="19" applyNumberFormat="1" applyFont="1" applyFill="1" applyAlignment="1">
      <alignment horizontal="center"/>
    </xf>
    <xf numFmtId="37" fontId="141" fillId="0" borderId="0" xfId="20" applyFont="1" applyFill="1" applyAlignment="1">
      <alignment horizontal="left" vertical="center"/>
    </xf>
    <xf numFmtId="14" fontId="141" fillId="0" borderId="0" xfId="19" quotePrefix="1" applyNumberFormat="1" applyFont="1" applyFill="1" applyAlignment="1">
      <alignment horizontal="center" vertical="center"/>
    </xf>
    <xf numFmtId="37" fontId="141" fillId="0" borderId="0" xfId="20" applyFont="1" applyFill="1" applyAlignment="1">
      <alignment horizontal="center" vertical="center"/>
    </xf>
    <xf numFmtId="37" fontId="147" fillId="0" borderId="0" xfId="19" applyFont="1" applyFill="1" applyAlignment="1">
      <alignment horizontal="center"/>
    </xf>
    <xf numFmtId="37" fontId="148" fillId="0" borderId="0" xfId="19" applyFont="1" applyFill="1" applyAlignment="1">
      <alignment horizontal="center"/>
    </xf>
    <xf numFmtId="37" fontId="142" fillId="0" borderId="0" xfId="19" quotePrefix="1" applyFont="1" applyFill="1" applyAlignment="1">
      <alignment horizontal="left" vertical="center"/>
    </xf>
    <xf numFmtId="37" fontId="142" fillId="0" borderId="0" xfId="19" applyFont="1" applyFill="1" applyAlignment="1">
      <alignment horizontal="center" vertical="center"/>
    </xf>
    <xf numFmtId="37" fontId="142" fillId="0" borderId="0" xfId="19" applyNumberFormat="1" applyFont="1" applyFill="1" applyAlignment="1" applyProtection="1">
      <alignment horizontal="center" vertical="center"/>
    </xf>
    <xf numFmtId="37" fontId="141" fillId="0" borderId="0" xfId="19" applyNumberFormat="1" applyFont="1" applyFill="1" applyAlignment="1" applyProtection="1">
      <alignment vertical="center"/>
    </xf>
    <xf numFmtId="37" fontId="141" fillId="0" borderId="0" xfId="19" applyNumberFormat="1" applyFont="1" applyFill="1" applyAlignment="1" applyProtection="1">
      <alignment horizontal="center" vertical="center"/>
    </xf>
    <xf numFmtId="37" fontId="142" fillId="0" borderId="0" xfId="20" applyNumberFormat="1" applyFont="1" applyFill="1" applyAlignment="1" applyProtection="1">
      <alignment horizontal="center" vertical="center"/>
    </xf>
    <xf numFmtId="43" fontId="146" fillId="0" borderId="0" xfId="21" applyFont="1" applyFill="1" applyAlignment="1">
      <alignment horizontal="center"/>
    </xf>
    <xf numFmtId="14" fontId="144" fillId="0" borderId="0" xfId="21" applyNumberFormat="1" applyFont="1" applyFill="1" applyAlignment="1">
      <alignment horizontal="center"/>
    </xf>
    <xf numFmtId="37" fontId="142" fillId="0" borderId="0" xfId="19" applyFont="1" applyFill="1" applyAlignment="1">
      <alignment horizontal="left" vertical="center"/>
    </xf>
    <xf numFmtId="37" fontId="148" fillId="0" borderId="0" xfId="19" applyFont="1" applyFill="1" applyAlignment="1">
      <alignment horizontal="left" vertical="center"/>
    </xf>
    <xf numFmtId="37" fontId="141" fillId="0" borderId="0" xfId="20" applyFont="1" applyFill="1" applyAlignment="1">
      <alignment vertical="center"/>
    </xf>
    <xf numFmtId="181" fontId="141" fillId="0" borderId="0" xfId="20" applyNumberFormat="1" applyFont="1" applyFill="1" applyAlignment="1" applyProtection="1">
      <alignment horizontal="right" vertical="center"/>
    </xf>
    <xf numFmtId="182" fontId="141" fillId="0" borderId="0" xfId="19" applyNumberFormat="1" applyFont="1" applyFill="1" applyAlignment="1" applyProtection="1">
      <alignment horizontal="center" vertical="center"/>
    </xf>
    <xf numFmtId="37" fontId="141" fillId="0" borderId="0" xfId="19" applyNumberFormat="1" applyFont="1" applyFill="1" applyAlignment="1" applyProtection="1">
      <alignment horizontal="right" vertical="center"/>
    </xf>
    <xf numFmtId="37" fontId="141" fillId="0" borderId="0" xfId="19" applyNumberFormat="1" applyFont="1" applyFill="1" applyBorder="1" applyAlignment="1" applyProtection="1">
      <alignment horizontal="right" vertical="center"/>
    </xf>
    <xf numFmtId="181" fontId="141" fillId="0" borderId="0" xfId="20" applyNumberFormat="1" applyFont="1" applyFill="1" applyAlignment="1" applyProtection="1">
      <alignment horizontal="center" vertical="center"/>
    </xf>
    <xf numFmtId="37" fontId="141" fillId="0" borderId="0" xfId="19" applyFont="1" applyFill="1" applyAlignment="1">
      <alignment horizontal="center"/>
    </xf>
    <xf numFmtId="181" fontId="141" fillId="0" borderId="0" xfId="19" applyNumberFormat="1" applyFont="1" applyFill="1" applyBorder="1" applyAlignment="1">
      <alignment vertical="center"/>
    </xf>
    <xf numFmtId="181" fontId="141" fillId="0" borderId="0" xfId="19" applyNumberFormat="1" applyFont="1" applyFill="1" applyBorder="1" applyAlignment="1" applyProtection="1">
      <alignment vertical="center"/>
    </xf>
    <xf numFmtId="181" fontId="141" fillId="0" borderId="0" xfId="20" applyNumberFormat="1" applyFont="1" applyFill="1" applyAlignment="1">
      <alignment horizontal="center" vertical="center"/>
    </xf>
    <xf numFmtId="181" fontId="141" fillId="0" borderId="78" xfId="19" applyNumberFormat="1" applyFont="1" applyFill="1" applyBorder="1" applyAlignment="1">
      <alignment vertical="center"/>
    </xf>
    <xf numFmtId="37" fontId="142" fillId="0" borderId="78" xfId="19" applyNumberFormat="1" applyFont="1" applyFill="1" applyBorder="1" applyAlignment="1" applyProtection="1">
      <alignment horizontal="center" vertical="center"/>
    </xf>
    <xf numFmtId="181" fontId="141" fillId="0" borderId="78" xfId="19" applyNumberFormat="1" applyFont="1" applyFill="1" applyBorder="1" applyAlignment="1" applyProtection="1">
      <alignment vertical="center"/>
    </xf>
    <xf numFmtId="37" fontId="142" fillId="0" borderId="76" xfId="19" applyNumberFormat="1" applyFont="1" applyFill="1" applyBorder="1" applyAlignment="1" applyProtection="1">
      <alignment horizontal="center" vertical="center"/>
    </xf>
    <xf numFmtId="181" fontId="141" fillId="0" borderId="0" xfId="19" applyNumberFormat="1" applyFont="1" applyFill="1" applyAlignment="1">
      <alignment vertical="center"/>
    </xf>
    <xf numFmtId="181" fontId="141" fillId="0" borderId="0" xfId="19" applyNumberFormat="1" applyFont="1" applyFill="1" applyAlignment="1">
      <alignment horizontal="center" vertical="center"/>
    </xf>
    <xf numFmtId="181" fontId="141" fillId="0" borderId="0" xfId="19" applyNumberFormat="1" applyFont="1" applyFill="1" applyAlignment="1" applyProtection="1">
      <alignment vertical="center"/>
    </xf>
    <xf numFmtId="37" fontId="145" fillId="0" borderId="0" xfId="20" applyFont="1" applyFill="1" applyAlignment="1">
      <alignment horizontal="center" vertical="center"/>
    </xf>
    <xf numFmtId="37" fontId="141" fillId="0" borderId="0" xfId="19" applyFont="1" applyFill="1" applyAlignment="1">
      <alignment horizontal="right" vertical="center"/>
    </xf>
    <xf numFmtId="181" fontId="141" fillId="0" borderId="0" xfId="19" applyNumberFormat="1" applyFont="1" applyFill="1" applyBorder="1" applyAlignment="1">
      <alignment horizontal="center" vertical="center"/>
    </xf>
    <xf numFmtId="37" fontId="141" fillId="28" borderId="0" xfId="19" applyNumberFormat="1" applyFont="1" applyFill="1" applyBorder="1" applyAlignment="1" applyProtection="1">
      <alignment horizontal="right" vertical="center"/>
    </xf>
    <xf numFmtId="181" fontId="141" fillId="28" borderId="0" xfId="19" applyNumberFormat="1" applyFont="1" applyFill="1" applyAlignment="1">
      <alignment vertical="center"/>
    </xf>
    <xf numFmtId="183" fontId="141" fillId="0" borderId="0" xfId="19" applyNumberFormat="1" applyFont="1" applyFill="1" applyAlignment="1" applyProtection="1">
      <alignment vertical="center"/>
    </xf>
    <xf numFmtId="183" fontId="141" fillId="0" borderId="0" xfId="19" applyNumberFormat="1" applyFont="1" applyFill="1" applyBorder="1" applyAlignment="1" applyProtection="1">
      <alignment vertical="center"/>
    </xf>
    <xf numFmtId="37" fontId="141" fillId="0" borderId="0" xfId="19" quotePrefix="1" applyFont="1" applyFill="1" applyAlignment="1">
      <alignment horizontal="left" vertical="center"/>
    </xf>
    <xf numFmtId="181" fontId="141" fillId="0" borderId="0" xfId="19" quotePrefix="1" applyNumberFormat="1" applyFont="1" applyFill="1" applyAlignment="1" applyProtection="1">
      <alignment horizontal="center" vertical="center"/>
    </xf>
    <xf numFmtId="183" fontId="141" fillId="0" borderId="78" xfId="19" applyNumberFormat="1" applyFont="1" applyFill="1" applyBorder="1" applyAlignment="1" applyProtection="1">
      <alignment vertical="center"/>
    </xf>
    <xf numFmtId="181" fontId="141" fillId="0" borderId="76" xfId="19" applyNumberFormat="1" applyFont="1" applyFill="1" applyBorder="1" applyAlignment="1" applyProtection="1">
      <alignment horizontal="left" vertical="center"/>
    </xf>
    <xf numFmtId="181" fontId="143" fillId="0" borderId="0" xfId="19" applyNumberFormat="1" applyFont="1" applyFill="1" applyAlignment="1" applyProtection="1">
      <alignment horizontal="left" vertical="center"/>
    </xf>
    <xf numFmtId="183" fontId="143" fillId="0" borderId="0" xfId="19" applyNumberFormat="1" applyFont="1" applyFill="1" applyAlignment="1" applyProtection="1">
      <alignment vertical="center"/>
    </xf>
    <xf numFmtId="181" fontId="141" fillId="0" borderId="0" xfId="19" applyNumberFormat="1" applyFont="1" applyFill="1" applyAlignment="1" applyProtection="1">
      <alignment horizontal="left" vertical="center"/>
    </xf>
    <xf numFmtId="181" fontId="143" fillId="0" borderId="0" xfId="19" applyNumberFormat="1" applyFont="1" applyFill="1" applyAlignment="1" applyProtection="1">
      <alignment horizontal="center" vertical="center"/>
    </xf>
    <xf numFmtId="37" fontId="148" fillId="0" borderId="0" xfId="19" applyFont="1" applyFill="1" applyAlignment="1">
      <alignment vertical="center"/>
    </xf>
    <xf numFmtId="181" fontId="141" fillId="0" borderId="166" xfId="19" applyNumberFormat="1" applyFont="1" applyFill="1" applyBorder="1" applyAlignment="1" applyProtection="1">
      <alignment horizontal="left" vertical="center"/>
    </xf>
    <xf numFmtId="182" fontId="141" fillId="0" borderId="0" xfId="19" applyNumberFormat="1" applyFont="1" applyFill="1" applyAlignment="1" applyProtection="1">
      <alignment vertical="center"/>
    </xf>
    <xf numFmtId="183" fontId="141" fillId="0" borderId="166" xfId="19" applyNumberFormat="1" applyFont="1" applyFill="1" applyBorder="1" applyAlignment="1" applyProtection="1">
      <alignment vertical="center"/>
    </xf>
    <xf numFmtId="183" fontId="149" fillId="0" borderId="0" xfId="19" applyNumberFormat="1" applyFont="1" applyFill="1" applyAlignment="1" applyProtection="1">
      <alignment vertical="center"/>
    </xf>
    <xf numFmtId="181" fontId="141" fillId="0" borderId="0" xfId="19" applyNumberFormat="1" applyFont="1" applyFill="1" applyAlignment="1">
      <alignment horizontal="left" vertical="center"/>
    </xf>
    <xf numFmtId="43" fontId="141" fillId="0" borderId="0" xfId="21" applyFont="1" applyFill="1" applyAlignment="1">
      <alignment horizontal="center" vertical="center"/>
    </xf>
    <xf numFmtId="181" fontId="145" fillId="0" borderId="0" xfId="20" applyNumberFormat="1" applyFont="1" applyFill="1" applyAlignment="1">
      <alignment horizontal="center" vertical="center"/>
    </xf>
    <xf numFmtId="10" fontId="150" fillId="0" borderId="0" xfId="19" applyNumberFormat="1" applyFont="1" applyFill="1" applyAlignment="1">
      <alignment horizontal="center" vertical="center"/>
    </xf>
    <xf numFmtId="37" fontId="142" fillId="0" borderId="0" xfId="19" applyFont="1" applyFill="1" applyAlignment="1">
      <alignment horizontal="right" vertical="center"/>
    </xf>
    <xf numFmtId="181" fontId="145" fillId="0" borderId="0" xfId="19" applyNumberFormat="1" applyFont="1" applyFill="1" applyAlignment="1">
      <alignment vertical="center"/>
    </xf>
    <xf numFmtId="181" fontId="145" fillId="0" borderId="0" xfId="19" applyNumberFormat="1" applyFont="1" applyFill="1" applyAlignment="1">
      <alignment horizontal="center" vertical="center"/>
    </xf>
    <xf numFmtId="37" fontId="145" fillId="0" borderId="0" xfId="19" applyFont="1" applyFill="1" applyAlignment="1">
      <alignment horizontal="center" vertical="center"/>
    </xf>
    <xf numFmtId="183" fontId="141" fillId="0" borderId="0" xfId="21" applyNumberFormat="1" applyFont="1" applyFill="1" applyAlignment="1" applyProtection="1">
      <alignment vertical="center"/>
    </xf>
    <xf numFmtId="183" fontId="141" fillId="0" borderId="0" xfId="19" applyNumberFormat="1" applyFont="1" applyFill="1" applyAlignment="1">
      <alignment vertical="center"/>
    </xf>
    <xf numFmtId="183" fontId="141" fillId="0" borderId="0" xfId="19" applyNumberFormat="1" applyFont="1" applyFill="1" applyAlignment="1">
      <alignment horizontal="center" vertical="center"/>
    </xf>
    <xf numFmtId="183" fontId="141" fillId="0" borderId="0" xfId="20" applyNumberFormat="1" applyFont="1" applyFill="1" applyAlignment="1">
      <alignment horizontal="center" vertical="center"/>
    </xf>
    <xf numFmtId="183" fontId="143" fillId="0" borderId="0" xfId="21" applyNumberFormat="1" applyFont="1" applyFill="1" applyAlignment="1" applyProtection="1">
      <alignment vertical="center"/>
    </xf>
    <xf numFmtId="183" fontId="143" fillId="0" borderId="0" xfId="19" applyNumberFormat="1" applyFont="1" applyFill="1" applyAlignment="1">
      <alignment vertical="center"/>
    </xf>
    <xf numFmtId="182" fontId="145" fillId="0" borderId="0" xfId="19" applyNumberFormat="1" applyFont="1" applyFill="1" applyAlignment="1" applyProtection="1">
      <alignment vertical="center"/>
    </xf>
    <xf numFmtId="182" fontId="136" fillId="0" borderId="0" xfId="19" applyNumberFormat="1" applyFill="1" applyAlignment="1" applyProtection="1">
      <alignment vertical="center"/>
    </xf>
    <xf numFmtId="181" fontId="136" fillId="0" borderId="0" xfId="19" applyNumberFormat="1" applyFill="1" applyAlignment="1">
      <alignment vertical="center"/>
    </xf>
    <xf numFmtId="181" fontId="136" fillId="0" borderId="0" xfId="19" applyNumberFormat="1" applyFill="1" applyAlignment="1">
      <alignment horizontal="center" vertical="center"/>
    </xf>
    <xf numFmtId="37" fontId="43" fillId="0" borderId="78" xfId="19" applyFont="1" applyFill="1" applyBorder="1" applyAlignment="1">
      <alignment horizontal="center" vertical="center"/>
    </xf>
    <xf numFmtId="37" fontId="136" fillId="0" borderId="78" xfId="19" applyFill="1" applyBorder="1" applyAlignment="1">
      <alignment vertical="center"/>
    </xf>
    <xf numFmtId="182" fontId="136" fillId="0" borderId="78" xfId="19" applyNumberFormat="1" applyFill="1" applyBorder="1" applyAlignment="1" applyProtection="1">
      <alignment vertical="center"/>
    </xf>
    <xf numFmtId="37" fontId="136" fillId="0" borderId="78" xfId="19" applyFill="1" applyBorder="1" applyAlignment="1">
      <alignment horizontal="center" vertical="center"/>
    </xf>
    <xf numFmtId="181" fontId="136" fillId="0" borderId="78" xfId="19" applyNumberFormat="1" applyFill="1" applyBorder="1" applyAlignment="1">
      <alignment vertical="center"/>
    </xf>
    <xf numFmtId="181" fontId="136" fillId="0" borderId="78" xfId="19" applyNumberFormat="1" applyFill="1" applyBorder="1" applyAlignment="1">
      <alignment horizontal="center" vertical="center"/>
    </xf>
    <xf numFmtId="37" fontId="136" fillId="0" borderId="0" xfId="19" applyFill="1" applyAlignment="1" applyProtection="1">
      <alignment horizontal="left"/>
    </xf>
    <xf numFmtId="37" fontId="136" fillId="0" borderId="0" xfId="19" applyFill="1" applyAlignment="1" applyProtection="1">
      <alignment horizontal="center"/>
    </xf>
    <xf numFmtId="37" fontId="9" fillId="0" borderId="0" xfId="19" applyFont="1" applyFill="1" applyAlignment="1" applyProtection="1"/>
    <xf numFmtId="37" fontId="151" fillId="0" borderId="0" xfId="19" applyFont="1" applyFill="1" applyAlignment="1" applyProtection="1">
      <alignment horizontal="left"/>
    </xf>
    <xf numFmtId="169" fontId="9" fillId="0" borderId="0" xfId="19" applyNumberFormat="1" applyFont="1" applyFill="1" applyAlignment="1" applyProtection="1">
      <alignment horizontal="left"/>
    </xf>
    <xf numFmtId="1" fontId="9" fillId="0" borderId="0" xfId="19" applyNumberFormat="1" applyFont="1" applyFill="1" applyAlignment="1" applyProtection="1">
      <alignment horizontal="left"/>
    </xf>
    <xf numFmtId="37" fontId="9" fillId="0" borderId="0" xfId="19" applyFont="1" applyFill="1" applyAlignment="1" applyProtection="1">
      <alignment horizontal="left"/>
    </xf>
    <xf numFmtId="169" fontId="136" fillId="0" borderId="0" xfId="19" applyNumberFormat="1" applyFill="1" applyAlignment="1" applyProtection="1">
      <alignment horizontal="left"/>
    </xf>
    <xf numFmtId="1" fontId="136" fillId="0" borderId="0" xfId="19" applyNumberFormat="1" applyFill="1" applyAlignment="1" applyProtection="1">
      <alignment horizontal="left"/>
    </xf>
    <xf numFmtId="37" fontId="136" fillId="0" borderId="0" xfId="19" applyFill="1" applyProtection="1">
      <protection locked="0"/>
    </xf>
    <xf numFmtId="169" fontId="136" fillId="0" borderId="0" xfId="19" applyNumberFormat="1" applyFill="1" applyProtection="1">
      <protection locked="0"/>
    </xf>
    <xf numFmtId="1" fontId="136" fillId="0" borderId="0" xfId="19" applyNumberFormat="1" applyFill="1" applyProtection="1">
      <protection locked="0"/>
    </xf>
    <xf numFmtId="37" fontId="136" fillId="0" borderId="0" xfId="19" applyFill="1" applyAlignment="1" applyProtection="1">
      <alignment horizontal="center"/>
      <protection locked="0"/>
    </xf>
    <xf numFmtId="37" fontId="11" fillId="0" borderId="0" xfId="19" applyFont="1" applyFill="1" applyAlignment="1">
      <alignment vertical="center"/>
    </xf>
    <xf numFmtId="37" fontId="141" fillId="0" borderId="0" xfId="20" applyFont="1" applyFill="1" applyBorder="1" applyAlignment="1">
      <alignment horizontal="center" vertical="center"/>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41" fontId="143" fillId="0" borderId="0" xfId="20" applyNumberFormat="1" applyFont="1" applyFill="1" applyBorder="1" applyAlignment="1">
      <alignment horizontal="center" vertical="center"/>
    </xf>
    <xf numFmtId="14" fontId="146" fillId="0" borderId="0" xfId="19" applyNumberFormat="1" applyFont="1" applyFill="1" applyAlignment="1">
      <alignment horizontal="center"/>
    </xf>
    <xf numFmtId="37" fontId="151" fillId="0" borderId="0" xfId="19" applyFont="1" applyFill="1" applyAlignment="1" applyProtection="1">
      <alignment horizontal="left" wrapText="1"/>
    </xf>
    <xf numFmtId="37" fontId="138" fillId="0" borderId="0" xfId="19" applyFont="1" applyFill="1" applyAlignment="1">
      <alignment horizontal="center" vertical="center"/>
    </xf>
    <xf numFmtId="0" fontId="139" fillId="0" borderId="0" xfId="19" applyNumberFormat="1" applyFont="1" applyFill="1" applyAlignment="1">
      <alignment horizontal="center" vertical="center"/>
    </xf>
    <xf numFmtId="37" fontId="148" fillId="0" borderId="0" xfId="19" applyFont="1" applyFill="1" applyAlignment="1">
      <alignment horizontal="left" vertical="center"/>
    </xf>
    <xf numFmtId="37" fontId="141" fillId="0" borderId="0" xfId="19" applyFont="1" applyFill="1" applyAlignment="1">
      <alignment horizontal="center" vertical="center"/>
    </xf>
    <xf numFmtId="37" fontId="142" fillId="0" borderId="0" xfId="19" applyFont="1" applyFill="1" applyAlignment="1">
      <alignment horizontal="center" vertical="center"/>
    </xf>
    <xf numFmtId="181" fontId="141" fillId="0" borderId="0" xfId="19" applyNumberFormat="1" applyFont="1" applyFill="1" applyAlignment="1">
      <alignment horizontal="center" vertical="center"/>
    </xf>
    <xf numFmtId="181" fontId="143" fillId="0" borderId="0" xfId="19" applyNumberFormat="1" applyFont="1" applyFill="1" applyAlignment="1">
      <alignment horizontal="center" vertical="center"/>
    </xf>
    <xf numFmtId="37" fontId="9" fillId="0" borderId="0" xfId="19" applyFont="1" applyFill="1" applyAlignment="1" applyProtection="1">
      <alignment horizontal="left" wrapText="1"/>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3" fillId="0" borderId="0" xfId="3" applyFont="1" applyBorder="1" applyAlignment="1" applyProtection="1">
      <alignment vertical="top" wrapText="1"/>
    </xf>
    <xf numFmtId="0" fontId="0" fillId="0" borderId="0" xfId="0" applyAlignment="1">
      <alignment vertical="top"/>
    </xf>
    <xf numFmtId="0" fontId="53" fillId="0" borderId="0" xfId="3" applyFont="1" applyBorder="1" applyAlignment="1" applyProtection="1">
      <alignment wrapText="1"/>
    </xf>
    <xf numFmtId="0" fontId="0" fillId="0" borderId="0" xfId="0" applyAlignment="1">
      <alignment wrapText="1"/>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2">
    <cellStyle name="Comma" xfId="1" builtinId="3"/>
    <cellStyle name="Comma 2" xfId="21"/>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Federal" xfId="20"/>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116" t="s">
        <v>425</v>
      </c>
      <c r="J1" s="2117"/>
      <c r="K1" s="2117"/>
      <c r="L1" s="2117"/>
      <c r="M1" s="2117"/>
      <c r="N1" s="2117"/>
      <c r="O1" s="2117"/>
      <c r="P1" s="2117"/>
      <c r="Q1" s="2117"/>
      <c r="R1" s="2117"/>
      <c r="S1" s="2117"/>
    </row>
    <row r="2" spans="1:28" ht="12" customHeight="1" x14ac:dyDescent="0.2">
      <c r="A2" s="47" t="s">
        <v>1684</v>
      </c>
      <c r="D2" s="48"/>
      <c r="I2" s="2118" t="s">
        <v>1036</v>
      </c>
      <c r="J2" s="2117"/>
      <c r="K2" s="2117"/>
      <c r="L2" s="2117"/>
      <c r="M2" s="2117"/>
      <c r="N2" s="2117"/>
      <c r="O2" s="2117"/>
      <c r="P2" s="2117"/>
      <c r="Q2" s="2117"/>
      <c r="R2" s="2117"/>
      <c r="S2" s="2117"/>
    </row>
    <row r="3" spans="1:28" ht="12" customHeight="1" x14ac:dyDescent="0.2">
      <c r="A3" s="155" t="s">
        <v>1685</v>
      </c>
      <c r="B3" s="156"/>
      <c r="C3" s="156"/>
      <c r="D3" s="157"/>
      <c r="I3" s="2118" t="s">
        <v>54</v>
      </c>
      <c r="J3" s="2117"/>
      <c r="K3" s="2117"/>
      <c r="L3" s="2117"/>
      <c r="M3" s="2117"/>
      <c r="N3" s="2117"/>
      <c r="O3" s="2117"/>
      <c r="P3" s="2117"/>
      <c r="Q3" s="2117"/>
      <c r="R3" s="2117"/>
      <c r="S3" s="2117"/>
    </row>
    <row r="4" spans="1:28" ht="12" customHeight="1" x14ac:dyDescent="0.2">
      <c r="A4" s="37"/>
      <c r="I4" s="2118" t="s">
        <v>545</v>
      </c>
      <c r="J4" s="2117"/>
      <c r="K4" s="2117"/>
      <c r="L4" s="2117"/>
      <c r="M4" s="2117"/>
      <c r="N4" s="2117"/>
      <c r="O4" s="2117"/>
      <c r="P4" s="2117"/>
      <c r="Q4" s="2117"/>
      <c r="R4" s="2117"/>
      <c r="S4" s="2117"/>
    </row>
    <row r="5" spans="1:28" ht="14.1" customHeight="1" x14ac:dyDescent="0.2">
      <c r="B5" s="104"/>
      <c r="C5" s="26" t="s">
        <v>966</v>
      </c>
      <c r="D5" s="84"/>
      <c r="E5" s="84"/>
      <c r="H5" s="38"/>
      <c r="I5" s="2126" t="s">
        <v>701</v>
      </c>
      <c r="J5" s="2125"/>
      <c r="K5" s="2125"/>
      <c r="L5" s="2125"/>
      <c r="M5" s="2125"/>
      <c r="N5" s="2125"/>
      <c r="O5" s="2125"/>
      <c r="P5" s="2125"/>
      <c r="Q5" s="2125"/>
      <c r="R5" s="2125"/>
      <c r="S5" s="2125"/>
    </row>
    <row r="6" spans="1:28" ht="14.1" customHeight="1" x14ac:dyDescent="0.2">
      <c r="B6" s="104" t="s">
        <v>2074</v>
      </c>
      <c r="C6" s="26" t="s">
        <v>967</v>
      </c>
      <c r="D6" s="84"/>
      <c r="E6" s="84"/>
      <c r="I6" s="2124" t="s">
        <v>938</v>
      </c>
      <c r="J6" s="2125"/>
      <c r="K6" s="2125"/>
      <c r="L6" s="2125"/>
      <c r="M6" s="2125"/>
      <c r="N6" s="2125"/>
      <c r="O6" s="2125"/>
      <c r="P6" s="2125"/>
      <c r="Q6" s="2125"/>
      <c r="R6" s="2125"/>
      <c r="S6" s="2125"/>
    </row>
    <row r="7" spans="1:28" ht="12.2" customHeight="1" x14ac:dyDescent="0.2">
      <c r="I7" s="2119">
        <v>43281</v>
      </c>
      <c r="J7" s="2120"/>
      <c r="K7" s="2120"/>
      <c r="L7" s="2120"/>
      <c r="M7" s="2120"/>
      <c r="N7" s="2120"/>
      <c r="O7" s="2120"/>
      <c r="P7" s="2120"/>
      <c r="Q7" s="2120"/>
      <c r="R7" s="2120"/>
      <c r="S7" s="212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21" t="s">
        <v>695</v>
      </c>
      <c r="J9" s="2122"/>
      <c r="K9" s="2122"/>
      <c r="L9" s="2122"/>
      <c r="M9" s="2122"/>
      <c r="N9" s="2122"/>
      <c r="O9" s="2122"/>
      <c r="P9" s="2122"/>
      <c r="Q9" s="2122"/>
      <c r="R9" s="2122"/>
      <c r="S9" s="2123"/>
      <c r="T9" s="2137" t="s">
        <v>554</v>
      </c>
      <c r="U9" s="2138"/>
      <c r="V9" s="2138"/>
      <c r="W9" s="2138"/>
      <c r="X9" s="2138"/>
      <c r="Y9" s="2138"/>
      <c r="Z9" s="2138"/>
      <c r="AA9" s="2139"/>
    </row>
    <row r="10" spans="1:28" ht="13.5" customHeight="1" x14ac:dyDescent="0.2">
      <c r="A10" s="2144" t="s">
        <v>696</v>
      </c>
      <c r="B10" s="2145"/>
      <c r="C10" s="2145"/>
      <c r="D10" s="2145"/>
      <c r="E10" s="2145"/>
      <c r="F10" s="2145"/>
      <c r="G10" s="2145"/>
      <c r="H10" s="2146"/>
      <c r="I10" s="29"/>
      <c r="J10" s="30"/>
      <c r="K10" s="28"/>
      <c r="R10" s="30"/>
      <c r="S10" s="30"/>
      <c r="T10" s="2140"/>
      <c r="U10" s="2125"/>
      <c r="V10" s="2125"/>
      <c r="W10" s="2125"/>
      <c r="X10" s="2125"/>
      <c r="Y10" s="2125"/>
      <c r="Z10" s="2125"/>
      <c r="AA10" s="2131"/>
    </row>
    <row r="11" spans="1:28" ht="14.25" customHeight="1" x14ac:dyDescent="0.2">
      <c r="A11" s="2147" t="s">
        <v>1012</v>
      </c>
      <c r="B11" s="2148"/>
      <c r="C11" s="2148"/>
      <c r="D11" s="2148"/>
      <c r="E11" s="2148"/>
      <c r="F11" s="2148"/>
      <c r="G11" s="2148"/>
      <c r="H11" s="2149"/>
      <c r="I11" s="27"/>
      <c r="J11" s="74"/>
      <c r="K11" s="27"/>
      <c r="O11" s="148" t="s">
        <v>2074</v>
      </c>
      <c r="P11" s="100" t="s">
        <v>210</v>
      </c>
      <c r="Q11" s="30"/>
      <c r="R11" s="28"/>
      <c r="S11" s="27"/>
      <c r="T11" s="2141"/>
      <c r="U11" s="2142"/>
      <c r="V11" s="2142"/>
      <c r="W11" s="2142"/>
      <c r="X11" s="2142"/>
      <c r="Y11" s="2142"/>
      <c r="Z11" s="2142"/>
      <c r="AA11" s="214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151">
        <v>53090309061</v>
      </c>
      <c r="B13" s="2152"/>
      <c r="C13" s="2152"/>
      <c r="D13" s="2152"/>
      <c r="E13" s="2152"/>
      <c r="F13" s="2152"/>
      <c r="G13" s="2152"/>
      <c r="H13" s="2153"/>
      <c r="I13" s="31"/>
      <c r="J13" s="30"/>
      <c r="K13" s="28"/>
      <c r="L13" s="30"/>
      <c r="M13" s="30"/>
      <c r="N13" s="30"/>
      <c r="O13" s="30"/>
      <c r="P13" s="30"/>
      <c r="Q13" s="30"/>
      <c r="R13" s="30"/>
      <c r="S13" s="30"/>
      <c r="T13" s="2156" t="s">
        <v>2075</v>
      </c>
      <c r="U13" s="2157"/>
      <c r="V13" s="2157"/>
      <c r="W13" s="2157"/>
      <c r="X13" s="2157"/>
      <c r="Y13" s="2158"/>
      <c r="Z13" s="2158"/>
      <c r="AA13" s="215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150" t="s">
        <v>2082</v>
      </c>
      <c r="B15" s="2154"/>
      <c r="C15" s="2154"/>
      <c r="D15" s="2154"/>
      <c r="E15" s="2154"/>
      <c r="F15" s="2154"/>
      <c r="G15" s="2154"/>
      <c r="H15" s="2155"/>
      <c r="T15" s="2160" t="s">
        <v>2087</v>
      </c>
      <c r="U15" s="2104"/>
      <c r="V15" s="2104"/>
      <c r="W15" s="2104"/>
      <c r="X15" s="2104"/>
      <c r="Y15" s="2161"/>
      <c r="Z15" s="2161"/>
      <c r="AA15" s="216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110" t="s">
        <v>2229</v>
      </c>
      <c r="B17" s="2111"/>
      <c r="C17" s="2111"/>
      <c r="D17" s="2111"/>
      <c r="E17" s="2111"/>
      <c r="F17" s="2111"/>
      <c r="G17" s="2111"/>
      <c r="H17" s="2136"/>
      <c r="T17" s="2167" t="s">
        <v>2076</v>
      </c>
      <c r="U17" s="2168"/>
      <c r="V17" s="2168"/>
      <c r="W17" s="2168"/>
      <c r="X17" s="2168"/>
      <c r="Y17" s="2168"/>
      <c r="Z17" s="2168"/>
      <c r="AA17" s="2169"/>
    </row>
    <row r="18" spans="1:27" ht="13.5" customHeight="1" x14ac:dyDescent="0.2">
      <c r="A18" s="85" t="s">
        <v>551</v>
      </c>
      <c r="B18" s="76"/>
      <c r="C18" s="72"/>
      <c r="D18" s="76"/>
      <c r="E18" s="76"/>
      <c r="F18" s="76"/>
      <c r="G18" s="76"/>
      <c r="H18" s="56"/>
      <c r="I18" s="2135" t="s">
        <v>697</v>
      </c>
      <c r="J18" s="2086"/>
      <c r="K18" s="2086"/>
      <c r="L18" s="2086"/>
      <c r="M18" s="2086"/>
      <c r="N18" s="2086"/>
      <c r="O18" s="2086"/>
      <c r="P18" s="2086"/>
      <c r="Q18" s="2086"/>
      <c r="R18" s="2086"/>
      <c r="S18" s="2087"/>
      <c r="T18" s="85" t="s">
        <v>735</v>
      </c>
      <c r="U18" s="51"/>
      <c r="V18" s="72"/>
      <c r="W18" s="50"/>
      <c r="X18" s="85" t="s">
        <v>284</v>
      </c>
      <c r="Y18" s="81"/>
      <c r="Z18" s="159" t="s">
        <v>698</v>
      </c>
      <c r="AA18" s="46"/>
    </row>
    <row r="19" spans="1:27" ht="13.5" customHeight="1" x14ac:dyDescent="0.2">
      <c r="A19" s="2150" t="s">
        <v>2084</v>
      </c>
      <c r="B19" s="2096"/>
      <c r="C19" s="2096"/>
      <c r="D19" s="2096"/>
      <c r="E19" s="2096"/>
      <c r="F19" s="2096"/>
      <c r="G19" s="2096"/>
      <c r="H19" s="2076"/>
      <c r="I19" s="30"/>
      <c r="J19" s="99"/>
      <c r="K19" s="40"/>
      <c r="L19" s="38"/>
      <c r="M19" s="112" t="s">
        <v>333</v>
      </c>
      <c r="P19" s="27"/>
      <c r="Q19" s="27"/>
      <c r="R19" s="27"/>
      <c r="S19" s="31"/>
      <c r="T19" s="2150" t="s">
        <v>2077</v>
      </c>
      <c r="U19" s="2075"/>
      <c r="V19" s="2075"/>
      <c r="W19" s="2076"/>
      <c r="X19" s="2165" t="s">
        <v>2078</v>
      </c>
      <c r="Y19" s="2166"/>
      <c r="Z19" s="2163">
        <v>61614</v>
      </c>
      <c r="AA19" s="216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74" t="s">
        <v>2085</v>
      </c>
      <c r="B21" s="2075"/>
      <c r="C21" s="2075"/>
      <c r="D21" s="2075"/>
      <c r="E21" s="2075"/>
      <c r="F21" s="2075"/>
      <c r="G21" s="2075"/>
      <c r="H21" s="2076"/>
      <c r="I21" s="2130" t="s">
        <v>699</v>
      </c>
      <c r="J21" s="2125"/>
      <c r="K21" s="2125"/>
      <c r="L21" s="2125"/>
      <c r="M21" s="2125"/>
      <c r="N21" s="2125"/>
      <c r="O21" s="2125"/>
      <c r="P21" s="2125"/>
      <c r="Q21" s="2125"/>
      <c r="R21" s="2125"/>
      <c r="S21" s="2131"/>
      <c r="T21" s="2174" t="s">
        <v>2079</v>
      </c>
      <c r="U21" s="2175"/>
      <c r="V21" s="2175"/>
      <c r="W21" s="2175"/>
      <c r="X21" s="2180" t="s">
        <v>2080</v>
      </c>
      <c r="Y21" s="2181"/>
      <c r="Z21" s="2181"/>
      <c r="AA21" s="2182"/>
    </row>
    <row r="22" spans="1:27" ht="13.5" customHeight="1" x14ac:dyDescent="0.2">
      <c r="A22" s="87" t="s">
        <v>552</v>
      </c>
      <c r="B22" s="59"/>
      <c r="C22" s="59"/>
      <c r="D22" s="59"/>
      <c r="E22" s="59"/>
      <c r="F22" s="59"/>
      <c r="G22" s="59"/>
      <c r="H22" s="60"/>
      <c r="I22" s="2132" t="s">
        <v>1504</v>
      </c>
      <c r="J22" s="2133"/>
      <c r="K22" s="2133"/>
      <c r="L22" s="2133"/>
      <c r="M22" s="2133"/>
      <c r="N22" s="2133"/>
      <c r="O22" s="2133"/>
      <c r="P22" s="2133"/>
      <c r="Q22" s="2133"/>
      <c r="R22" s="2133"/>
      <c r="S22" s="2134"/>
      <c r="T22" s="85" t="s">
        <v>1596</v>
      </c>
      <c r="U22" s="51"/>
      <c r="V22" s="72"/>
      <c r="W22" s="51"/>
      <c r="X22" s="160" t="s">
        <v>1385</v>
      </c>
      <c r="Z22" s="45"/>
      <c r="AA22" s="46"/>
    </row>
    <row r="23" spans="1:27" ht="13.5" customHeight="1" x14ac:dyDescent="0.2">
      <c r="A23" s="2127" t="s">
        <v>2089</v>
      </c>
      <c r="B23" s="2128"/>
      <c r="C23" s="2128"/>
      <c r="D23" s="2128"/>
      <c r="E23" s="2128"/>
      <c r="F23" s="2128"/>
      <c r="G23" s="2128"/>
      <c r="H23" s="2129"/>
      <c r="T23" s="2110" t="s">
        <v>2226</v>
      </c>
      <c r="U23" s="2173"/>
      <c r="V23" s="2173"/>
      <c r="W23" s="2173"/>
      <c r="X23" s="2177">
        <v>44530</v>
      </c>
      <c r="Y23" s="2178"/>
      <c r="Z23" s="2178"/>
      <c r="AA23" s="2179"/>
    </row>
    <row r="24" spans="1:27" ht="14.1" customHeight="1" x14ac:dyDescent="0.2">
      <c r="A24" s="88" t="s">
        <v>698</v>
      </c>
      <c r="B24" s="49"/>
      <c r="C24" s="49"/>
      <c r="D24" s="49"/>
      <c r="E24" s="49"/>
      <c r="F24" s="49"/>
      <c r="G24" s="49"/>
      <c r="H24" s="61"/>
      <c r="J24" s="2097" t="str">
        <f>IF(B5="x",IF(AUDITCHECK!D29="AFR form Incomplete.","",IF(AUDITCHECK!D29="Deficit reduction plan is required.","School District must complete a deficit reduction plan in the 2018-2019 Budget",)),"")</f>
        <v/>
      </c>
      <c r="K24" s="2097"/>
      <c r="L24" s="2097"/>
      <c r="M24" s="2097"/>
      <c r="N24" s="2097"/>
      <c r="O24" s="2097"/>
      <c r="P24" s="2097"/>
      <c r="Q24" s="2097"/>
      <c r="R24" s="2097"/>
      <c r="S24" s="2098"/>
      <c r="T24" s="105" t="s">
        <v>552</v>
      </c>
      <c r="U24" s="106"/>
      <c r="V24" s="106"/>
      <c r="W24" s="106"/>
      <c r="X24" s="107"/>
      <c r="Y24" s="107"/>
      <c r="Z24" s="107"/>
      <c r="AA24" s="108"/>
    </row>
    <row r="25" spans="1:27" ht="14.1" customHeight="1" x14ac:dyDescent="0.2">
      <c r="A25" s="2074">
        <v>61554</v>
      </c>
      <c r="B25" s="2075"/>
      <c r="C25" s="2075"/>
      <c r="D25" s="2075"/>
      <c r="E25" s="2075"/>
      <c r="F25" s="2075"/>
      <c r="G25" s="2075"/>
      <c r="H25" s="2076"/>
      <c r="I25" s="113"/>
      <c r="J25" s="2099"/>
      <c r="K25" s="2099"/>
      <c r="L25" s="2099"/>
      <c r="M25" s="2099"/>
      <c r="N25" s="2099"/>
      <c r="O25" s="2099"/>
      <c r="P25" s="2099"/>
      <c r="Q25" s="2099"/>
      <c r="R25" s="2099"/>
      <c r="S25" s="2100"/>
      <c r="T25" s="2170" t="s">
        <v>2088</v>
      </c>
      <c r="U25" s="2171"/>
      <c r="V25" s="2171"/>
      <c r="W25" s="2171"/>
      <c r="X25" s="2171"/>
      <c r="Y25" s="2171"/>
      <c r="Z25" s="2171"/>
      <c r="AA25" s="217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85" t="s">
        <v>1591</v>
      </c>
      <c r="J27" s="2086"/>
      <c r="K27" s="2086"/>
      <c r="L27" s="2086"/>
      <c r="M27" s="2086"/>
      <c r="N27" s="2086"/>
      <c r="O27" s="2086"/>
      <c r="P27" s="2086"/>
      <c r="Q27" s="2086"/>
      <c r="R27" s="2086"/>
      <c r="S27" s="208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2074</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96"/>
      <c r="Q35" s="2075"/>
      <c r="R35" s="207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110" t="s">
        <v>2086</v>
      </c>
      <c r="B38" s="2111"/>
      <c r="C38" s="2111"/>
      <c r="D38" s="2111"/>
      <c r="E38" s="2111"/>
      <c r="F38" s="2075"/>
      <c r="G38" s="2075"/>
      <c r="H38" s="2076"/>
      <c r="I38" s="2103"/>
      <c r="J38" s="2104"/>
      <c r="K38" s="2104"/>
      <c r="L38" s="2104"/>
      <c r="M38" s="2104"/>
      <c r="N38" s="2104"/>
      <c r="O38" s="2104"/>
      <c r="P38" s="2105"/>
      <c r="Q38" s="2105"/>
      <c r="R38" s="2105"/>
      <c r="S38" s="2106"/>
      <c r="T38" s="2160"/>
      <c r="U38" s="2104"/>
      <c r="V38" s="2104"/>
      <c r="W38" s="2104"/>
      <c r="X38" s="2105"/>
      <c r="Y38" s="2105"/>
      <c r="Z38" s="2105"/>
      <c r="AA38" s="2106"/>
    </row>
    <row r="39" spans="1:27" ht="12" customHeight="1" x14ac:dyDescent="0.2">
      <c r="A39" s="2080" t="s">
        <v>552</v>
      </c>
      <c r="B39" s="2081"/>
      <c r="C39" s="72"/>
      <c r="D39" s="69"/>
      <c r="E39" s="69"/>
      <c r="F39" s="79"/>
      <c r="G39" s="69"/>
      <c r="H39" s="56"/>
      <c r="I39" s="2080" t="s">
        <v>552</v>
      </c>
      <c r="J39" s="2081"/>
      <c r="K39" s="2081"/>
      <c r="L39" s="2081"/>
      <c r="M39" s="2081"/>
      <c r="N39" s="67"/>
      <c r="O39" s="72"/>
      <c r="P39" s="72"/>
      <c r="Q39" s="78"/>
      <c r="R39" s="72"/>
      <c r="S39" s="56"/>
      <c r="T39" s="72" t="s">
        <v>552</v>
      </c>
      <c r="U39" s="51"/>
      <c r="V39" s="72"/>
      <c r="W39" s="50"/>
      <c r="X39" s="78"/>
      <c r="Y39" s="45"/>
      <c r="Z39" s="45"/>
      <c r="AA39" s="46"/>
    </row>
    <row r="40" spans="1:27" ht="13.5" customHeight="1" x14ac:dyDescent="0.2">
      <c r="A40" s="2088" t="s">
        <v>2089</v>
      </c>
      <c r="B40" s="2089"/>
      <c r="C40" s="2090"/>
      <c r="D40" s="2090"/>
      <c r="E40" s="2090"/>
      <c r="F40" s="2091"/>
      <c r="G40" s="2091"/>
      <c r="H40" s="2092"/>
      <c r="I40" s="2113"/>
      <c r="J40" s="2114"/>
      <c r="K40" s="2114"/>
      <c r="L40" s="2114"/>
      <c r="M40" s="2114"/>
      <c r="N40" s="2114"/>
      <c r="O40" s="2114"/>
      <c r="P40" s="2114"/>
      <c r="Q40" s="2114"/>
      <c r="R40" s="2114"/>
      <c r="S40" s="2115"/>
      <c r="T40" s="2113"/>
      <c r="U40" s="2176"/>
      <c r="V40" s="2114"/>
      <c r="W40" s="2114"/>
      <c r="X40" s="2114"/>
      <c r="Y40" s="2114"/>
      <c r="Z40" s="2114"/>
      <c r="AA40" s="211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102">
        <v>3093475164</v>
      </c>
      <c r="B42" s="2094"/>
      <c r="C42" s="2095"/>
      <c r="D42" s="2093">
        <v>3093460440</v>
      </c>
      <c r="E42" s="2094"/>
      <c r="F42" s="2094"/>
      <c r="G42" s="2094"/>
      <c r="H42" s="2095"/>
      <c r="I42" s="2077"/>
      <c r="J42" s="2078"/>
      <c r="K42" s="2078"/>
      <c r="L42" s="2078"/>
      <c r="M42" s="2078"/>
      <c r="N42" s="2078"/>
      <c r="O42" s="2079"/>
      <c r="P42" s="2112"/>
      <c r="Q42" s="2078"/>
      <c r="R42" s="2078"/>
      <c r="S42" s="2079"/>
      <c r="T42" s="2077"/>
      <c r="U42" s="2078"/>
      <c r="V42" s="2078"/>
      <c r="W42" s="2079"/>
      <c r="X42" s="2112"/>
      <c r="Y42" s="2078"/>
      <c r="Z42" s="2078"/>
      <c r="AA42" s="207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107"/>
      <c r="B44" s="2108"/>
      <c r="C44" s="2108"/>
      <c r="D44" s="2108"/>
      <c r="E44" s="2108"/>
      <c r="F44" s="2108"/>
      <c r="G44" s="2108"/>
      <c r="H44" s="2109"/>
      <c r="I44" s="2082"/>
      <c r="J44" s="2083"/>
      <c r="K44" s="2083"/>
      <c r="L44" s="2083"/>
      <c r="M44" s="2083"/>
      <c r="N44" s="2083"/>
      <c r="O44" s="2083"/>
      <c r="P44" s="2083"/>
      <c r="Q44" s="2083"/>
      <c r="R44" s="2083"/>
      <c r="S44" s="2084"/>
      <c r="T44" s="2082"/>
      <c r="U44" s="2101"/>
      <c r="V44" s="2101"/>
      <c r="W44" s="2101"/>
      <c r="X44" s="2101"/>
      <c r="Y44" s="2101"/>
      <c r="Z44" s="2083"/>
      <c r="AA44" s="208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316" t="s">
        <v>1902</v>
      </c>
      <c r="B2" s="1548" t="s">
        <v>2034</v>
      </c>
      <c r="C2" s="713" t="s">
        <v>1907</v>
      </c>
      <c r="D2" s="713" t="s">
        <v>1908</v>
      </c>
      <c r="E2" s="713" t="s">
        <v>1909</v>
      </c>
      <c r="F2" s="713" t="s">
        <v>1910</v>
      </c>
    </row>
    <row r="3" spans="1:6" ht="12" customHeight="1" x14ac:dyDescent="0.2">
      <c r="A3" s="2317"/>
      <c r="B3" s="1545"/>
      <c r="C3" s="1546"/>
      <c r="D3" s="1547" t="s">
        <v>274</v>
      </c>
      <c r="E3" s="1546"/>
      <c r="F3" s="1547" t="s">
        <v>275</v>
      </c>
    </row>
    <row r="4" spans="1:6" ht="13.7" customHeight="1" x14ac:dyDescent="0.2">
      <c r="A4" s="714" t="s">
        <v>1217</v>
      </c>
      <c r="B4" s="1769">
        <f>'Revenues 9-14'!C5</f>
        <v>0</v>
      </c>
      <c r="C4" s="1544"/>
      <c r="D4" s="1772">
        <f>B4-C4</f>
        <v>0</v>
      </c>
      <c r="E4" s="1544"/>
      <c r="F4" s="1772">
        <f>E4-C4</f>
        <v>0</v>
      </c>
    </row>
    <row r="5" spans="1:6" ht="13.7" customHeight="1" x14ac:dyDescent="0.2">
      <c r="A5" s="714" t="s">
        <v>925</v>
      </c>
      <c r="B5" s="1770">
        <f>'Revenues 9-14'!D5</f>
        <v>0</v>
      </c>
      <c r="C5" s="583"/>
      <c r="D5" s="1773">
        <f t="shared" ref="D5:D18" si="0">B5-C5</f>
        <v>0</v>
      </c>
      <c r="E5" s="583"/>
      <c r="F5" s="1773">
        <f>E5-C5</f>
        <v>0</v>
      </c>
    </row>
    <row r="6" spans="1:6" ht="13.7" customHeight="1" x14ac:dyDescent="0.2">
      <c r="A6" s="714" t="s">
        <v>431</v>
      </c>
      <c r="B6" s="1770">
        <f>'Revenues 9-14'!E5</f>
        <v>0</v>
      </c>
      <c r="C6" s="583"/>
      <c r="D6" s="1773">
        <f t="shared" si="0"/>
        <v>0</v>
      </c>
      <c r="E6" s="583"/>
      <c r="F6" s="1773">
        <f t="shared" ref="F6:F18" si="1">E6-C6</f>
        <v>0</v>
      </c>
    </row>
    <row r="7" spans="1:6" ht="13.7" customHeight="1" x14ac:dyDescent="0.2">
      <c r="A7" s="714" t="s">
        <v>157</v>
      </c>
      <c r="B7" s="1770">
        <f>'Revenues 9-14'!F5</f>
        <v>0</v>
      </c>
      <c r="C7" s="583"/>
      <c r="D7" s="1773">
        <f t="shared" si="0"/>
        <v>0</v>
      </c>
      <c r="E7" s="583"/>
      <c r="F7" s="1773">
        <f t="shared" si="1"/>
        <v>0</v>
      </c>
    </row>
    <row r="8" spans="1:6" ht="13.7" customHeight="1" x14ac:dyDescent="0.2">
      <c r="A8" s="714" t="s">
        <v>1241</v>
      </c>
      <c r="B8" s="1770">
        <f>'Revenues 9-14'!G5</f>
        <v>0</v>
      </c>
      <c r="C8" s="583"/>
      <c r="D8" s="1773">
        <f t="shared" si="0"/>
        <v>0</v>
      </c>
      <c r="E8" s="583"/>
      <c r="F8" s="1773">
        <f t="shared" si="1"/>
        <v>0</v>
      </c>
    </row>
    <row r="9" spans="1:6" ht="13.7" customHeight="1" x14ac:dyDescent="0.2">
      <c r="A9" s="714" t="s">
        <v>428</v>
      </c>
      <c r="B9" s="1770">
        <f>'Revenues 9-14'!H5</f>
        <v>0</v>
      </c>
      <c r="C9" s="583"/>
      <c r="D9" s="1773">
        <f t="shared" si="0"/>
        <v>0</v>
      </c>
      <c r="E9" s="583"/>
      <c r="F9" s="1773">
        <f t="shared" si="1"/>
        <v>0</v>
      </c>
    </row>
    <row r="10" spans="1:6" ht="13.7" customHeight="1" x14ac:dyDescent="0.2">
      <c r="A10" s="714" t="s">
        <v>427</v>
      </c>
      <c r="B10" s="1770">
        <f>'Revenues 9-14'!I5</f>
        <v>0</v>
      </c>
      <c r="C10" s="583"/>
      <c r="D10" s="1773">
        <f t="shared" si="0"/>
        <v>0</v>
      </c>
      <c r="E10" s="583"/>
      <c r="F10" s="1773">
        <f t="shared" si="1"/>
        <v>0</v>
      </c>
    </row>
    <row r="11" spans="1:6" x14ac:dyDescent="0.2">
      <c r="A11" s="714" t="s">
        <v>429</v>
      </c>
      <c r="B11" s="1770">
        <f>'Revenues 9-14'!J5</f>
        <v>0</v>
      </c>
      <c r="C11" s="583"/>
      <c r="D11" s="1773">
        <f t="shared" si="0"/>
        <v>0</v>
      </c>
      <c r="E11" s="583"/>
      <c r="F11" s="1773">
        <f t="shared" si="1"/>
        <v>0</v>
      </c>
    </row>
    <row r="12" spans="1:6" ht="13.7" customHeight="1" x14ac:dyDescent="0.2">
      <c r="A12" s="714" t="s">
        <v>159</v>
      </c>
      <c r="B12" s="1770">
        <f>'Revenues 9-14'!K5</f>
        <v>0</v>
      </c>
      <c r="C12" s="583"/>
      <c r="D12" s="1773">
        <f t="shared" si="0"/>
        <v>0</v>
      </c>
      <c r="E12" s="583"/>
      <c r="F12" s="1773">
        <f t="shared" si="1"/>
        <v>0</v>
      </c>
    </row>
    <row r="13" spans="1:6" ht="13.7" customHeight="1" x14ac:dyDescent="0.2">
      <c r="A13" s="714" t="s">
        <v>993</v>
      </c>
      <c r="B13" s="1770">
        <f>SUM('Revenues 9-14'!C6:D6)</f>
        <v>0</v>
      </c>
      <c r="C13" s="583"/>
      <c r="D13" s="1773">
        <f t="shared" si="0"/>
        <v>0</v>
      </c>
      <c r="E13" s="583"/>
      <c r="F13" s="1773">
        <f t="shared" si="1"/>
        <v>0</v>
      </c>
    </row>
    <row r="14" spans="1:6" ht="13.7" customHeight="1" x14ac:dyDescent="0.2">
      <c r="A14" s="714" t="s">
        <v>430</v>
      </c>
      <c r="B14" s="1770">
        <f>SUM('Revenues 9-14'!C7:D7,'Revenues 9-14'!F7:H7)</f>
        <v>0</v>
      </c>
      <c r="C14" s="583"/>
      <c r="D14" s="1773">
        <f t="shared" si="0"/>
        <v>0</v>
      </c>
      <c r="E14" s="583"/>
      <c r="F14" s="1773">
        <f t="shared" si="1"/>
        <v>0</v>
      </c>
    </row>
    <row r="15" spans="1:6" ht="13.7" customHeight="1" x14ac:dyDescent="0.2">
      <c r="A15" s="714" t="s">
        <v>1220</v>
      </c>
      <c r="B15" s="1770">
        <f>'Revenues 9-14'!E9</f>
        <v>0</v>
      </c>
      <c r="C15" s="583"/>
      <c r="D15" s="1773">
        <f t="shared" si="0"/>
        <v>0</v>
      </c>
      <c r="E15" s="583"/>
      <c r="F15" s="1773">
        <f t="shared" si="1"/>
        <v>0</v>
      </c>
    </row>
    <row r="16" spans="1:6" ht="13.7" customHeight="1" x14ac:dyDescent="0.2">
      <c r="A16" s="714" t="s">
        <v>1221</v>
      </c>
      <c r="B16" s="1770">
        <f>'Revenues 9-14'!G8</f>
        <v>0</v>
      </c>
      <c r="C16" s="583"/>
      <c r="D16" s="1773">
        <f t="shared" si="0"/>
        <v>0</v>
      </c>
      <c r="E16" s="583"/>
      <c r="F16" s="1773">
        <f t="shared" si="1"/>
        <v>0</v>
      </c>
    </row>
    <row r="17" spans="1:6" ht="13.7" customHeight="1" x14ac:dyDescent="0.2">
      <c r="A17" s="714" t="s">
        <v>1222</v>
      </c>
      <c r="B17" s="1770">
        <f>'Revenues 9-14'!C10</f>
        <v>0</v>
      </c>
      <c r="C17" s="583"/>
      <c r="D17" s="1773">
        <f t="shared" si="0"/>
        <v>0</v>
      </c>
      <c r="E17" s="583"/>
      <c r="F17" s="1773">
        <f t="shared" si="1"/>
        <v>0</v>
      </c>
    </row>
    <row r="18" spans="1:6" ht="13.7" customHeight="1" x14ac:dyDescent="0.2">
      <c r="A18" s="714" t="s">
        <v>786</v>
      </c>
      <c r="B18" s="1770">
        <f>SUM('Revenues 9-14'!C11:K11)</f>
        <v>0</v>
      </c>
      <c r="C18" s="583"/>
      <c r="D18" s="1773">
        <f t="shared" si="0"/>
        <v>0</v>
      </c>
      <c r="E18" s="583"/>
      <c r="F18" s="1773">
        <f t="shared" si="1"/>
        <v>0</v>
      </c>
    </row>
    <row r="19" spans="1:6" ht="13.7" customHeight="1" thickBot="1" x14ac:dyDescent="0.25">
      <c r="A19" s="1774" t="s">
        <v>1223</v>
      </c>
      <c r="B19" s="1771">
        <f>SUM(B4:B18)</f>
        <v>0</v>
      </c>
      <c r="C19" s="1771">
        <f>SUM(C4:C18)</f>
        <v>0</v>
      </c>
      <c r="D19" s="1771">
        <f>SUM(D4:D18)</f>
        <v>0</v>
      </c>
      <c r="E19" s="1771">
        <f>SUM(E4:E18)</f>
        <v>0</v>
      </c>
      <c r="F19" s="1771">
        <f>SUM(F4:F18)</f>
        <v>0</v>
      </c>
    </row>
    <row r="20" spans="1:6" ht="13.5" thickTop="1" x14ac:dyDescent="0.2">
      <c r="B20" s="712"/>
      <c r="F20" s="715"/>
    </row>
    <row r="21" spans="1:6" x14ac:dyDescent="0.2">
      <c r="A21" s="716" t="s">
        <v>1912</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38" t="s">
        <v>650</v>
      </c>
      <c r="B1" s="2336"/>
      <c r="C1" s="720"/>
    </row>
    <row r="2" spans="1:7" ht="33.75" x14ac:dyDescent="0.2">
      <c r="A2" s="2343" t="s">
        <v>1902</v>
      </c>
      <c r="B2" s="2344"/>
      <c r="C2" s="1907" t="s">
        <v>2035</v>
      </c>
      <c r="D2" s="722" t="s">
        <v>2042</v>
      </c>
      <c r="E2" s="722" t="s">
        <v>2043</v>
      </c>
      <c r="F2" s="1907" t="s">
        <v>2036</v>
      </c>
    </row>
    <row r="3" spans="1:7" ht="15.75" customHeight="1" x14ac:dyDescent="0.2">
      <c r="A3" s="2345" t="s">
        <v>1176</v>
      </c>
      <c r="B3" s="2346"/>
      <c r="C3" s="2339"/>
      <c r="D3" s="2340"/>
      <c r="E3" s="2340"/>
      <c r="F3" s="2341"/>
    </row>
    <row r="4" spans="1:7" ht="12.75" customHeight="1" thickBot="1" x14ac:dyDescent="0.25">
      <c r="A4" s="2333" t="s">
        <v>651</v>
      </c>
      <c r="B4" s="2334"/>
      <c r="C4" s="579"/>
      <c r="D4" s="579"/>
      <c r="E4" s="579"/>
      <c r="F4" s="1775">
        <f>SUM(C4+D4)-E4</f>
        <v>0</v>
      </c>
    </row>
    <row r="5" spans="1:7" ht="15.75" customHeight="1" thickTop="1" x14ac:dyDescent="0.2">
      <c r="A5" s="2337" t="s">
        <v>1172</v>
      </c>
      <c r="B5" s="2332"/>
      <c r="C5" s="2326"/>
      <c r="D5" s="2327"/>
      <c r="E5" s="2327"/>
      <c r="F5" s="2328"/>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329" t="s">
        <v>652</v>
      </c>
      <c r="B15" s="2330"/>
      <c r="C15" s="1775">
        <f>SUM(C6:C14)</f>
        <v>0</v>
      </c>
      <c r="D15" s="1775">
        <f>SUM(D6:D14)</f>
        <v>0</v>
      </c>
      <c r="E15" s="1775">
        <f>SUM(E6:E14)</f>
        <v>0</v>
      </c>
      <c r="F15" s="1775">
        <f>SUM(F6:F14)</f>
        <v>0</v>
      </c>
      <c r="G15" s="550"/>
    </row>
    <row r="16" spans="1:7" s="202" customFormat="1" ht="15.75" customHeight="1" thickTop="1" x14ac:dyDescent="0.2">
      <c r="A16" s="2342" t="s">
        <v>1173</v>
      </c>
      <c r="B16" s="2332"/>
      <c r="C16" s="2326"/>
      <c r="D16" s="2327"/>
      <c r="E16" s="2327"/>
      <c r="F16" s="2328"/>
    </row>
    <row r="17" spans="1:11" ht="12.75" customHeight="1" thickBot="1" x14ac:dyDescent="0.25">
      <c r="A17" s="2324" t="s">
        <v>66</v>
      </c>
      <c r="B17" s="2325"/>
      <c r="C17" s="725"/>
      <c r="D17" s="583"/>
      <c r="E17" s="725"/>
      <c r="F17" s="1775">
        <f>SUM(C17+D17)-E17</f>
        <v>0</v>
      </c>
    </row>
    <row r="18" spans="1:11" ht="12.75" customHeight="1" thickTop="1" thickBot="1" x14ac:dyDescent="0.25">
      <c r="A18" s="2324" t="s">
        <v>6</v>
      </c>
      <c r="B18" s="2325"/>
      <c r="C18" s="725"/>
      <c r="D18" s="583"/>
      <c r="E18" s="725"/>
      <c r="F18" s="1775">
        <f>SUM(C18+D18)-E18</f>
        <v>0</v>
      </c>
    </row>
    <row r="19" spans="1:11" ht="12.75" customHeight="1" thickTop="1" thickBot="1" x14ac:dyDescent="0.25">
      <c r="A19" s="2324" t="s">
        <v>406</v>
      </c>
      <c r="B19" s="2325"/>
      <c r="C19" s="725"/>
      <c r="D19" s="583"/>
      <c r="E19" s="725"/>
      <c r="F19" s="1775">
        <f>SUM(C19+D19)-E19</f>
        <v>0</v>
      </c>
    </row>
    <row r="20" spans="1:11" ht="12.75" customHeight="1" thickTop="1" thickBot="1" x14ac:dyDescent="0.25">
      <c r="A20" s="2324" t="s">
        <v>468</v>
      </c>
      <c r="B20" s="2325"/>
      <c r="C20" s="725"/>
      <c r="D20" s="583"/>
      <c r="E20" s="725"/>
      <c r="F20" s="1775">
        <f>SUM(C20+D20)-E20</f>
        <v>0</v>
      </c>
    </row>
    <row r="21" spans="1:11" ht="14.25" thickTop="1" thickBot="1" x14ac:dyDescent="0.25">
      <c r="A21" s="2329" t="s">
        <v>653</v>
      </c>
      <c r="B21" s="2330"/>
      <c r="C21" s="1775">
        <f>SUM(C17:C20)</f>
        <v>0</v>
      </c>
      <c r="D21" s="1775">
        <f>SUM(D17:D20)</f>
        <v>0</v>
      </c>
      <c r="E21" s="1775">
        <f>SUM(E17:E20)</f>
        <v>0</v>
      </c>
      <c r="F21" s="1775">
        <f>SUM(F17:F20)</f>
        <v>0</v>
      </c>
      <c r="G21" s="550"/>
    </row>
    <row r="22" spans="1:11" ht="15.75" customHeight="1" thickTop="1" x14ac:dyDescent="0.2">
      <c r="A22" s="2331" t="s">
        <v>1174</v>
      </c>
      <c r="B22" s="2332"/>
      <c r="C22" s="2326"/>
      <c r="D22" s="2327"/>
      <c r="E22" s="2327"/>
      <c r="F22" s="2328"/>
    </row>
    <row r="23" spans="1:11" ht="13.5" thickBot="1" x14ac:dyDescent="0.25">
      <c r="A23" s="2333" t="s">
        <v>654</v>
      </c>
      <c r="B23" s="2334"/>
      <c r="C23" s="579"/>
      <c r="D23" s="579"/>
      <c r="E23" s="579"/>
      <c r="F23" s="1775">
        <f>SUM(C23+D23)-E23</f>
        <v>0</v>
      </c>
      <c r="G23" s="550"/>
    </row>
    <row r="24" spans="1:11" ht="15.75" customHeight="1" thickTop="1" x14ac:dyDescent="0.2">
      <c r="A24" s="2331" t="s">
        <v>1175</v>
      </c>
      <c r="B24" s="2332"/>
      <c r="C24" s="2326"/>
      <c r="D24" s="2327"/>
      <c r="E24" s="2327"/>
      <c r="F24" s="2328"/>
    </row>
    <row r="25" spans="1:11" ht="13.5" thickBot="1" x14ac:dyDescent="0.25">
      <c r="A25" s="2333" t="s">
        <v>655</v>
      </c>
      <c r="B25" s="2334"/>
      <c r="C25" s="579"/>
      <c r="D25" s="579"/>
      <c r="E25" s="579"/>
      <c r="F25" s="1775">
        <f>SUM(C25+D25)-E25</f>
        <v>0</v>
      </c>
      <c r="G25" s="550"/>
    </row>
    <row r="26" spans="1:11" ht="15.75" customHeight="1" thickTop="1" x14ac:dyDescent="0.2">
      <c r="A26" s="2337" t="s">
        <v>678</v>
      </c>
      <c r="B26" s="2332"/>
      <c r="C26" s="726"/>
      <c r="D26" s="726"/>
      <c r="E26" s="726"/>
      <c r="F26" s="727"/>
    </row>
    <row r="27" spans="1:11" ht="13.5" thickBot="1" x14ac:dyDescent="0.25">
      <c r="A27" s="2329" t="s">
        <v>1130</v>
      </c>
      <c r="B27" s="2330"/>
      <c r="C27" s="583"/>
      <c r="D27" s="583"/>
      <c r="E27" s="583"/>
      <c r="F27" s="1775">
        <f>SUM(C27+D27)-E27</f>
        <v>0</v>
      </c>
      <c r="G27" s="550"/>
    </row>
    <row r="28" spans="1:11" ht="7.5" customHeight="1" thickTop="1" x14ac:dyDescent="0.2">
      <c r="A28" s="592"/>
    </row>
    <row r="29" spans="1:11" ht="23.25" customHeight="1" x14ac:dyDescent="0.2">
      <c r="A29" s="2335" t="s">
        <v>603</v>
      </c>
      <c r="B29" s="2336"/>
      <c r="C29" s="728"/>
      <c r="D29" s="728"/>
      <c r="E29" s="728"/>
      <c r="F29" s="728"/>
      <c r="G29" s="728"/>
      <c r="H29" s="728"/>
      <c r="I29" s="728"/>
      <c r="J29" s="728"/>
    </row>
    <row r="30" spans="1:11" ht="33.75" x14ac:dyDescent="0.2">
      <c r="A30" s="1549" t="s">
        <v>1131</v>
      </c>
      <c r="B30" s="729" t="s">
        <v>1186</v>
      </c>
      <c r="C30" s="1908" t="s">
        <v>604</v>
      </c>
      <c r="D30" s="1908" t="s">
        <v>1772</v>
      </c>
      <c r="E30" s="1908" t="s">
        <v>2037</v>
      </c>
      <c r="F30" s="1908" t="s">
        <v>2038</v>
      </c>
      <c r="G30" s="1908" t="s">
        <v>2041</v>
      </c>
      <c r="H30" s="1908" t="s">
        <v>2039</v>
      </c>
      <c r="I30" s="1908" t="s">
        <v>2040</v>
      </c>
      <c r="J30" s="1909" t="s">
        <v>2</v>
      </c>
      <c r="K30" s="730"/>
    </row>
    <row r="31" spans="1:11" ht="12" customHeight="1" x14ac:dyDescent="0.2">
      <c r="A31" s="731"/>
      <c r="B31" s="732"/>
      <c r="C31" s="733"/>
      <c r="D31" s="734"/>
      <c r="E31" s="733"/>
      <c r="F31" s="733"/>
      <c r="G31" s="733"/>
      <c r="H31" s="733"/>
      <c r="I31" s="1776">
        <f>((E31+F31)-H31)+G31</f>
        <v>0</v>
      </c>
      <c r="J31" s="733"/>
      <c r="K31" s="735"/>
    </row>
    <row r="32" spans="1:11" ht="12" customHeight="1" x14ac:dyDescent="0.2">
      <c r="A32" s="731"/>
      <c r="B32" s="732"/>
      <c r="C32" s="733"/>
      <c r="D32" s="734"/>
      <c r="E32" s="733"/>
      <c r="F32" s="733"/>
      <c r="G32" s="733"/>
      <c r="H32" s="733"/>
      <c r="I32" s="1776">
        <f>((E32+F32)-H32)+G32</f>
        <v>0</v>
      </c>
      <c r="J32" s="733"/>
      <c r="K32" s="735"/>
    </row>
    <row r="33" spans="1:11" ht="12" customHeight="1" x14ac:dyDescent="0.2">
      <c r="A33" s="731"/>
      <c r="B33" s="732"/>
      <c r="C33" s="733"/>
      <c r="D33" s="734"/>
      <c r="E33" s="733"/>
      <c r="F33" s="733"/>
      <c r="G33" s="733"/>
      <c r="H33" s="733"/>
      <c r="I33" s="1776">
        <f t="shared" ref="I33:I48" si="1">((E33+F33)-H33)+G33</f>
        <v>0</v>
      </c>
      <c r="J33" s="733"/>
      <c r="K33" s="735"/>
    </row>
    <row r="34" spans="1:11" ht="12" customHeight="1" x14ac:dyDescent="0.2">
      <c r="A34" s="731"/>
      <c r="B34" s="732"/>
      <c r="C34" s="733"/>
      <c r="D34" s="734"/>
      <c r="E34" s="733"/>
      <c r="F34" s="733"/>
      <c r="G34" s="733"/>
      <c r="H34" s="733"/>
      <c r="I34" s="1776">
        <f t="shared" si="1"/>
        <v>0</v>
      </c>
      <c r="J34" s="733"/>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0</v>
      </c>
      <c r="D49" s="744"/>
      <c r="E49" s="1776">
        <f t="shared" ref="E49:J49" si="2">SUM(E31:E48)</f>
        <v>0</v>
      </c>
      <c r="F49" s="1776">
        <f t="shared" si="2"/>
        <v>0</v>
      </c>
      <c r="G49" s="1776">
        <f t="shared" si="2"/>
        <v>0</v>
      </c>
      <c r="H49" s="1776">
        <f t="shared" si="2"/>
        <v>0</v>
      </c>
      <c r="I49" s="1776">
        <f t="shared" si="2"/>
        <v>0</v>
      </c>
      <c r="J49" s="1776">
        <f t="shared" si="2"/>
        <v>0</v>
      </c>
      <c r="K49" s="736"/>
    </row>
    <row r="50" spans="1:11" ht="6" customHeight="1" x14ac:dyDescent="0.2">
      <c r="A50" s="745"/>
      <c r="B50" s="735"/>
      <c r="C50" s="735"/>
      <c r="D50" s="735"/>
      <c r="E50" s="735"/>
      <c r="F50" s="735"/>
      <c r="G50" s="735"/>
      <c r="H50" s="735"/>
      <c r="I50" s="735"/>
      <c r="J50" s="745"/>
    </row>
    <row r="51" spans="1:11" x14ac:dyDescent="0.2">
      <c r="A51" s="746" t="s">
        <v>1911</v>
      </c>
      <c r="B51" s="745"/>
      <c r="C51" s="736"/>
      <c r="D51" s="736"/>
      <c r="E51" s="736"/>
      <c r="F51" s="736"/>
      <c r="G51" s="736"/>
      <c r="H51" s="735"/>
      <c r="I51" s="735"/>
      <c r="J51" s="745"/>
    </row>
    <row r="52" spans="1:11" ht="11.25" customHeight="1" x14ac:dyDescent="0.2">
      <c r="A52" s="747" t="s">
        <v>968</v>
      </c>
      <c r="B52" s="2318" t="s">
        <v>605</v>
      </c>
      <c r="C52" s="2319"/>
      <c r="D52" s="2319"/>
      <c r="E52" s="748" t="s">
        <v>900</v>
      </c>
      <c r="F52" s="2320"/>
      <c r="G52" s="2321"/>
      <c r="H52" s="735"/>
      <c r="I52" s="735"/>
      <c r="J52" s="745"/>
    </row>
    <row r="53" spans="1:11" ht="11.25" customHeight="1" x14ac:dyDescent="0.2">
      <c r="A53" s="749" t="s">
        <v>969</v>
      </c>
      <c r="B53" s="750" t="s">
        <v>1008</v>
      </c>
      <c r="C53" s="745"/>
      <c r="D53" s="736"/>
      <c r="E53" s="748" t="s">
        <v>518</v>
      </c>
      <c r="F53" s="2322"/>
      <c r="G53" s="2323"/>
      <c r="H53" s="735"/>
      <c r="I53" s="735"/>
      <c r="J53" s="745"/>
    </row>
    <row r="54" spans="1:11" ht="11.25" customHeight="1" x14ac:dyDescent="0.2">
      <c r="A54" s="751" t="s">
        <v>970</v>
      </c>
      <c r="B54" s="746" t="s">
        <v>1009</v>
      </c>
      <c r="C54" s="745"/>
      <c r="D54" s="736"/>
      <c r="E54" s="748" t="s">
        <v>519</v>
      </c>
      <c r="F54" s="2322"/>
      <c r="G54" s="2323"/>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47" t="s">
        <v>911</v>
      </c>
      <c r="B1" s="2348"/>
      <c r="C1" s="2348"/>
      <c r="D1" s="2348"/>
      <c r="E1" s="2348"/>
      <c r="F1" s="2348"/>
      <c r="G1" s="2349"/>
      <c r="H1" s="1550"/>
      <c r="I1" s="759"/>
      <c r="J1" s="433"/>
    </row>
    <row r="2" spans="1:11" ht="26.25" x14ac:dyDescent="0.2">
      <c r="A2" s="2366" t="s">
        <v>1776</v>
      </c>
      <c r="B2" s="2367"/>
      <c r="C2" s="2367"/>
      <c r="D2" s="2367"/>
      <c r="E2" s="2368"/>
      <c r="F2" s="760" t="s">
        <v>960</v>
      </c>
      <c r="G2" s="761" t="s">
        <v>1773</v>
      </c>
      <c r="H2" s="761" t="s">
        <v>430</v>
      </c>
      <c r="I2" s="761" t="s">
        <v>1220</v>
      </c>
      <c r="J2" s="761" t="s">
        <v>1916</v>
      </c>
      <c r="K2" s="761" t="s">
        <v>140</v>
      </c>
    </row>
    <row r="3" spans="1:11" x14ac:dyDescent="0.2">
      <c r="A3" s="2369" t="s">
        <v>1698</v>
      </c>
      <c r="B3" s="2370"/>
      <c r="C3" s="2370"/>
      <c r="D3" s="2370"/>
      <c r="E3" s="2371"/>
      <c r="F3" s="762"/>
      <c r="G3" s="763"/>
      <c r="H3" s="763"/>
      <c r="I3" s="763"/>
      <c r="J3" s="764"/>
      <c r="K3" s="764"/>
    </row>
    <row r="4" spans="1:11" x14ac:dyDescent="0.2">
      <c r="A4" s="2372" t="s">
        <v>387</v>
      </c>
      <c r="B4" s="2373"/>
      <c r="C4" s="2373"/>
      <c r="D4" s="2373"/>
      <c r="E4" s="2319"/>
      <c r="F4" s="765"/>
      <c r="G4" s="766"/>
      <c r="H4" s="767"/>
      <c r="I4" s="766"/>
      <c r="J4" s="768"/>
      <c r="K4" s="768"/>
    </row>
    <row r="5" spans="1:11" x14ac:dyDescent="0.2">
      <c r="A5" s="2350" t="s">
        <v>1129</v>
      </c>
      <c r="B5" s="2351"/>
      <c r="C5" s="2351"/>
      <c r="D5" s="2351"/>
      <c r="E5" s="2352"/>
      <c r="F5" s="769" t="s">
        <v>903</v>
      </c>
      <c r="G5" s="770"/>
      <c r="H5" s="763"/>
      <c r="I5" s="771"/>
      <c r="J5" s="772"/>
      <c r="K5" s="772"/>
    </row>
    <row r="6" spans="1:11" x14ac:dyDescent="0.2">
      <c r="A6" s="773" t="s">
        <v>744</v>
      </c>
      <c r="B6" s="774"/>
      <c r="C6" s="774"/>
      <c r="D6" s="774"/>
      <c r="E6" s="775"/>
      <c r="F6" s="776" t="s">
        <v>904</v>
      </c>
      <c r="G6" s="763"/>
      <c r="H6" s="763"/>
      <c r="I6" s="763"/>
      <c r="J6" s="764"/>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row>
    <row r="10" spans="1:11" x14ac:dyDescent="0.2">
      <c r="A10" s="2350" t="s">
        <v>1917</v>
      </c>
      <c r="B10" s="2351"/>
      <c r="C10" s="2351"/>
      <c r="D10" s="2351"/>
      <c r="E10" s="2353"/>
      <c r="F10" s="782" t="s">
        <v>917</v>
      </c>
      <c r="G10" s="781"/>
      <c r="H10" s="783"/>
      <c r="I10" s="763"/>
      <c r="J10" s="764"/>
      <c r="K10" s="764"/>
    </row>
    <row r="11" spans="1:11" x14ac:dyDescent="0.2">
      <c r="A11" s="2350" t="s">
        <v>162</v>
      </c>
      <c r="B11" s="2351"/>
      <c r="C11" s="2351"/>
      <c r="D11" s="2351"/>
      <c r="E11" s="2352"/>
      <c r="F11" s="769" t="s">
        <v>907</v>
      </c>
      <c r="G11" s="770"/>
      <c r="H11" s="763"/>
      <c r="I11" s="763"/>
      <c r="J11" s="764"/>
      <c r="K11" s="772"/>
    </row>
    <row r="12" spans="1:11" ht="13.5" thickBot="1" x14ac:dyDescent="0.25">
      <c r="A12" s="2377" t="s">
        <v>961</v>
      </c>
      <c r="B12" s="2378"/>
      <c r="C12" s="2378"/>
      <c r="D12" s="2378"/>
      <c r="E12" s="2379"/>
      <c r="F12" s="1777"/>
      <c r="G12" s="1778">
        <f>SUM(G5:G11)</f>
        <v>0</v>
      </c>
      <c r="H12" s="1778">
        <f>SUM(H5:H11)</f>
        <v>0</v>
      </c>
      <c r="I12" s="1778">
        <f>SUM(I5:I11)</f>
        <v>0</v>
      </c>
      <c r="J12" s="1778">
        <f>SUM(J5:J11)</f>
        <v>0</v>
      </c>
      <c r="K12" s="1778">
        <f>SUM(K5:K11)</f>
        <v>0</v>
      </c>
    </row>
    <row r="13" spans="1:11" ht="13.5" thickTop="1" x14ac:dyDescent="0.2">
      <c r="A13" s="2374" t="s">
        <v>388</v>
      </c>
      <c r="B13" s="2375"/>
      <c r="C13" s="2375"/>
      <c r="D13" s="2375"/>
      <c r="E13" s="2376"/>
      <c r="F13" s="784"/>
      <c r="G13" s="785"/>
      <c r="H13" s="786"/>
      <c r="I13" s="787"/>
      <c r="J13" s="787"/>
      <c r="K13" s="787"/>
    </row>
    <row r="14" spans="1:11" x14ac:dyDescent="0.2">
      <c r="A14" s="2357" t="s">
        <v>476</v>
      </c>
      <c r="B14" s="2357"/>
      <c r="C14" s="2357"/>
      <c r="D14" s="2357"/>
      <c r="E14" s="2358"/>
      <c r="F14" s="788" t="s">
        <v>909</v>
      </c>
      <c r="G14" s="781"/>
      <c r="H14" s="763"/>
      <c r="I14" s="770"/>
      <c r="J14" s="772"/>
      <c r="K14" s="764"/>
    </row>
    <row r="15" spans="1:11" x14ac:dyDescent="0.2">
      <c r="A15" s="2351" t="s">
        <v>4</v>
      </c>
      <c r="B15" s="2351"/>
      <c r="C15" s="2351"/>
      <c r="D15" s="2351"/>
      <c r="E15" s="2352"/>
      <c r="F15" s="788" t="s">
        <v>910</v>
      </c>
      <c r="G15" s="770"/>
      <c r="H15" s="763"/>
      <c r="I15" s="763"/>
      <c r="J15" s="764"/>
      <c r="K15" s="764"/>
    </row>
    <row r="16" spans="1:11" x14ac:dyDescent="0.2">
      <c r="A16" s="2351" t="s">
        <v>316</v>
      </c>
      <c r="B16" s="2351"/>
      <c r="C16" s="2351"/>
      <c r="D16" s="2351"/>
      <c r="E16" s="2352"/>
      <c r="F16" s="788" t="s">
        <v>980</v>
      </c>
      <c r="G16" s="771"/>
      <c r="H16" s="766"/>
      <c r="I16" s="766"/>
      <c r="J16" s="768"/>
      <c r="K16" s="768"/>
    </row>
    <row r="17" spans="1:11" x14ac:dyDescent="0.2">
      <c r="A17" s="2382" t="s">
        <v>992</v>
      </c>
      <c r="B17" s="2382"/>
      <c r="C17" s="2382"/>
      <c r="D17" s="2382"/>
      <c r="E17" s="2383"/>
      <c r="F17" s="789"/>
      <c r="G17" s="790"/>
      <c r="H17" s="791"/>
      <c r="I17" s="791"/>
      <c r="J17" s="792"/>
      <c r="K17" s="793"/>
    </row>
    <row r="18" spans="1:11" x14ac:dyDescent="0.2">
      <c r="A18" s="2361" t="s">
        <v>386</v>
      </c>
      <c r="B18" s="2362"/>
      <c r="C18" s="2362"/>
      <c r="D18" s="2362"/>
      <c r="E18" s="2363"/>
      <c r="F18" s="788" t="s">
        <v>989</v>
      </c>
      <c r="G18" s="781"/>
      <c r="H18" s="781"/>
      <c r="I18" s="781"/>
      <c r="J18" s="764"/>
      <c r="K18" s="794"/>
    </row>
    <row r="19" spans="1:11" ht="21.75" customHeight="1" x14ac:dyDescent="0.2">
      <c r="A19" s="2359" t="s">
        <v>1913</v>
      </c>
      <c r="B19" s="2359"/>
      <c r="C19" s="2359"/>
      <c r="D19" s="2359"/>
      <c r="E19" s="2360"/>
      <c r="F19" s="788" t="s">
        <v>990</v>
      </c>
      <c r="G19" s="781"/>
      <c r="H19" s="781"/>
      <c r="I19" s="781"/>
      <c r="J19" s="764"/>
      <c r="K19" s="794"/>
    </row>
    <row r="20" spans="1:11" x14ac:dyDescent="0.2">
      <c r="A20" s="2361" t="s">
        <v>1918</v>
      </c>
      <c r="B20" s="2362"/>
      <c r="C20" s="2362"/>
      <c r="D20" s="2362"/>
      <c r="E20" s="2363"/>
      <c r="F20" s="788" t="s">
        <v>991</v>
      </c>
      <c r="G20" s="781"/>
      <c r="H20" s="781"/>
      <c r="I20" s="781"/>
      <c r="J20" s="764"/>
      <c r="K20" s="794"/>
    </row>
    <row r="21" spans="1:11" ht="13.5" thickBot="1" x14ac:dyDescent="0.25">
      <c r="A21" s="2380" t="s">
        <v>659</v>
      </c>
      <c r="B21" s="2380"/>
      <c r="C21" s="2380"/>
      <c r="D21" s="2380"/>
      <c r="E21" s="2380"/>
      <c r="F21" s="1779"/>
      <c r="G21" s="791"/>
      <c r="H21" s="795"/>
      <c r="I21" s="795"/>
      <c r="J21" s="1780">
        <f>SUM(J18:J20)</f>
        <v>0</v>
      </c>
      <c r="K21" s="792"/>
    </row>
    <row r="22" spans="1:11" ht="13.5" thickTop="1" x14ac:dyDescent="0.2">
      <c r="A22" s="2351" t="s">
        <v>1919</v>
      </c>
      <c r="B22" s="2351"/>
      <c r="C22" s="2351"/>
      <c r="D22" s="2351"/>
      <c r="E22" s="2352"/>
      <c r="F22" s="788" t="s">
        <v>917</v>
      </c>
      <c r="G22" s="781"/>
      <c r="H22" s="763"/>
      <c r="I22" s="763"/>
      <c r="J22" s="796"/>
      <c r="K22" s="764"/>
    </row>
    <row r="23" spans="1:11" ht="13.5" thickBot="1" x14ac:dyDescent="0.25">
      <c r="A23" s="2381" t="s">
        <v>962</v>
      </c>
      <c r="B23" s="2380"/>
      <c r="C23" s="2380"/>
      <c r="D23" s="2380"/>
      <c r="E23" s="2380"/>
      <c r="F23" s="1781"/>
      <c r="G23" s="1778">
        <f>SUM(G14:G16,G21,G22)</f>
        <v>0</v>
      </c>
      <c r="H23" s="1778">
        <f>SUM(H14:H16,H21,H22)</f>
        <v>0</v>
      </c>
      <c r="I23" s="1778">
        <f>SUM(I14:I16,I21,I22)</f>
        <v>0</v>
      </c>
      <c r="J23" s="1778">
        <f>SUM(J14:J16,J21,J22)</f>
        <v>0</v>
      </c>
      <c r="K23" s="1778">
        <f>SUM(K14:K16,K21,K22)</f>
        <v>0</v>
      </c>
    </row>
    <row r="24" spans="1:11" ht="14.25" thickTop="1" thickBot="1" x14ac:dyDescent="0.25">
      <c r="A24" s="2381" t="s">
        <v>2023</v>
      </c>
      <c r="B24" s="2380"/>
      <c r="C24" s="2380"/>
      <c r="D24" s="2380"/>
      <c r="E24" s="2380"/>
      <c r="F24" s="1782"/>
      <c r="G24" s="1783">
        <f>SUM(G3,G12)-G23</f>
        <v>0</v>
      </c>
      <c r="H24" s="1783">
        <f>SUM(H3,H12)-H23</f>
        <v>0</v>
      </c>
      <c r="I24" s="1783">
        <f>SUM(I3,I12)-I23</f>
        <v>0</v>
      </c>
      <c r="J24" s="1783">
        <f>SUM(J3,J12)-J23</f>
        <v>0</v>
      </c>
      <c r="K24" s="1783">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2033</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354"/>
      <c r="I31" s="2355"/>
      <c r="J31" s="2355"/>
      <c r="K31" s="2355"/>
    </row>
    <row r="32" spans="1:11" x14ac:dyDescent="0.2">
      <c r="A32" s="808"/>
      <c r="B32" s="237"/>
      <c r="C32" s="237"/>
      <c r="D32" s="237"/>
      <c r="E32" s="804"/>
      <c r="F32" s="810" t="s">
        <v>561</v>
      </c>
      <c r="G32" s="763"/>
      <c r="H32" s="2356"/>
      <c r="I32" s="2355"/>
      <c r="J32" s="2355"/>
      <c r="K32" s="2355"/>
    </row>
    <row r="33" spans="1:11" ht="1.5" customHeight="1" x14ac:dyDescent="0.2">
      <c r="A33" s="811" t="s">
        <v>1231</v>
      </c>
      <c r="B33" s="364"/>
      <c r="C33" s="364"/>
      <c r="D33" s="364"/>
      <c r="E33" s="364"/>
      <c r="F33" s="364"/>
      <c r="G33" s="812"/>
      <c r="H33" s="2356"/>
      <c r="I33" s="2355"/>
      <c r="J33" s="2355"/>
      <c r="K33" s="2355"/>
    </row>
    <row r="34" spans="1:11" x14ac:dyDescent="0.2">
      <c r="A34" s="813" t="s">
        <v>1920</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351" t="s">
        <v>562</v>
      </c>
      <c r="B41" s="2364"/>
      <c r="C41" s="2364"/>
      <c r="D41" s="2364"/>
      <c r="E41" s="2364"/>
      <c r="F41" s="2365"/>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1914</v>
      </c>
      <c r="B46" s="408" t="s">
        <v>1774</v>
      </c>
    </row>
    <row r="47" spans="1:11" s="822" customFormat="1" ht="12.75" customHeight="1" x14ac:dyDescent="0.2">
      <c r="A47" s="820"/>
      <c r="B47" s="821" t="s">
        <v>1775</v>
      </c>
      <c r="E47" s="821"/>
      <c r="K47" s="823"/>
    </row>
    <row r="48" spans="1:11" ht="12.75" customHeight="1" x14ac:dyDescent="0.2">
      <c r="A48" s="1552"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86" t="s">
        <v>2032</v>
      </c>
      <c r="B1" s="2387"/>
      <c r="C1" s="2388"/>
      <c r="D1" s="825"/>
      <c r="E1" s="826"/>
      <c r="F1" s="826"/>
      <c r="G1" s="827"/>
      <c r="H1" s="828"/>
      <c r="I1" s="829"/>
      <c r="J1" s="2384"/>
      <c r="K1" s="2385"/>
      <c r="L1" s="2385"/>
    </row>
    <row r="2" spans="1:14" ht="69.75" customHeight="1" x14ac:dyDescent="0.2">
      <c r="A2" s="830" t="s">
        <v>1777</v>
      </c>
      <c r="B2" s="831" t="s">
        <v>396</v>
      </c>
      <c r="C2" s="832" t="s">
        <v>2027</v>
      </c>
      <c r="D2" s="832" t="s">
        <v>2024</v>
      </c>
      <c r="E2" s="832" t="s">
        <v>2025</v>
      </c>
      <c r="F2" s="832" t="s">
        <v>2026</v>
      </c>
      <c r="G2" s="832" t="s">
        <v>626</v>
      </c>
      <c r="H2" s="832" t="s">
        <v>2028</v>
      </c>
      <c r="I2" s="832" t="s">
        <v>2029</v>
      </c>
      <c r="J2" s="832" t="s">
        <v>2044</v>
      </c>
      <c r="K2" s="832" t="s">
        <v>2030</v>
      </c>
      <c r="L2" s="832" t="s">
        <v>2031</v>
      </c>
      <c r="M2" s="833"/>
      <c r="N2" s="833"/>
    </row>
    <row r="3" spans="1:14" ht="13.5" thickBot="1" x14ac:dyDescent="0.25">
      <c r="A3" s="1649" t="s">
        <v>948</v>
      </c>
      <c r="B3" s="1650">
        <v>210</v>
      </c>
      <c r="C3" s="834">
        <v>0</v>
      </c>
      <c r="D3" s="834"/>
      <c r="E3" s="834"/>
      <c r="F3" s="1780">
        <f>(C3+D3)-E3</f>
        <v>0</v>
      </c>
      <c r="G3" s="835"/>
      <c r="H3" s="834">
        <v>0</v>
      </c>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55659</v>
      </c>
      <c r="D5" s="840"/>
      <c r="E5" s="840"/>
      <c r="F5" s="1780">
        <f>(C5+D5)-E5</f>
        <v>55659</v>
      </c>
      <c r="G5" s="836"/>
      <c r="H5" s="841"/>
      <c r="I5" s="841"/>
      <c r="J5" s="841"/>
      <c r="K5" s="792"/>
      <c r="L5" s="1789">
        <f>F5-K5</f>
        <v>55659</v>
      </c>
    </row>
    <row r="6" spans="1:14" ht="14.25" thickTop="1" thickBot="1" x14ac:dyDescent="0.25">
      <c r="A6" s="777" t="s">
        <v>1179</v>
      </c>
      <c r="B6" s="839">
        <v>222</v>
      </c>
      <c r="C6" s="764">
        <v>0</v>
      </c>
      <c r="D6" s="764"/>
      <c r="E6" s="764"/>
      <c r="F6" s="1780">
        <f>(C6+D6)-E6</f>
        <v>0</v>
      </c>
      <c r="G6" s="836">
        <v>50</v>
      </c>
      <c r="H6" s="764">
        <v>0</v>
      </c>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2210125</v>
      </c>
      <c r="D8" s="843"/>
      <c r="E8" s="843"/>
      <c r="F8" s="1780">
        <f>(C8+D8)-E8</f>
        <v>2210125</v>
      </c>
      <c r="G8" s="842">
        <v>50</v>
      </c>
      <c r="H8" s="764">
        <v>1355809</v>
      </c>
      <c r="I8" s="764">
        <v>44203</v>
      </c>
      <c r="J8" s="764"/>
      <c r="K8" s="1789">
        <f>(H8+I8)-J8</f>
        <v>1400012</v>
      </c>
      <c r="L8" s="1789">
        <f>F8-K8</f>
        <v>810113</v>
      </c>
    </row>
    <row r="9" spans="1:14" ht="14.25" thickTop="1" thickBot="1" x14ac:dyDescent="0.25">
      <c r="A9" s="777" t="s">
        <v>1181</v>
      </c>
      <c r="B9" s="839">
        <v>232</v>
      </c>
      <c r="C9" s="764">
        <v>0</v>
      </c>
      <c r="D9" s="764"/>
      <c r="E9" s="764"/>
      <c r="F9" s="1780">
        <f>(C9+D9)-E9</f>
        <v>0</v>
      </c>
      <c r="G9" s="842">
        <v>20</v>
      </c>
      <c r="H9" s="764">
        <v>0</v>
      </c>
      <c r="I9" s="764"/>
      <c r="J9" s="764"/>
      <c r="K9" s="1789">
        <f>(H9+I9)-J9</f>
        <v>0</v>
      </c>
      <c r="L9" s="1789">
        <f>F9-K9</f>
        <v>0</v>
      </c>
    </row>
    <row r="10" spans="1:14" ht="24" thickTop="1" thickBot="1" x14ac:dyDescent="0.25">
      <c r="A10" s="844" t="s">
        <v>1182</v>
      </c>
      <c r="B10" s="839">
        <v>240</v>
      </c>
      <c r="C10" s="845">
        <v>155296</v>
      </c>
      <c r="D10" s="845"/>
      <c r="E10" s="845"/>
      <c r="F10" s="1784">
        <f>(C10+D10)-E10</f>
        <v>155296</v>
      </c>
      <c r="G10" s="842">
        <v>20</v>
      </c>
      <c r="H10" s="846">
        <v>117764</v>
      </c>
      <c r="I10" s="846">
        <v>7765</v>
      </c>
      <c r="J10" s="846"/>
      <c r="K10" s="1789">
        <f>(H10+I10)-J10</f>
        <v>125529</v>
      </c>
      <c r="L10" s="1789">
        <f>F10-K10</f>
        <v>29767</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584913</v>
      </c>
      <c r="D12" s="843">
        <v>7797</v>
      </c>
      <c r="E12" s="843"/>
      <c r="F12" s="1780">
        <f>(C12+D12)-E12</f>
        <v>592710</v>
      </c>
      <c r="G12" s="842">
        <v>10</v>
      </c>
      <c r="H12" s="764">
        <v>417972</v>
      </c>
      <c r="I12" s="764">
        <v>59272</v>
      </c>
      <c r="J12" s="764"/>
      <c r="K12" s="1789">
        <f>(H12+I12)-J12</f>
        <v>477244</v>
      </c>
      <c r="L12" s="1789">
        <f>F12-K12</f>
        <v>115466</v>
      </c>
    </row>
    <row r="13" spans="1:14" ht="14.25" thickTop="1" thickBot="1" x14ac:dyDescent="0.25">
      <c r="A13" s="847" t="s">
        <v>1184</v>
      </c>
      <c r="B13" s="839">
        <v>252</v>
      </c>
      <c r="C13" s="843">
        <v>0</v>
      </c>
      <c r="D13" s="843"/>
      <c r="E13" s="843"/>
      <c r="F13" s="1780">
        <f>(C13+D13)-E13</f>
        <v>0</v>
      </c>
      <c r="G13" s="842">
        <v>5</v>
      </c>
      <c r="H13" s="764">
        <v>0</v>
      </c>
      <c r="I13" s="764"/>
      <c r="J13" s="764"/>
      <c r="K13" s="1789">
        <f>(H13+I13)-J13</f>
        <v>0</v>
      </c>
      <c r="L13" s="1789">
        <f>F13-K13</f>
        <v>0</v>
      </c>
    </row>
    <row r="14" spans="1:14" ht="14.25" thickTop="1" thickBot="1" x14ac:dyDescent="0.25">
      <c r="A14" s="847" t="s">
        <v>1185</v>
      </c>
      <c r="B14" s="839">
        <v>253</v>
      </c>
      <c r="C14" s="764">
        <v>0</v>
      </c>
      <c r="D14" s="764"/>
      <c r="E14" s="764"/>
      <c r="F14" s="1780">
        <f>(C14+D14)-E14</f>
        <v>0</v>
      </c>
      <c r="G14" s="842">
        <v>3</v>
      </c>
      <c r="H14" s="764">
        <v>0</v>
      </c>
      <c r="I14" s="764"/>
      <c r="J14" s="764"/>
      <c r="K14" s="1789">
        <f>(H14+I14)-J14</f>
        <v>0</v>
      </c>
      <c r="L14" s="1789">
        <f>F14-K14</f>
        <v>0</v>
      </c>
    </row>
    <row r="15" spans="1:14" ht="15" customHeight="1" thickTop="1" thickBot="1" x14ac:dyDescent="0.25">
      <c r="A15" s="1651" t="s">
        <v>549</v>
      </c>
      <c r="B15" s="1650">
        <v>260</v>
      </c>
      <c r="C15" s="843">
        <v>0</v>
      </c>
      <c r="D15" s="843"/>
      <c r="E15" s="843"/>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3005993</v>
      </c>
      <c r="D16" s="1780">
        <f>SUM(D3,D5:D6,D8:D10,D12:D15)</f>
        <v>7797</v>
      </c>
      <c r="E16" s="1780">
        <f>SUM(E3,E5:E6,E8:E10,E12:E15)</f>
        <v>0</v>
      </c>
      <c r="F16" s="1780">
        <f>SUM(F3,F5:F6,F8:F10,F12:F15)</f>
        <v>3013790</v>
      </c>
      <c r="G16" s="842"/>
      <c r="H16" s="1780">
        <f>SUM(H3,H6,H8:H10,H12:H14,)</f>
        <v>1891545</v>
      </c>
      <c r="I16" s="1780">
        <f>SUM(I3,I6,I8:I10,I12:I14,)</f>
        <v>111240</v>
      </c>
      <c r="J16" s="1780">
        <f>SUM(J3,J6,J8:J10,J12:J14,)</f>
        <v>0</v>
      </c>
      <c r="K16" s="1780">
        <f>(H16+I16)-J16</f>
        <v>2002785</v>
      </c>
      <c r="L16" s="1780">
        <f>F16-K16</f>
        <v>1011005</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9300</v>
      </c>
      <c r="G17" s="836">
        <v>10</v>
      </c>
      <c r="H17" s="768"/>
      <c r="I17" s="1789">
        <f>F17/G17</f>
        <v>930</v>
      </c>
      <c r="J17" s="768"/>
      <c r="K17" s="794"/>
      <c r="L17" s="794"/>
    </row>
    <row r="18" spans="1:12" ht="14.25" thickTop="1" thickBot="1" x14ac:dyDescent="0.25">
      <c r="A18" s="1787" t="s">
        <v>706</v>
      </c>
      <c r="B18" s="1788"/>
      <c r="C18" s="770"/>
      <c r="D18" s="770"/>
      <c r="E18" s="770"/>
      <c r="F18" s="849"/>
      <c r="G18" s="850"/>
      <c r="H18" s="772"/>
      <c r="I18" s="1780">
        <f>SUM(I16,I17)</f>
        <v>112170</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392" t="s">
        <v>1699</v>
      </c>
      <c r="B1" s="2393"/>
      <c r="C1" s="2393"/>
      <c r="D1" s="2393"/>
      <c r="E1" s="2393"/>
      <c r="F1" s="2394"/>
      <c r="G1" s="854"/>
    </row>
    <row r="2" spans="1:7" ht="15" customHeight="1" thickBot="1" x14ac:dyDescent="0.25">
      <c r="A2" s="2395" t="s">
        <v>498</v>
      </c>
      <c r="B2" s="2396"/>
      <c r="C2" s="2396"/>
      <c r="D2" s="2396"/>
      <c r="E2" s="2396"/>
      <c r="F2" s="2397"/>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398"/>
      <c r="B5" s="2399"/>
      <c r="C5" s="2399"/>
      <c r="D5" s="2399"/>
      <c r="E5" s="2399"/>
      <c r="F5" s="2399"/>
    </row>
    <row r="6" spans="1:7" ht="13.5" customHeight="1" thickBot="1" x14ac:dyDescent="0.25">
      <c r="A6" s="2389" t="s">
        <v>1166</v>
      </c>
      <c r="B6" s="2390"/>
      <c r="C6" s="2390"/>
      <c r="D6" s="2390"/>
      <c r="E6" s="2390"/>
      <c r="F6" s="2391"/>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9788160</v>
      </c>
      <c r="G8" s="864"/>
    </row>
    <row r="9" spans="1:7" x14ac:dyDescent="0.2">
      <c r="A9" s="868" t="s">
        <v>480</v>
      </c>
      <c r="B9" s="869" t="s">
        <v>1986</v>
      </c>
      <c r="C9" s="870"/>
      <c r="D9" s="868" t="s">
        <v>522</v>
      </c>
      <c r="E9" s="867"/>
      <c r="F9" s="1933">
        <f>'Expenditures 15-22'!K151</f>
        <v>0</v>
      </c>
      <c r="G9" s="871"/>
    </row>
    <row r="10" spans="1:7" x14ac:dyDescent="0.2">
      <c r="A10" s="868" t="s">
        <v>520</v>
      </c>
      <c r="B10" s="869" t="s">
        <v>1987</v>
      </c>
      <c r="C10" s="870"/>
      <c r="D10" s="868" t="s">
        <v>522</v>
      </c>
      <c r="E10" s="867"/>
      <c r="F10" s="1933">
        <f>'Expenditures 15-22'!K174</f>
        <v>0</v>
      </c>
      <c r="G10" s="871"/>
    </row>
    <row r="11" spans="1:7" x14ac:dyDescent="0.2">
      <c r="A11" s="868" t="s">
        <v>481</v>
      </c>
      <c r="B11" s="869" t="s">
        <v>1988</v>
      </c>
      <c r="C11" s="870"/>
      <c r="D11" s="868" t="s">
        <v>522</v>
      </c>
      <c r="E11" s="867"/>
      <c r="F11" s="1933">
        <f>'Expenditures 15-22'!K210</f>
        <v>11204</v>
      </c>
      <c r="G11" s="871"/>
    </row>
    <row r="12" spans="1:7" x14ac:dyDescent="0.2">
      <c r="A12" s="868" t="s">
        <v>482</v>
      </c>
      <c r="B12" s="869" t="s">
        <v>1989</v>
      </c>
      <c r="C12" s="870"/>
      <c r="D12" s="868" t="s">
        <v>522</v>
      </c>
      <c r="E12" s="867"/>
      <c r="F12" s="1933">
        <f>'Expenditures 15-22'!K295</f>
        <v>0</v>
      </c>
      <c r="G12" s="871"/>
    </row>
    <row r="13" spans="1:7" x14ac:dyDescent="0.2">
      <c r="A13" s="868" t="s">
        <v>108</v>
      </c>
      <c r="B13" s="869" t="s">
        <v>1990</v>
      </c>
      <c r="C13" s="870"/>
      <c r="D13" s="868" t="s">
        <v>522</v>
      </c>
      <c r="E13" s="867"/>
      <c r="F13" s="1933">
        <f>'Expenditures 15-22'!K342</f>
        <v>0</v>
      </c>
      <c r="G13" s="872"/>
    </row>
    <row r="14" spans="1:7" ht="12" customHeight="1" thickBot="1" x14ac:dyDescent="0.25">
      <c r="A14" s="1790"/>
      <c r="B14" s="1791"/>
      <c r="C14" s="1792"/>
      <c r="D14" s="1793" t="s">
        <v>522</v>
      </c>
      <c r="E14" s="1794" t="s">
        <v>1015</v>
      </c>
      <c r="F14" s="1795">
        <f>SUM(F8:F13)</f>
        <v>9799364</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104082</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7">
        <f>'Expenditures 15-22'!K102</f>
        <v>5237058</v>
      </c>
      <c r="G53" s="864"/>
    </row>
    <row r="54" spans="1:7" x14ac:dyDescent="0.2">
      <c r="A54" s="868" t="s">
        <v>479</v>
      </c>
      <c r="B54" s="868" t="s">
        <v>1552</v>
      </c>
      <c r="C54" s="888" t="s">
        <v>1039</v>
      </c>
      <c r="D54" s="884" t="s">
        <v>1157</v>
      </c>
      <c r="E54" s="867"/>
      <c r="F54" s="1937">
        <f>'Expenditures 15-22'!G114</f>
        <v>7797</v>
      </c>
      <c r="G54" s="864"/>
    </row>
    <row r="55" spans="1:7" x14ac:dyDescent="0.2">
      <c r="A55" s="868" t="s">
        <v>479</v>
      </c>
      <c r="B55" s="868" t="s">
        <v>1553</v>
      </c>
      <c r="C55" s="888" t="s">
        <v>1039</v>
      </c>
      <c r="D55" s="884" t="s">
        <v>309</v>
      </c>
      <c r="E55" s="867"/>
      <c r="F55" s="1937">
        <f>'Expenditures 15-22'!I114</f>
        <v>9300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1991</v>
      </c>
      <c r="C57" s="888">
        <f>'Expenditures 15-22'!B139</f>
        <v>4000</v>
      </c>
      <c r="D57" s="886" t="str">
        <f>'Expenditures 15-22'!A139</f>
        <v>Total Payments to Other Govt Units</v>
      </c>
      <c r="E57" s="867"/>
      <c r="F57" s="1937">
        <f>'Expenditures 15-22'!K139</f>
        <v>0</v>
      </c>
      <c r="G57" s="864"/>
    </row>
    <row r="58" spans="1:7" x14ac:dyDescent="0.2">
      <c r="A58" s="868" t="s">
        <v>480</v>
      </c>
      <c r="B58" s="868" t="s">
        <v>1992</v>
      </c>
      <c r="C58" s="885" t="s">
        <v>1039</v>
      </c>
      <c r="D58" s="884" t="s">
        <v>1157</v>
      </c>
      <c r="E58" s="867"/>
      <c r="F58" s="1939">
        <f>'Expenditures 15-22'!G151</f>
        <v>0</v>
      </c>
      <c r="G58" s="864"/>
    </row>
    <row r="59" spans="1:7" x14ac:dyDescent="0.2">
      <c r="A59" s="892" t="s">
        <v>480</v>
      </c>
      <c r="B59" s="855" t="s">
        <v>1993</v>
      </c>
      <c r="C59" s="893" t="s">
        <v>1039</v>
      </c>
      <c r="D59" s="855" t="s">
        <v>309</v>
      </c>
      <c r="F59" s="1940">
        <f>'Expenditures 15-22'!I151</f>
        <v>0</v>
      </c>
      <c r="G59" s="864"/>
    </row>
    <row r="60" spans="1:7" x14ac:dyDescent="0.2">
      <c r="A60" s="892" t="s">
        <v>520</v>
      </c>
      <c r="B60" s="855" t="s">
        <v>1994</v>
      </c>
      <c r="C60" s="893">
        <v>4000</v>
      </c>
      <c r="D60" s="855" t="s">
        <v>330</v>
      </c>
      <c r="F60" s="1938">
        <f>'Expenditures 15-22'!K160</f>
        <v>0</v>
      </c>
      <c r="G60" s="864"/>
    </row>
    <row r="61" spans="1:7" x14ac:dyDescent="0.2">
      <c r="A61" s="894" t="s">
        <v>520</v>
      </c>
      <c r="B61" s="894" t="s">
        <v>1995</v>
      </c>
      <c r="C61" s="895" t="str">
        <f>'Expenditures 15-22'!B170</f>
        <v>5300</v>
      </c>
      <c r="D61" s="896" t="s">
        <v>329</v>
      </c>
      <c r="E61" s="878"/>
      <c r="F61" s="1937">
        <f>'Expenditures 15-22'!K170</f>
        <v>0</v>
      </c>
      <c r="G61" s="864"/>
    </row>
    <row r="62" spans="1:7" x14ac:dyDescent="0.2">
      <c r="A62" s="868" t="s">
        <v>481</v>
      </c>
      <c r="B62" s="868" t="s">
        <v>1996</v>
      </c>
      <c r="C62" s="885">
        <f>'Expenditures 15-22'!B185</f>
        <v>3000</v>
      </c>
      <c r="D62" s="875" t="s">
        <v>469</v>
      </c>
      <c r="E62" s="867"/>
      <c r="F62" s="1937">
        <f>'Expenditures 15-22'!K185-SUM('Expenditures 15-22'!G185,'Expenditures 15-22'!I185)</f>
        <v>0</v>
      </c>
      <c r="G62" s="864"/>
    </row>
    <row r="63" spans="1:7" x14ac:dyDescent="0.2">
      <c r="A63" s="868" t="s">
        <v>481</v>
      </c>
      <c r="B63" s="868" t="s">
        <v>1997</v>
      </c>
      <c r="C63" s="885" t="str">
        <f>'Expenditures 15-22'!B196</f>
        <v>4000</v>
      </c>
      <c r="D63" s="886" t="str">
        <f>'Expenditures 15-22'!A196</f>
        <v>Total Payments to Other Govt Units</v>
      </c>
      <c r="E63" s="867"/>
      <c r="F63" s="1937">
        <f>'Expenditures 15-22'!K196</f>
        <v>0</v>
      </c>
      <c r="G63" s="864"/>
    </row>
    <row r="64" spans="1:7" x14ac:dyDescent="0.2">
      <c r="A64" s="894" t="s">
        <v>481</v>
      </c>
      <c r="B64" s="894" t="s">
        <v>1998</v>
      </c>
      <c r="C64" s="895" t="str">
        <f>'Expenditures 15-22'!B206</f>
        <v>5300</v>
      </c>
      <c r="D64" s="891" t="s">
        <v>329</v>
      </c>
      <c r="E64" s="867"/>
      <c r="F64" s="1937">
        <f>'Expenditures 15-22'!K206</f>
        <v>0</v>
      </c>
      <c r="G64" s="864"/>
    </row>
    <row r="65" spans="1:8" x14ac:dyDescent="0.2">
      <c r="A65" s="868" t="s">
        <v>481</v>
      </c>
      <c r="B65" s="868" t="s">
        <v>1999</v>
      </c>
      <c r="C65" s="885" t="s">
        <v>1039</v>
      </c>
      <c r="D65" s="884" t="s">
        <v>1157</v>
      </c>
      <c r="E65" s="867"/>
      <c r="F65" s="1937">
        <f>'Expenditures 15-22'!G210</f>
        <v>0</v>
      </c>
      <c r="G65" s="864"/>
    </row>
    <row r="66" spans="1:8" x14ac:dyDescent="0.2">
      <c r="A66" s="868" t="s">
        <v>481</v>
      </c>
      <c r="B66" s="868" t="s">
        <v>2000</v>
      </c>
      <c r="C66" s="885" t="s">
        <v>1039</v>
      </c>
      <c r="D66" s="884" t="s">
        <v>309</v>
      </c>
      <c r="E66" s="867"/>
      <c r="F66" s="1937">
        <f>'Expenditures 15-22'!I210</f>
        <v>0</v>
      </c>
      <c r="G66" s="864"/>
    </row>
    <row r="67" spans="1:8" x14ac:dyDescent="0.2">
      <c r="A67" s="868" t="s">
        <v>482</v>
      </c>
      <c r="B67" s="868" t="s">
        <v>2001</v>
      </c>
      <c r="C67" s="885" t="str">
        <f>'Expenditures 15-22'!B216</f>
        <v>1125</v>
      </c>
      <c r="D67" s="891" t="str">
        <f>'Expenditures 15-22'!A216</f>
        <v>Pre-K Programs</v>
      </c>
      <c r="E67" s="867"/>
      <c r="F67" s="1937">
        <f>'Expenditures 15-22'!K216</f>
        <v>0</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2002</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2003</v>
      </c>
      <c r="C70" s="885">
        <f>'Expenditures 15-22'!B221</f>
        <v>1300</v>
      </c>
      <c r="D70" s="886" t="str">
        <f>'Expenditures 15-22'!A221</f>
        <v>Adult/Continuing Education Programs</v>
      </c>
      <c r="E70" s="867"/>
      <c r="F70" s="1937">
        <f>'Expenditures 15-22'!K221</f>
        <v>0</v>
      </c>
      <c r="G70" s="864"/>
    </row>
    <row r="71" spans="1:8" x14ac:dyDescent="0.2">
      <c r="A71" s="868" t="s">
        <v>482</v>
      </c>
      <c r="B71" s="868" t="s">
        <v>2004</v>
      </c>
      <c r="C71" s="885">
        <f>'Expenditures 15-22'!B224</f>
        <v>1600</v>
      </c>
      <c r="D71" s="886" t="str">
        <f>'Expenditures 15-22'!A224</f>
        <v>Summer School Programs</v>
      </c>
      <c r="E71" s="867"/>
      <c r="F71" s="1937">
        <f>'Expenditures 15-22'!K224</f>
        <v>0</v>
      </c>
      <c r="G71" s="864"/>
    </row>
    <row r="72" spans="1:8" x14ac:dyDescent="0.2">
      <c r="A72" s="868" t="s">
        <v>482</v>
      </c>
      <c r="B72" s="868" t="s">
        <v>2005</v>
      </c>
      <c r="C72" s="885">
        <f>'Expenditures 15-22'!B280</f>
        <v>3000</v>
      </c>
      <c r="D72" s="875" t="s">
        <v>469</v>
      </c>
      <c r="E72" s="867"/>
      <c r="F72" s="1937">
        <f>'Expenditures 15-22'!K280</f>
        <v>0</v>
      </c>
      <c r="G72" s="864"/>
    </row>
    <row r="73" spans="1:8" x14ac:dyDescent="0.2">
      <c r="A73" s="868" t="s">
        <v>482</v>
      </c>
      <c r="B73" s="868" t="s">
        <v>2006</v>
      </c>
      <c r="C73" s="885" t="str">
        <f>'Expenditures 15-22'!B285</f>
        <v>4000</v>
      </c>
      <c r="D73" s="886" t="str">
        <f>'Expenditures 15-22'!A285</f>
        <v>Total Payments to Other Govt Units</v>
      </c>
      <c r="E73" s="867"/>
      <c r="F73" s="1937">
        <f>'Expenditures 15-22'!K285</f>
        <v>0</v>
      </c>
      <c r="G73" s="864"/>
    </row>
    <row r="74" spans="1:8" x14ac:dyDescent="0.2">
      <c r="A74" s="868" t="s">
        <v>456</v>
      </c>
      <c r="B74" s="868" t="s">
        <v>2007</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2008</v>
      </c>
      <c r="E76" s="1794" t="s">
        <v>1015</v>
      </c>
      <c r="F76" s="1798">
        <f>SUM(F18:F74)</f>
        <v>5358237</v>
      </c>
      <c r="G76" s="864"/>
    </row>
    <row r="77" spans="1:8" s="892" customFormat="1" ht="12" customHeight="1" thickTop="1" thickBot="1" x14ac:dyDescent="0.25">
      <c r="A77" s="1799"/>
      <c r="B77" s="1796"/>
      <c r="C77" s="1792"/>
      <c r="D77" s="1797" t="s">
        <v>2009</v>
      </c>
      <c r="E77" s="1794"/>
      <c r="F77" s="1800">
        <f>(F14-F76)</f>
        <v>4441127</v>
      </c>
      <c r="G77" s="868"/>
    </row>
    <row r="78" spans="1:8" s="892" customFormat="1" ht="12" customHeight="1" thickTop="1" x14ac:dyDescent="0.2">
      <c r="A78" s="1801"/>
      <c r="B78" s="1796"/>
      <c r="C78" s="1792"/>
      <c r="D78" s="1797" t="s">
        <v>2056</v>
      </c>
      <c r="E78" s="1794"/>
      <c r="F78" s="897">
        <v>0</v>
      </c>
      <c r="G78" s="898"/>
      <c r="H78" s="868"/>
    </row>
    <row r="79" spans="1:8" s="892" customFormat="1" ht="12" customHeight="1" thickBot="1" x14ac:dyDescent="0.25">
      <c r="A79" s="1802"/>
      <c r="B79" s="1796"/>
      <c r="C79" s="1792"/>
      <c r="D79" s="1797" t="s">
        <v>2010</v>
      </c>
      <c r="E79" s="1794" t="s">
        <v>1015</v>
      </c>
      <c r="F79" s="1803" t="str">
        <f>IF(F78&gt;0,F77/F78," Complete Line 78")</f>
        <v xml:space="preserve"> Complete Line 78</v>
      </c>
      <c r="G79" s="868"/>
    </row>
    <row r="80" spans="1:8" s="892" customFormat="1" ht="8.25" customHeight="1" thickTop="1" x14ac:dyDescent="0.2">
      <c r="A80" s="899"/>
      <c r="B80" s="868"/>
      <c r="C80" s="870"/>
      <c r="D80" s="900"/>
      <c r="E80" s="867"/>
      <c r="F80" s="901"/>
      <c r="G80" s="868"/>
    </row>
    <row r="81" spans="1:7" s="892" customFormat="1" ht="12" thickBot="1" x14ac:dyDescent="0.25">
      <c r="A81" s="2389" t="s">
        <v>1167</v>
      </c>
      <c r="B81" s="2390"/>
      <c r="C81" s="2390"/>
      <c r="D81" s="2390"/>
      <c r="E81" s="2390"/>
      <c r="F81" s="2391"/>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5131</v>
      </c>
      <c r="G94" s="911"/>
    </row>
    <row r="95" spans="1:7" x14ac:dyDescent="0.2">
      <c r="A95" s="907" t="s">
        <v>142</v>
      </c>
      <c r="B95" s="907" t="s">
        <v>177</v>
      </c>
      <c r="C95" s="909">
        <v>1700</v>
      </c>
      <c r="D95" s="917" t="str">
        <f>'Revenues 9-14'!A82</f>
        <v>Total District/School Activity Income</v>
      </c>
      <c r="E95" s="905"/>
      <c r="F95" s="1809">
        <f>SUM('Revenues 9-14'!C82,'Revenues 9-14'!D82)</f>
        <v>0</v>
      </c>
      <c r="G95" s="911"/>
    </row>
    <row r="96" spans="1:7" x14ac:dyDescent="0.2">
      <c r="A96" s="907" t="s">
        <v>479</v>
      </c>
      <c r="B96" s="907" t="s">
        <v>178</v>
      </c>
      <c r="C96" s="909">
        <f>'Revenues 9-14'!B84</f>
        <v>1811</v>
      </c>
      <c r="D96" s="910" t="str">
        <f>'Revenues 9-14'!A84</f>
        <v>Rentals - Regular Textbooks</v>
      </c>
      <c r="E96" s="905"/>
      <c r="F96" s="1809">
        <f>'Revenues 9-14'!C84</f>
        <v>0</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287864</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203796</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0</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244</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0</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10885</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20637</v>
      </c>
      <c r="G129" s="929"/>
    </row>
    <row r="130" spans="1:7" x14ac:dyDescent="0.2">
      <c r="A130" s="926" t="s">
        <v>689</v>
      </c>
      <c r="B130" s="926" t="s">
        <v>804</v>
      </c>
      <c r="C130" s="931">
        <v>4300</v>
      </c>
      <c r="D130" s="932" t="str">
        <f>'Revenues 9-14'!A211</f>
        <v>Total Title I</v>
      </c>
      <c r="E130" s="905"/>
      <c r="F130" s="1809">
        <f>SUM('Revenues 9-14'!C211,'Revenues 9-14'!D211,'Revenues 9-14'!F211,'Revenues 9-14'!G211)</f>
        <v>0</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2432910</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0</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36035</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397</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192213</v>
      </c>
      <c r="G174" s="926"/>
    </row>
    <row r="175" spans="1:7" x14ac:dyDescent="0.2">
      <c r="A175" s="1942" t="s">
        <v>5</v>
      </c>
      <c r="B175" s="1943" t="s">
        <v>2055</v>
      </c>
      <c r="C175" s="1944">
        <v>3100</v>
      </c>
      <c r="D175" s="1945" t="s">
        <v>2058</v>
      </c>
      <c r="E175" s="905"/>
      <c r="F175" s="1929"/>
      <c r="G175" s="926"/>
    </row>
    <row r="176" spans="1:7" x14ac:dyDescent="0.2">
      <c r="A176" s="1942" t="s">
        <v>685</v>
      </c>
      <c r="B176" s="1943" t="s">
        <v>2055</v>
      </c>
      <c r="C176" s="1944">
        <v>3300</v>
      </c>
      <c r="D176" s="1945" t="s">
        <v>2059</v>
      </c>
      <c r="E176" s="905"/>
      <c r="F176" s="1929"/>
      <c r="G176" s="926"/>
    </row>
    <row r="177" spans="1:7" ht="6" customHeight="1" x14ac:dyDescent="0.2">
      <c r="A177" s="926"/>
      <c r="B177" s="926"/>
      <c r="C177" s="948"/>
      <c r="D177" s="926"/>
      <c r="E177" s="905"/>
      <c r="F177" s="949"/>
      <c r="G177" s="946"/>
    </row>
    <row r="178" spans="1:7" x14ac:dyDescent="0.2">
      <c r="A178" s="1790"/>
      <c r="B178" s="1804"/>
      <c r="C178" s="1805"/>
      <c r="D178" s="1806" t="s">
        <v>2011</v>
      </c>
      <c r="E178" s="1807" t="s">
        <v>1015</v>
      </c>
      <c r="F178" s="1808">
        <f>SUM(F84:F136,F161:F176)</f>
        <v>3190112</v>
      </c>
    </row>
    <row r="179" spans="1:7" ht="12" customHeight="1" x14ac:dyDescent="0.2">
      <c r="A179" s="1790"/>
      <c r="B179" s="1804"/>
      <c r="C179" s="1805"/>
      <c r="D179" s="1806" t="s">
        <v>2012</v>
      </c>
      <c r="E179" s="1807"/>
      <c r="F179" s="1809">
        <f>'PCTC-OEPP 27-28'!F77-F178</f>
        <v>1251015</v>
      </c>
    </row>
    <row r="180" spans="1:7" ht="12" customHeight="1" x14ac:dyDescent="0.2">
      <c r="A180" s="1790"/>
      <c r="B180" s="1804"/>
      <c r="C180" s="1805"/>
      <c r="D180" s="1806" t="s">
        <v>1921</v>
      </c>
      <c r="E180" s="1807"/>
      <c r="F180" s="1809">
        <f>'Cap Outlay Deprec 26'!I18</f>
        <v>112170</v>
      </c>
    </row>
    <row r="181" spans="1:7" ht="12" customHeight="1" x14ac:dyDescent="0.2">
      <c r="A181" s="1790"/>
      <c r="B181" s="1804"/>
      <c r="C181" s="1805"/>
      <c r="D181" s="1806" t="s">
        <v>2013</v>
      </c>
      <c r="E181" s="1807"/>
      <c r="F181" s="1809">
        <f>F179+F180</f>
        <v>1363185</v>
      </c>
    </row>
    <row r="182" spans="1:7" ht="12" customHeight="1" x14ac:dyDescent="0.2">
      <c r="A182" s="1790"/>
      <c r="B182" s="1810"/>
      <c r="C182" s="1805"/>
      <c r="D182" s="1806" t="str">
        <f>D78</f>
        <v>9 Month ADA from District Average Daily Attendance/Prior General State Aid Inquiry 2017-2018</v>
      </c>
      <c r="E182" s="1807"/>
      <c r="F182" s="1811">
        <f>'PCTC-OEPP 27-28'!F78</f>
        <v>0</v>
      </c>
      <c r="G182" s="929"/>
    </row>
    <row r="183" spans="1:7" ht="12" customHeight="1" thickBot="1" x14ac:dyDescent="0.25">
      <c r="A183" s="1790"/>
      <c r="B183" s="1810"/>
      <c r="C183" s="1805"/>
      <c r="D183" s="1806" t="s">
        <v>2014</v>
      </c>
      <c r="E183" s="1807" t="s">
        <v>1626</v>
      </c>
      <c r="F183" s="1812" t="e">
        <f>F181/F182</f>
        <v>#DIV/0!</v>
      </c>
      <c r="G183" s="855">
        <v>6323</v>
      </c>
    </row>
    <row r="184" spans="1:7" ht="12" thickTop="1" x14ac:dyDescent="0.2">
      <c r="B184" s="929"/>
      <c r="C184" s="948"/>
      <c r="D184" s="929"/>
      <c r="E184" s="948"/>
      <c r="F184" s="929"/>
      <c r="G184" s="950">
        <v>6326</v>
      </c>
    </row>
    <row r="185" spans="1:7" ht="12.2" customHeight="1" x14ac:dyDescent="0.2">
      <c r="A185" s="929" t="s">
        <v>2057</v>
      </c>
      <c r="B185" s="929"/>
      <c r="C185" s="948"/>
      <c r="D185" s="929"/>
      <c r="E185" s="948"/>
      <c r="F185" s="929"/>
      <c r="G185" s="929"/>
    </row>
    <row r="186" spans="1:7" s="1946" customFormat="1" ht="12.2" customHeight="1" x14ac:dyDescent="0.2">
      <c r="A186" s="1946" t="s">
        <v>2062</v>
      </c>
      <c r="B186" s="1947"/>
      <c r="C186" s="1948"/>
      <c r="D186" s="1947"/>
      <c r="E186" s="1948"/>
      <c r="F186" s="1947"/>
      <c r="G186" s="1947"/>
    </row>
    <row r="187" spans="1:7" s="1946" customFormat="1" ht="12.2" customHeight="1" x14ac:dyDescent="0.2">
      <c r="A187" s="1949" t="s">
        <v>2063</v>
      </c>
      <c r="C187" s="1948"/>
      <c r="D187" s="1947"/>
      <c r="E187" s="1948"/>
      <c r="F187" s="1947"/>
      <c r="G187" s="1947"/>
    </row>
    <row r="188" spans="1:7" ht="12" customHeight="1" x14ac:dyDescent="0.2">
      <c r="C188" s="948"/>
      <c r="D188" s="929"/>
      <c r="E188" s="948"/>
      <c r="F188" s="929"/>
      <c r="G188" s="929"/>
    </row>
    <row r="189" spans="1:7" x14ac:dyDescent="0.2">
      <c r="A189" s="1950" t="s">
        <v>2061</v>
      </c>
      <c r="B189" s="1951" t="s">
        <v>2060</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23" sqref="A23"/>
    </sheetView>
  </sheetViews>
  <sheetFormatPr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1937</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403" t="s">
        <v>1922</v>
      </c>
      <c r="B4" s="2404"/>
      <c r="C4" s="2404"/>
      <c r="D4" s="2404"/>
      <c r="E4" s="2404"/>
      <c r="F4" s="2404"/>
      <c r="G4" s="2405"/>
    </row>
    <row r="5" spans="1:7" x14ac:dyDescent="0.25">
      <c r="A5" s="2406"/>
      <c r="B5" s="2407"/>
      <c r="C5" s="2407"/>
      <c r="D5" s="2407"/>
      <c r="E5" s="2407"/>
      <c r="F5" s="2407"/>
      <c r="G5" s="2408"/>
    </row>
    <row r="6" spans="1:7" ht="18.75" x14ac:dyDescent="0.25">
      <c r="A6" s="1554" t="s">
        <v>1923</v>
      </c>
      <c r="B6" s="1555"/>
      <c r="C6" s="1555"/>
      <c r="D6" s="1555"/>
      <c r="E6" s="1555"/>
      <c r="F6" s="1555"/>
      <c r="G6" s="1556"/>
    </row>
    <row r="7" spans="1:7" ht="30.75" customHeight="1" x14ac:dyDescent="0.25">
      <c r="A7" s="2409" t="s">
        <v>2072</v>
      </c>
      <c r="B7" s="2410"/>
      <c r="C7" s="2410"/>
      <c r="D7" s="2410"/>
      <c r="E7" s="2410"/>
      <c r="F7" s="2410"/>
      <c r="G7" s="2411"/>
    </row>
    <row r="8" spans="1:7" ht="15.75" customHeight="1" x14ac:dyDescent="0.25">
      <c r="A8" s="2412" t="s">
        <v>2021</v>
      </c>
      <c r="B8" s="2413"/>
      <c r="C8" s="2413"/>
      <c r="D8" s="2413"/>
      <c r="E8" s="2413"/>
      <c r="F8" s="2413"/>
      <c r="G8" s="2414"/>
    </row>
    <row r="9" spans="1:7" ht="35.25" customHeight="1" x14ac:dyDescent="0.25">
      <c r="A9" s="2409" t="s">
        <v>2020</v>
      </c>
      <c r="B9" s="2410"/>
      <c r="C9" s="2410"/>
      <c r="D9" s="2410"/>
      <c r="E9" s="2410"/>
      <c r="F9" s="2410"/>
      <c r="G9" s="2411"/>
    </row>
    <row r="10" spans="1:7" ht="15" customHeight="1" x14ac:dyDescent="0.25">
      <c r="A10" s="1557" t="s">
        <v>1924</v>
      </c>
      <c r="B10" s="1558"/>
      <c r="C10" s="1558"/>
      <c r="D10" s="1558"/>
      <c r="E10" s="1558"/>
      <c r="F10" s="1558"/>
      <c r="G10" s="1559"/>
    </row>
    <row r="11" spans="1:7" ht="17.25" customHeight="1" x14ac:dyDescent="0.25">
      <c r="A11" s="2409" t="s">
        <v>1938</v>
      </c>
      <c r="B11" s="2410"/>
      <c r="C11" s="2410"/>
      <c r="D11" s="2410"/>
      <c r="E11" s="2410"/>
      <c r="F11" s="2410"/>
      <c r="G11" s="2411"/>
    </row>
    <row r="12" spans="1:7" ht="15" customHeight="1" x14ac:dyDescent="0.25">
      <c r="A12" s="1557" t="s">
        <v>1929</v>
      </c>
      <c r="B12" s="1558"/>
      <c r="C12" s="1558"/>
      <c r="D12" s="1558"/>
      <c r="E12" s="1558"/>
      <c r="F12" s="1558"/>
      <c r="G12" s="1559"/>
    </row>
    <row r="13" spans="1:7" ht="32.25" customHeight="1" x14ac:dyDescent="0.25">
      <c r="A13" s="2400" t="s">
        <v>1930</v>
      </c>
      <c r="B13" s="2401"/>
      <c r="C13" s="2401"/>
      <c r="D13" s="2401"/>
      <c r="E13" s="2401"/>
      <c r="F13" s="2401"/>
      <c r="G13" s="2402"/>
    </row>
    <row r="14" spans="1:7" x14ac:dyDescent="0.25">
      <c r="A14" s="1681" t="s">
        <v>1939</v>
      </c>
      <c r="B14" s="1682"/>
      <c r="C14" s="1682"/>
      <c r="D14" s="1682"/>
      <c r="E14" s="1682"/>
      <c r="F14" s="1682"/>
      <c r="G14" s="1683"/>
    </row>
    <row r="15" spans="1:7" ht="61.5" customHeight="1" x14ac:dyDescent="0.25">
      <c r="A15" s="1566" t="s">
        <v>1931</v>
      </c>
      <c r="B15" s="1566" t="s">
        <v>1932</v>
      </c>
      <c r="C15" s="1566" t="s">
        <v>1933</v>
      </c>
      <c r="D15" s="1567" t="s">
        <v>1934</v>
      </c>
      <c r="E15" s="1567" t="s">
        <v>1925</v>
      </c>
      <c r="F15" s="1567" t="s">
        <v>1935</v>
      </c>
      <c r="G15" s="1567" t="s">
        <v>1936</v>
      </c>
    </row>
    <row r="16" spans="1:7" x14ac:dyDescent="0.25">
      <c r="A16" s="1668" t="s">
        <v>1940</v>
      </c>
      <c r="B16" s="1669" t="s">
        <v>1928</v>
      </c>
      <c r="C16" s="1670" t="s">
        <v>1926</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hidden="1" x14ac:dyDescent="0.25">
      <c r="A17" s="1675"/>
      <c r="B17" s="1866"/>
      <c r="C17" s="1676"/>
      <c r="D17" s="1865"/>
      <c r="E17" s="1560">
        <f t="shared" ref="E17:E141" si="1">IF(D17&lt;=25000,D17,IF(D17&gt;25000,25000,0))</f>
        <v>0</v>
      </c>
      <c r="F17" s="1813">
        <f t="shared" si="0"/>
        <v>0</v>
      </c>
      <c r="G17" s="1814">
        <f>IF(F17=0,0,D17-F17)</f>
        <v>0</v>
      </c>
      <c r="H17" s="1667"/>
    </row>
    <row r="18" spans="1:8" hidden="1" x14ac:dyDescent="0.25">
      <c r="A18" s="1673"/>
      <c r="B18" s="1866"/>
      <c r="C18" s="1676"/>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hidden="1" x14ac:dyDescent="0.25">
      <c r="A19" s="1673"/>
      <c r="B19" s="1867"/>
      <c r="C19" s="1676"/>
      <c r="D19" s="1865"/>
      <c r="E19" s="1560">
        <f t="shared" si="2"/>
        <v>0</v>
      </c>
      <c r="F19" s="1813">
        <f t="shared" si="3"/>
        <v>0</v>
      </c>
      <c r="G19" s="1814">
        <f t="shared" si="4"/>
        <v>0</v>
      </c>
    </row>
    <row r="20" spans="1:8" hidden="1" x14ac:dyDescent="0.25">
      <c r="A20" s="1673"/>
      <c r="B20" s="1866"/>
      <c r="C20" s="1676"/>
      <c r="D20" s="1865"/>
      <c r="E20" s="1560">
        <f t="shared" si="2"/>
        <v>0</v>
      </c>
      <c r="F20" s="1813">
        <f t="shared" si="3"/>
        <v>0</v>
      </c>
      <c r="G20" s="1814">
        <f t="shared" si="4"/>
        <v>0</v>
      </c>
    </row>
    <row r="21" spans="1:8" hidden="1" x14ac:dyDescent="0.25">
      <c r="A21" s="1673"/>
      <c r="B21" s="1866"/>
      <c r="C21" s="1676"/>
      <c r="D21" s="1865"/>
      <c r="E21" s="1560">
        <f t="shared" si="2"/>
        <v>0</v>
      </c>
      <c r="F21" s="1813">
        <f t="shared" si="3"/>
        <v>0</v>
      </c>
      <c r="G21" s="1814">
        <f t="shared" si="4"/>
        <v>0</v>
      </c>
    </row>
    <row r="22" spans="1:8" hidden="1" x14ac:dyDescent="0.25">
      <c r="A22" s="1673"/>
      <c r="B22" s="1866"/>
      <c r="C22" s="1676"/>
      <c r="D22" s="1865"/>
      <c r="E22" s="1560">
        <f t="shared" si="2"/>
        <v>0</v>
      </c>
      <c r="F22" s="1813">
        <f t="shared" si="3"/>
        <v>0</v>
      </c>
      <c r="G22" s="1814">
        <f t="shared" si="4"/>
        <v>0</v>
      </c>
    </row>
    <row r="23" spans="1:8" x14ac:dyDescent="0.25">
      <c r="A23" s="1955" t="s">
        <v>2092</v>
      </c>
      <c r="B23" s="1954" t="s">
        <v>2091</v>
      </c>
      <c r="C23" s="1956" t="s">
        <v>2093</v>
      </c>
      <c r="D23" s="1865">
        <v>10092</v>
      </c>
      <c r="E23" s="1560">
        <f t="shared" si="2"/>
        <v>10092</v>
      </c>
      <c r="F23" s="1813">
        <f t="shared" si="3"/>
        <v>0</v>
      </c>
      <c r="G23" s="1814">
        <f t="shared" si="4"/>
        <v>0</v>
      </c>
    </row>
    <row r="24" spans="1:8" x14ac:dyDescent="0.25">
      <c r="A24" s="1955" t="s">
        <v>2092</v>
      </c>
      <c r="B24" s="1954" t="s">
        <v>2091</v>
      </c>
      <c r="C24" s="1956" t="s">
        <v>2094</v>
      </c>
      <c r="D24" s="1865">
        <v>1839</v>
      </c>
      <c r="E24" s="1560">
        <f t="shared" si="2"/>
        <v>1839</v>
      </c>
      <c r="F24" s="1813">
        <f t="shared" si="3"/>
        <v>0</v>
      </c>
      <c r="G24" s="1814">
        <f t="shared" si="4"/>
        <v>0</v>
      </c>
    </row>
    <row r="25" spans="1:8" x14ac:dyDescent="0.25">
      <c r="A25" s="1673"/>
      <c r="B25" s="1866"/>
      <c r="C25" s="1676"/>
      <c r="D25" s="1865"/>
      <c r="E25" s="1560">
        <f t="shared" si="2"/>
        <v>0</v>
      </c>
      <c r="F25" s="1813">
        <f t="shared" si="3"/>
        <v>0</v>
      </c>
      <c r="G25" s="1814">
        <f t="shared" si="4"/>
        <v>0</v>
      </c>
    </row>
    <row r="26" spans="1:8" hidden="1" x14ac:dyDescent="0.25">
      <c r="A26" s="1673"/>
      <c r="B26" s="1867"/>
      <c r="C26" s="1674"/>
      <c r="D26" s="1865"/>
      <c r="E26" s="1560">
        <f t="shared" si="2"/>
        <v>0</v>
      </c>
      <c r="F26" s="1813">
        <f t="shared" si="3"/>
        <v>0</v>
      </c>
      <c r="G26" s="1814">
        <f t="shared" si="4"/>
        <v>0</v>
      </c>
    </row>
    <row r="27" spans="1:8" hidden="1" x14ac:dyDescent="0.25">
      <c r="A27" s="1673"/>
      <c r="B27" s="1867"/>
      <c r="C27" s="1674"/>
      <c r="D27" s="1865"/>
      <c r="E27" s="1560">
        <f t="shared" si="2"/>
        <v>0</v>
      </c>
      <c r="F27" s="1813">
        <f t="shared" si="3"/>
        <v>0</v>
      </c>
      <c r="G27" s="1814">
        <f t="shared" si="4"/>
        <v>0</v>
      </c>
    </row>
    <row r="28" spans="1:8" hidden="1" x14ac:dyDescent="0.25">
      <c r="A28" s="1673"/>
      <c r="B28" s="1867"/>
      <c r="C28" s="1674"/>
      <c r="D28" s="1865"/>
      <c r="E28" s="1560">
        <f t="shared" si="2"/>
        <v>0</v>
      </c>
      <c r="F28" s="1813">
        <f t="shared" si="3"/>
        <v>0</v>
      </c>
      <c r="G28" s="1814">
        <f t="shared" si="4"/>
        <v>0</v>
      </c>
    </row>
    <row r="29" spans="1:8" hidden="1" x14ac:dyDescent="0.25">
      <c r="A29" s="1673"/>
      <c r="B29" s="1867"/>
      <c r="C29" s="1674"/>
      <c r="D29" s="1865"/>
      <c r="E29" s="1560">
        <f t="shared" si="2"/>
        <v>0</v>
      </c>
      <c r="F29" s="1813">
        <f t="shared" si="3"/>
        <v>0</v>
      </c>
      <c r="G29" s="1814">
        <f t="shared" si="4"/>
        <v>0</v>
      </c>
    </row>
    <row r="30" spans="1:8" hidden="1" x14ac:dyDescent="0.25">
      <c r="A30" s="1673"/>
      <c r="B30" s="1867"/>
      <c r="C30" s="1674"/>
      <c r="D30" s="1865"/>
      <c r="E30" s="1560">
        <f t="shared" si="2"/>
        <v>0</v>
      </c>
      <c r="F30" s="1813">
        <f t="shared" si="3"/>
        <v>0</v>
      </c>
      <c r="G30" s="1814">
        <f t="shared" si="4"/>
        <v>0</v>
      </c>
    </row>
    <row r="31" spans="1:8" hidden="1" x14ac:dyDescent="0.25">
      <c r="A31" s="1673"/>
      <c r="B31" s="1867"/>
      <c r="C31" s="1674"/>
      <c r="D31" s="1865"/>
      <c r="E31" s="1560">
        <f t="shared" si="2"/>
        <v>0</v>
      </c>
      <c r="F31" s="1813">
        <f t="shared" si="3"/>
        <v>0</v>
      </c>
      <c r="G31" s="1814">
        <f t="shared" si="4"/>
        <v>0</v>
      </c>
    </row>
    <row r="32" spans="1:8" hidden="1" x14ac:dyDescent="0.25">
      <c r="A32" s="1673"/>
      <c r="B32" s="1867"/>
      <c r="C32" s="1674"/>
      <c r="D32" s="1865"/>
      <c r="E32" s="1560">
        <f t="shared" si="2"/>
        <v>0</v>
      </c>
      <c r="F32" s="1813">
        <f t="shared" si="3"/>
        <v>0</v>
      </c>
      <c r="G32" s="1814">
        <f t="shared" si="4"/>
        <v>0</v>
      </c>
    </row>
    <row r="33" spans="1:7" hidden="1" x14ac:dyDescent="0.25">
      <c r="A33" s="1673"/>
      <c r="B33" s="1867"/>
      <c r="C33" s="1674"/>
      <c r="D33" s="1865"/>
      <c r="E33" s="1560">
        <f t="shared" si="2"/>
        <v>0</v>
      </c>
      <c r="F33" s="1813">
        <f t="shared" si="3"/>
        <v>0</v>
      </c>
      <c r="G33" s="1814">
        <f t="shared" si="4"/>
        <v>0</v>
      </c>
    </row>
    <row r="34" spans="1:7" hidden="1" x14ac:dyDescent="0.25">
      <c r="A34" s="1673"/>
      <c r="B34" s="1867"/>
      <c r="C34" s="1674"/>
      <c r="D34" s="1865"/>
      <c r="E34" s="1560">
        <f t="shared" si="2"/>
        <v>0</v>
      </c>
      <c r="F34" s="1813">
        <f t="shared" si="3"/>
        <v>0</v>
      </c>
      <c r="G34" s="1814">
        <f t="shared" si="4"/>
        <v>0</v>
      </c>
    </row>
    <row r="35" spans="1:7" hidden="1" x14ac:dyDescent="0.25">
      <c r="A35" s="1673"/>
      <c r="B35" s="1867"/>
      <c r="C35" s="1674"/>
      <c r="D35" s="1865"/>
      <c r="E35" s="1560">
        <f t="shared" si="2"/>
        <v>0</v>
      </c>
      <c r="F35" s="1813">
        <f t="shared" si="3"/>
        <v>0</v>
      </c>
      <c r="G35" s="1814">
        <f t="shared" si="4"/>
        <v>0</v>
      </c>
    </row>
    <row r="36" spans="1:7" hidden="1" x14ac:dyDescent="0.25">
      <c r="A36" s="1673"/>
      <c r="B36" s="1867"/>
      <c r="C36" s="1674"/>
      <c r="D36" s="1865"/>
      <c r="E36" s="1560">
        <f t="shared" si="2"/>
        <v>0</v>
      </c>
      <c r="F36" s="1813">
        <f t="shared" si="3"/>
        <v>0</v>
      </c>
      <c r="G36" s="1814">
        <f t="shared" si="4"/>
        <v>0</v>
      </c>
    </row>
    <row r="37" spans="1:7" hidden="1" x14ac:dyDescent="0.25">
      <c r="A37" s="1673"/>
      <c r="B37" s="1867"/>
      <c r="C37" s="1674"/>
      <c r="D37" s="1865"/>
      <c r="E37" s="1560">
        <f t="shared" si="2"/>
        <v>0</v>
      </c>
      <c r="F37" s="1813">
        <f t="shared" si="3"/>
        <v>0</v>
      </c>
      <c r="G37" s="1814">
        <f t="shared" si="4"/>
        <v>0</v>
      </c>
    </row>
    <row r="38" spans="1:7" hidden="1"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x14ac:dyDescent="0.25">
      <c r="A124" s="1673"/>
      <c r="B124" s="1687"/>
      <c r="C124" s="1674"/>
      <c r="D124" s="1865"/>
      <c r="E124" s="1560">
        <f t="shared" si="20"/>
        <v>0</v>
      </c>
      <c r="F124" s="1813">
        <f t="shared" si="21"/>
        <v>0</v>
      </c>
      <c r="G124" s="1814">
        <f t="shared" si="22"/>
        <v>0</v>
      </c>
    </row>
    <row r="125" spans="1:7" x14ac:dyDescent="0.25">
      <c r="A125" s="1673"/>
      <c r="B125" s="1687"/>
      <c r="C125" s="1674"/>
      <c r="D125" s="1865"/>
      <c r="E125" s="1560">
        <f t="shared" si="20"/>
        <v>0</v>
      </c>
      <c r="F125" s="1813">
        <f t="shared" si="21"/>
        <v>0</v>
      </c>
      <c r="G125" s="1814">
        <f t="shared" si="22"/>
        <v>0</v>
      </c>
    </row>
    <row r="126" spans="1:7"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x14ac:dyDescent="0.25">
      <c r="A127" s="1673"/>
      <c r="B127" s="1687"/>
      <c r="C127" s="1674"/>
      <c r="D127" s="1865"/>
      <c r="E127" s="1560">
        <f t="shared" si="23"/>
        <v>0</v>
      </c>
      <c r="F127" s="1813">
        <f t="shared" si="24"/>
        <v>0</v>
      </c>
      <c r="G127" s="1814">
        <f t="shared" si="25"/>
        <v>0</v>
      </c>
    </row>
    <row r="128" spans="1:7" x14ac:dyDescent="0.25">
      <c r="A128" s="1673"/>
      <c r="B128" s="1687"/>
      <c r="C128" s="1674"/>
      <c r="D128" s="1865"/>
      <c r="E128" s="1560">
        <f t="shared" si="23"/>
        <v>0</v>
      </c>
      <c r="F128" s="1813">
        <f t="shared" si="24"/>
        <v>0</v>
      </c>
      <c r="G128" s="1814">
        <f t="shared" si="25"/>
        <v>0</v>
      </c>
    </row>
    <row r="129" spans="1:7" x14ac:dyDescent="0.25">
      <c r="A129" s="1673"/>
      <c r="B129" s="1687"/>
      <c r="C129" s="1674"/>
      <c r="D129" s="1865"/>
      <c r="E129" s="1560">
        <f t="shared" si="23"/>
        <v>0</v>
      </c>
      <c r="F129" s="1813">
        <f t="shared" si="24"/>
        <v>0</v>
      </c>
      <c r="G129" s="1814">
        <f t="shared" si="25"/>
        <v>0</v>
      </c>
    </row>
    <row r="130" spans="1:7" x14ac:dyDescent="0.25">
      <c r="A130" s="1673"/>
      <c r="B130" s="1687"/>
      <c r="C130" s="1674"/>
      <c r="D130" s="1865"/>
      <c r="E130" s="1560">
        <f t="shared" si="23"/>
        <v>0</v>
      </c>
      <c r="F130" s="1813">
        <f t="shared" si="24"/>
        <v>0</v>
      </c>
      <c r="G130" s="1814">
        <f t="shared" si="25"/>
        <v>0</v>
      </c>
    </row>
    <row r="131" spans="1:7" x14ac:dyDescent="0.25">
      <c r="A131" s="1673"/>
      <c r="B131" s="1858"/>
      <c r="C131" s="1674"/>
      <c r="D131" s="1865"/>
      <c r="E131" s="1560">
        <f t="shared" si="23"/>
        <v>0</v>
      </c>
      <c r="F131" s="1813">
        <f t="shared" si="24"/>
        <v>0</v>
      </c>
      <c r="G131" s="1814">
        <f t="shared" si="25"/>
        <v>0</v>
      </c>
    </row>
    <row r="132" spans="1:7" x14ac:dyDescent="0.25">
      <c r="A132" s="1673"/>
      <c r="B132" s="1858"/>
      <c r="C132" s="1674"/>
      <c r="D132" s="1865"/>
      <c r="E132" s="1560">
        <f t="shared" si="23"/>
        <v>0</v>
      </c>
      <c r="F132" s="1813">
        <f t="shared" si="24"/>
        <v>0</v>
      </c>
      <c r="G132" s="1814">
        <f t="shared" si="25"/>
        <v>0</v>
      </c>
    </row>
    <row r="133" spans="1:7" x14ac:dyDescent="0.25">
      <c r="A133" s="1673"/>
      <c r="B133" s="1687"/>
      <c r="C133" s="1674"/>
      <c r="D133" s="1865"/>
      <c r="E133" s="1560">
        <f t="shared" si="23"/>
        <v>0</v>
      </c>
      <c r="F133" s="1813">
        <f t="shared" si="24"/>
        <v>0</v>
      </c>
      <c r="G133" s="1814">
        <f t="shared" si="25"/>
        <v>0</v>
      </c>
    </row>
    <row r="134" spans="1:7" x14ac:dyDescent="0.25">
      <c r="A134" s="1673"/>
      <c r="B134" s="1687"/>
      <c r="C134" s="1674"/>
      <c r="D134" s="1865"/>
      <c r="E134" s="1560">
        <f t="shared" si="23"/>
        <v>0</v>
      </c>
      <c r="F134" s="1813">
        <f t="shared" si="24"/>
        <v>0</v>
      </c>
      <c r="G134" s="1814">
        <f t="shared" si="25"/>
        <v>0</v>
      </c>
    </row>
    <row r="135" spans="1:7"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x14ac:dyDescent="0.25">
      <c r="A136" s="1673"/>
      <c r="B136" s="1687"/>
      <c r="C136" s="1674"/>
      <c r="D136" s="1865"/>
      <c r="E136" s="1560">
        <f t="shared" si="26"/>
        <v>0</v>
      </c>
      <c r="F136" s="1813">
        <f t="shared" si="27"/>
        <v>0</v>
      </c>
      <c r="G136" s="1814">
        <f t="shared" si="28"/>
        <v>0</v>
      </c>
    </row>
    <row r="137" spans="1:7" x14ac:dyDescent="0.25">
      <c r="A137" s="1673"/>
      <c r="B137" s="1687"/>
      <c r="C137" s="1674"/>
      <c r="D137" s="1865"/>
      <c r="E137" s="1560">
        <f t="shared" si="26"/>
        <v>0</v>
      </c>
      <c r="F137" s="1813">
        <f t="shared" si="27"/>
        <v>0</v>
      </c>
      <c r="G137" s="1814">
        <f t="shared" si="28"/>
        <v>0</v>
      </c>
    </row>
    <row r="138" spans="1:7" x14ac:dyDescent="0.25">
      <c r="A138" s="1673"/>
      <c r="B138" s="1687"/>
      <c r="C138" s="1674"/>
      <c r="D138" s="1865"/>
      <c r="E138" s="1560">
        <f t="shared" si="26"/>
        <v>0</v>
      </c>
      <c r="F138" s="1813">
        <f t="shared" si="27"/>
        <v>0</v>
      </c>
      <c r="G138" s="1814">
        <f t="shared" si="28"/>
        <v>0</v>
      </c>
    </row>
    <row r="139" spans="1:7" x14ac:dyDescent="0.25">
      <c r="A139" s="1673"/>
      <c r="B139" s="1687"/>
      <c r="C139" s="1674"/>
      <c r="D139" s="1865"/>
      <c r="E139" s="1560">
        <f t="shared" si="26"/>
        <v>0</v>
      </c>
      <c r="F139" s="1813">
        <f t="shared" si="27"/>
        <v>0</v>
      </c>
      <c r="G139" s="1814">
        <f t="shared" si="28"/>
        <v>0</v>
      </c>
    </row>
    <row r="140" spans="1:7"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11931</v>
      </c>
      <c r="E141" s="1561">
        <f t="shared" si="1"/>
        <v>11931</v>
      </c>
      <c r="F141" s="1815">
        <f>SUM(F17:F140)</f>
        <v>0</v>
      </c>
      <c r="G141" s="1816">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415" t="s">
        <v>1778</v>
      </c>
      <c r="B5" s="2416"/>
      <c r="C5" s="2416"/>
      <c r="D5" s="2416"/>
      <c r="E5" s="2416"/>
      <c r="F5" s="2416"/>
      <c r="G5" s="2417"/>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2073</v>
      </c>
      <c r="B10" s="970"/>
      <c r="C10" s="975"/>
      <c r="D10" s="971"/>
      <c r="E10" s="972">
        <v>25340</v>
      </c>
      <c r="F10" s="973"/>
      <c r="G10" s="974"/>
      <c r="H10" s="162"/>
      <c r="I10" s="162"/>
    </row>
    <row r="11" spans="1:9" s="667" customFormat="1" ht="22.5" customHeight="1" x14ac:dyDescent="0.2">
      <c r="A11" s="2420" t="s">
        <v>1942</v>
      </c>
      <c r="B11" s="2421"/>
      <c r="C11" s="2421"/>
      <c r="D11" s="2422"/>
      <c r="E11" s="976">
        <v>2335</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1411038</v>
      </c>
      <c r="F19" s="1820"/>
      <c r="G19" s="1822">
        <f>'Expenditures 15-22'!K33-SUM('Expenditures 15-22'!G33,'Expenditures 15-22'!I33)+'Expenditures 15-22'!D229</f>
        <v>1411038</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1875811</v>
      </c>
      <c r="F21" s="1823"/>
      <c r="G21" s="1826">
        <f>'Expenditures 15-22'!K42-SUM('Expenditures 15-22'!G42,'Expenditures 15-22'!I42)+'Expenditures 15-22'!K120-SUM('Expenditures 15-22'!G120,'Expenditures 15-22'!I120)+'Expenditures 15-22'!K180-SUM('Expenditures 15-22'!G180,'Expenditures 15-22'!I180)+'Expenditures 15-22'!D238</f>
        <v>1875811</v>
      </c>
      <c r="H21" s="986"/>
      <c r="I21" s="162"/>
    </row>
    <row r="22" spans="1:9" s="667" customFormat="1" ht="12" customHeight="1" x14ac:dyDescent="0.2">
      <c r="A22" s="993" t="s">
        <v>585</v>
      </c>
      <c r="B22" s="994"/>
      <c r="C22" s="992">
        <v>2200</v>
      </c>
      <c r="D22" s="1823"/>
      <c r="E22" s="1825">
        <f>'Expenditures 15-22'!K47-SUM('Expenditures 15-22'!G47,'Expenditures 15-22'!I47)+'Expenditures 15-22'!D243</f>
        <v>302488</v>
      </c>
      <c r="F22" s="1823"/>
      <c r="G22" s="1826">
        <f>'Expenditures 15-22'!K47-SUM('Expenditures 15-22'!G47,'Expenditures 15-22'!I47)+'Expenditures 15-22'!D243</f>
        <v>302488</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551209</v>
      </c>
      <c r="F23" s="1823"/>
      <c r="G23" s="1825">
        <f>'Expenditures 15-22'!K53-SUM('Expenditures 15-22'!G53,'Expenditures 15-22'!I53)+'Expenditures 15-22'!D257+'Expenditures 15-22'!K330-SUM('Expenditures 15-22'!G330,'Expenditures 15-22'!I330)</f>
        <v>551209</v>
      </c>
      <c r="H23" s="986"/>
      <c r="I23" s="162"/>
    </row>
    <row r="24" spans="1:9" s="667" customFormat="1" ht="12" customHeight="1" x14ac:dyDescent="0.2">
      <c r="A24" s="993" t="s">
        <v>587</v>
      </c>
      <c r="B24" s="994"/>
      <c r="C24" s="992">
        <v>2400</v>
      </c>
      <c r="D24" s="1823"/>
      <c r="E24" s="1825">
        <f>'Expenditures 15-22'!K57-SUM('Expenditures 15-22'!G57,'Expenditures 15-22'!I57)+'Expenditures 15-22'!D261</f>
        <v>0</v>
      </c>
      <c r="F24" s="1823"/>
      <c r="G24" s="1826">
        <f>'Expenditures 15-22'!K57-SUM('Expenditures 15-22'!G57,'Expenditures 15-22'!I57)+'Expenditures 15-22'!D261</f>
        <v>0</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80819</v>
      </c>
      <c r="E27" s="1825">
        <f>E8</f>
        <v>0</v>
      </c>
      <c r="F27" s="1825">
        <f>'Expenditures 15-22'!K60-SUM('Expenditures 15-22'!G60,'Expenditures 15-22'!I60)+'Expenditures 15-22'!D264-E8</f>
        <v>80819</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254035</v>
      </c>
      <c r="F28" s="1827">
        <f>'Expenditures 15-22'!K61-SUM('Expenditures 15-22'!G61,'Expenditures 15-22'!I61)+'Expenditures 15-22'!K124-SUM('Expenditures 15-22'!G124,'Expenditures 15-22'!I124)+'Expenditures 15-22'!D266-E9</f>
        <v>254035</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11204</v>
      </c>
      <c r="F29" s="1823"/>
      <c r="G29" s="1826">
        <f>'Expenditures 15-22'!K62-SUM('Expenditures 15-22'!G62,'Expenditures 15-22'!I62)+'Expenditures 15-22'!K125-SUM('Expenditures 15-22'!G125,'Expenditures 15-22'!I125)+'Expenditures 15-22'!K182-SUM('Expenditures 15-22'!G182,'Expenditures 15-22'!I182)+'Expenditures 15-22'!D267</f>
        <v>11204</v>
      </c>
      <c r="H29" s="984"/>
    </row>
    <row r="30" spans="1:9" ht="12" customHeight="1" x14ac:dyDescent="0.2">
      <c r="A30" s="993" t="s">
        <v>102</v>
      </c>
      <c r="B30" s="996"/>
      <c r="C30" s="992">
        <v>2560</v>
      </c>
      <c r="D30" s="1823"/>
      <c r="E30" s="1825">
        <f>'Expenditures 15-22'!K63-SUM('Expenditures 15-22'!G63,'Expenditures 15-22'!I63)+'Expenditures 15-22'!D268-E10</f>
        <v>33265</v>
      </c>
      <c r="F30" s="1823"/>
      <c r="G30" s="1825">
        <f>'Expenditures 15-22'!K63-SUM('Expenditures 15-22'!G63,'Expenditures 15-22'!I63)+'Expenditures 15-22'!D268-E10</f>
        <v>33265</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1927</v>
      </c>
      <c r="B40" s="990"/>
      <c r="C40" s="992"/>
      <c r="D40" s="1823"/>
      <c r="E40" s="1827">
        <f>-'Contracts Paid in CY 29'!G141</f>
        <v>0</v>
      </c>
      <c r="F40" s="1823"/>
      <c r="G40" s="1827">
        <f>-'Contracts Paid in CY 29'!G141</f>
        <v>0</v>
      </c>
    </row>
    <row r="41" spans="1:7" ht="12" customHeight="1" x14ac:dyDescent="0.2">
      <c r="A41" s="997" t="s">
        <v>158</v>
      </c>
      <c r="B41" s="998"/>
      <c r="C41" s="999"/>
      <c r="D41" s="1827">
        <f>SUM(D19:D39)</f>
        <v>80819</v>
      </c>
      <c r="E41" s="1827">
        <f>SUM(E19:E40)</f>
        <v>4439050</v>
      </c>
      <c r="F41" s="1827">
        <f>SUM(F19:F39)</f>
        <v>334854</v>
      </c>
      <c r="G41" s="1827">
        <f>SUM(G19:G40)</f>
        <v>4185015</v>
      </c>
    </row>
    <row r="42" spans="1:7" x14ac:dyDescent="0.2">
      <c r="A42" s="986"/>
      <c r="B42" s="162"/>
      <c r="C42" s="1000"/>
      <c r="D42" s="2418" t="s">
        <v>543</v>
      </c>
      <c r="E42" s="2419"/>
      <c r="F42" s="1001" t="s">
        <v>544</v>
      </c>
      <c r="G42" s="1002"/>
    </row>
    <row r="43" spans="1:7" ht="12" customHeight="1" x14ac:dyDescent="0.2">
      <c r="A43" s="986"/>
      <c r="B43" s="162"/>
      <c r="C43" s="1000"/>
      <c r="D43" s="1828" t="s">
        <v>493</v>
      </c>
      <c r="E43" s="1829">
        <f>D41</f>
        <v>80819</v>
      </c>
      <c r="F43" s="1828" t="s">
        <v>495</v>
      </c>
      <c r="G43" s="1829">
        <f>F41</f>
        <v>334854</v>
      </c>
    </row>
    <row r="44" spans="1:7" ht="12" customHeight="1" x14ac:dyDescent="0.2">
      <c r="A44" s="986"/>
      <c r="B44" s="162"/>
      <c r="C44" s="1000"/>
      <c r="D44" s="1828" t="s">
        <v>494</v>
      </c>
      <c r="E44" s="1829">
        <f>E41</f>
        <v>4439050</v>
      </c>
      <c r="F44" s="1828" t="s">
        <v>494</v>
      </c>
      <c r="G44" s="1829">
        <f>G41</f>
        <v>4185015</v>
      </c>
    </row>
    <row r="45" spans="1:7" ht="12" customHeight="1" x14ac:dyDescent="0.2">
      <c r="A45" s="986"/>
      <c r="B45" s="162"/>
      <c r="C45" s="162"/>
      <c r="D45" s="1830" t="s">
        <v>1063</v>
      </c>
      <c r="E45" s="1831">
        <f>(E43/E44)</f>
        <v>1.82063729852108E-2</v>
      </c>
      <c r="F45" s="1830" t="s">
        <v>1063</v>
      </c>
      <c r="G45" s="1831">
        <f>(G43/G44)</f>
        <v>8.0012616442234979E-2</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437" t="s">
        <v>1446</v>
      </c>
      <c r="B1" s="2437"/>
      <c r="C1" s="2437"/>
      <c r="D1" s="2437"/>
      <c r="E1" s="2437"/>
      <c r="F1" s="2437"/>
    </row>
    <row r="2" spans="1:10" x14ac:dyDescent="0.2">
      <c r="A2" s="1910" t="s">
        <v>2045</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438" t="s">
        <v>1627</v>
      </c>
      <c r="B5" s="2439"/>
      <c r="C5" s="2440"/>
      <c r="D5" s="2440"/>
      <c r="E5" s="2440"/>
      <c r="F5" s="2440"/>
    </row>
    <row r="6" spans="1:10" ht="12" customHeight="1" x14ac:dyDescent="0.25">
      <c r="A6" s="1873"/>
      <c r="B6" s="1874"/>
      <c r="C6" s="2441" t="str">
        <f>COVER!A17</f>
        <v>Tazewell-Mason Co Sp Ed Assoc</v>
      </c>
      <c r="D6" s="2441"/>
      <c r="E6" s="2441"/>
      <c r="F6" s="1875"/>
    </row>
    <row r="7" spans="1:10" ht="11.25" customHeight="1" thickBot="1" x14ac:dyDescent="0.3">
      <c r="A7" s="1873"/>
      <c r="B7" s="1874"/>
      <c r="C7" s="2442">
        <f>COVER!A13</f>
        <v>53090309061</v>
      </c>
      <c r="D7" s="2442"/>
      <c r="E7" s="2442"/>
      <c r="F7" s="1875"/>
    </row>
    <row r="8" spans="1:10" ht="25.5" customHeight="1" thickBot="1" x14ac:dyDescent="0.25">
      <c r="A8" s="1916" t="s">
        <v>2022</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c r="D26" s="1888"/>
      <c r="E26" s="1891"/>
      <c r="F26" s="1890"/>
      <c r="H26" s="1901">
        <f t="shared" si="0"/>
        <v>0</v>
      </c>
      <c r="I26" s="1901">
        <f t="shared" si="1"/>
        <v>0</v>
      </c>
      <c r="J26" s="1901">
        <f t="shared" si="2"/>
        <v>0</v>
      </c>
    </row>
    <row r="27" spans="1:12" ht="18.75" x14ac:dyDescent="0.2">
      <c r="A27" s="1886" t="s">
        <v>1616</v>
      </c>
      <c r="B27" s="1887"/>
      <c r="C27" s="1888" t="s">
        <v>2074</v>
      </c>
      <c r="D27" s="1888" t="s">
        <v>2074</v>
      </c>
      <c r="E27" s="1891"/>
      <c r="F27" s="1890" t="s">
        <v>2095</v>
      </c>
      <c r="H27" s="1901">
        <f t="shared" si="0"/>
        <v>5</v>
      </c>
      <c r="I27" s="1901">
        <f t="shared" si="1"/>
        <v>5</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5</v>
      </c>
      <c r="I34" s="1901">
        <f>SUM(I11:I32)</f>
        <v>5</v>
      </c>
      <c r="J34" s="1901">
        <f>SUM(J11:J32)</f>
        <v>0</v>
      </c>
      <c r="K34" s="1901">
        <f>SUM(H34:J34)</f>
        <v>10</v>
      </c>
    </row>
    <row r="35" spans="1:11" ht="12" customHeight="1" x14ac:dyDescent="0.2">
      <c r="A35" s="1894" t="s">
        <v>1459</v>
      </c>
      <c r="B35" s="1895"/>
      <c r="C35" s="2443"/>
      <c r="D35" s="2443"/>
      <c r="E35" s="2443"/>
      <c r="F35" s="2444"/>
    </row>
    <row r="36" spans="1:11" ht="12" customHeight="1" x14ac:dyDescent="0.2">
      <c r="A36" s="2426"/>
      <c r="B36" s="2427"/>
      <c r="C36" s="2427"/>
      <c r="D36" s="2427"/>
      <c r="E36" s="2427"/>
      <c r="F36" s="2428"/>
    </row>
    <row r="37" spans="1:11" ht="12" customHeight="1" x14ac:dyDescent="0.2">
      <c r="A37" s="2426"/>
      <c r="B37" s="2427"/>
      <c r="C37" s="2427"/>
      <c r="D37" s="2427"/>
      <c r="E37" s="2427"/>
      <c r="F37" s="2428"/>
    </row>
    <row r="38" spans="1:11" ht="12" customHeight="1" x14ac:dyDescent="0.2">
      <c r="A38" s="2429"/>
      <c r="B38" s="2430"/>
      <c r="C38" s="2430"/>
      <c r="D38" s="2430"/>
      <c r="E38" s="2430"/>
      <c r="F38" s="2431"/>
    </row>
    <row r="39" spans="1:11" ht="4.5" hidden="1" customHeight="1" x14ac:dyDescent="0.2">
      <c r="A39" s="1896"/>
      <c r="B39" s="1896"/>
      <c r="C39" s="1896"/>
      <c r="D39" s="1896"/>
      <c r="E39" s="1896"/>
      <c r="F39" s="1896"/>
    </row>
    <row r="40" spans="1:11" s="1893" customFormat="1" ht="12" customHeight="1" x14ac:dyDescent="0.25">
      <c r="A40" s="1897" t="s">
        <v>1458</v>
      </c>
      <c r="B40" s="1898"/>
      <c r="C40" s="2432"/>
      <c r="D40" s="2432"/>
      <c r="E40" s="2432"/>
      <c r="F40" s="2433"/>
      <c r="H40" s="1902"/>
      <c r="I40" s="1902"/>
      <c r="J40" s="1902"/>
      <c r="K40" s="1902"/>
    </row>
    <row r="41" spans="1:11" s="1893" customFormat="1" ht="12" customHeight="1" x14ac:dyDescent="0.25">
      <c r="A41" s="2434" t="s">
        <v>2096</v>
      </c>
      <c r="B41" s="2435"/>
      <c r="C41" s="2435"/>
      <c r="D41" s="2435"/>
      <c r="E41" s="2435"/>
      <c r="F41" s="2436"/>
      <c r="H41" s="1902"/>
      <c r="I41" s="1902"/>
      <c r="J41" s="1902"/>
      <c r="K41" s="1902"/>
    </row>
    <row r="42" spans="1:11" s="1893" customFormat="1" ht="12" customHeight="1" x14ac:dyDescent="0.25">
      <c r="A42" s="2434" t="s">
        <v>2097</v>
      </c>
      <c r="B42" s="2435"/>
      <c r="C42" s="2435"/>
      <c r="D42" s="2435"/>
      <c r="E42" s="2435"/>
      <c r="F42" s="2436"/>
      <c r="H42" s="1902"/>
      <c r="I42" s="1902"/>
      <c r="J42" s="1902"/>
      <c r="K42" s="1902"/>
    </row>
    <row r="43" spans="1:11" s="1893" customFormat="1" ht="15" x14ac:dyDescent="0.25">
      <c r="A43" s="2423" t="s">
        <v>2098</v>
      </c>
      <c r="B43" s="2424"/>
      <c r="C43" s="2424"/>
      <c r="D43" s="2424"/>
      <c r="E43" s="2424"/>
      <c r="F43" s="2425"/>
      <c r="H43" s="1902"/>
      <c r="I43" s="1902"/>
      <c r="J43" s="1902"/>
      <c r="K43" s="1902"/>
    </row>
    <row r="44" spans="1:11" s="1893" customFormat="1" ht="12" hidden="1" customHeight="1" x14ac:dyDescent="0.25">
      <c r="A44" s="2423"/>
      <c r="B44" s="2424"/>
      <c r="C44" s="2424"/>
      <c r="D44" s="2424"/>
      <c r="E44" s="2424"/>
      <c r="F44" s="2425"/>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450" t="str">
        <f>COVER!A17</f>
        <v>Tazewell-Mason Co Sp Ed Assoc</v>
      </c>
      <c r="J6" s="2451"/>
      <c r="Q6" s="1684"/>
    </row>
    <row r="7" spans="1:17" x14ac:dyDescent="0.2">
      <c r="A7" s="2452" t="s">
        <v>924</v>
      </c>
      <c r="B7" s="2453"/>
      <c r="C7" s="2453"/>
      <c r="D7" s="2453"/>
      <c r="E7" s="2454"/>
      <c r="F7" s="1016"/>
      <c r="G7" s="1008"/>
      <c r="H7" s="1015" t="s">
        <v>390</v>
      </c>
      <c r="I7" s="2455">
        <f>COVER!A13</f>
        <v>53090309061</v>
      </c>
      <c r="J7" s="2455"/>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456" t="s">
        <v>502</v>
      </c>
      <c r="B11" s="2457"/>
      <c r="C11" s="2458"/>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560509</v>
      </c>
      <c r="F12" s="1038"/>
      <c r="G12" s="1832">
        <f t="shared" ref="G12:G18" si="0">SUM(E12:F12)</f>
        <v>560509</v>
      </c>
      <c r="H12" s="1039"/>
      <c r="I12" s="1038"/>
      <c r="J12" s="1832">
        <f t="shared" ref="J12:J18" si="1">SUM(H12:I12)</f>
        <v>0</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459" t="s">
        <v>7</v>
      </c>
      <c r="C18" s="2460"/>
      <c r="D18" s="2461"/>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560509</v>
      </c>
      <c r="F19" s="1834">
        <f t="shared" si="2"/>
        <v>0</v>
      </c>
      <c r="G19" s="1834">
        <f t="shared" si="2"/>
        <v>560509</v>
      </c>
      <c r="H19" s="1834">
        <f t="shared" si="2"/>
        <v>0</v>
      </c>
      <c r="I19" s="1834">
        <f t="shared" si="2"/>
        <v>0</v>
      </c>
      <c r="J19" s="1834">
        <f t="shared" si="2"/>
        <v>0</v>
      </c>
    </row>
    <row r="20" spans="1:10" ht="13.5" thickTop="1" x14ac:dyDescent="0.2">
      <c r="A20" s="1034">
        <v>9</v>
      </c>
      <c r="B20" s="2462" t="s">
        <v>1703</v>
      </c>
      <c r="C20" s="2462"/>
      <c r="D20" s="2463"/>
      <c r="E20" s="1045"/>
      <c r="F20" s="1045"/>
      <c r="G20" s="1045"/>
      <c r="H20" s="1045"/>
      <c r="I20" s="1045"/>
      <c r="J20" s="1835" t="str">
        <f>IF(AND(G19&gt;0,J19&gt;0),(((J19-G19)/G19)),"Enter Budget Data")</f>
        <v>Enter Budget Data</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468"/>
      <c r="D26" s="2468"/>
      <c r="E26" s="1049"/>
      <c r="F26" s="2467"/>
      <c r="G26" s="2467"/>
    </row>
    <row r="27" spans="1:10" x14ac:dyDescent="0.2">
      <c r="B27" s="1046"/>
      <c r="C27" s="1050" t="s">
        <v>1093</v>
      </c>
      <c r="D27" s="1051"/>
      <c r="E27" s="1052"/>
      <c r="F27" s="2464" t="s">
        <v>1589</v>
      </c>
      <c r="G27" s="2464"/>
    </row>
    <row r="28" spans="1:10" ht="28.5" customHeight="1" x14ac:dyDescent="0.2">
      <c r="B28" s="1046"/>
      <c r="C28" s="2466"/>
      <c r="D28" s="2466"/>
      <c r="E28" s="1053"/>
      <c r="F28" s="2466"/>
      <c r="G28" s="2466"/>
    </row>
    <row r="29" spans="1:10" x14ac:dyDescent="0.2">
      <c r="B29" s="1046"/>
      <c r="C29" s="1054" t="s">
        <v>1642</v>
      </c>
      <c r="E29" s="1055"/>
      <c r="F29" s="2465" t="s">
        <v>1590</v>
      </c>
      <c r="G29" s="2465"/>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447" t="s">
        <v>134</v>
      </c>
      <c r="D33" s="2448"/>
      <c r="E33" s="2448"/>
      <c r="F33" s="2448"/>
      <c r="G33" s="2448"/>
      <c r="H33" s="2448"/>
      <c r="I33" s="2448"/>
    </row>
    <row r="34" spans="1:10" ht="10.35" customHeight="1" x14ac:dyDescent="0.2">
      <c r="C34" s="2448"/>
      <c r="D34" s="2448"/>
      <c r="E34" s="2448"/>
      <c r="F34" s="2448"/>
      <c r="G34" s="2448"/>
      <c r="H34" s="2448"/>
      <c r="I34" s="2448"/>
    </row>
    <row r="35" spans="1:10" ht="7.5" customHeight="1" x14ac:dyDescent="0.2">
      <c r="C35" s="1061"/>
    </row>
    <row r="36" spans="1:10" ht="13.5" customHeight="1" x14ac:dyDescent="0.2">
      <c r="B36" s="1060"/>
      <c r="C36" s="2449" t="s">
        <v>1941</v>
      </c>
      <c r="D36" s="2448"/>
      <c r="E36" s="2448"/>
      <c r="F36" s="2448"/>
      <c r="G36" s="2448"/>
      <c r="H36" s="2448"/>
      <c r="I36" s="2448"/>
      <c r="J36" s="1062"/>
    </row>
    <row r="37" spans="1:10" ht="22.5" customHeight="1" x14ac:dyDescent="0.2">
      <c r="C37" s="2448"/>
      <c r="D37" s="2448"/>
      <c r="E37" s="2448"/>
      <c r="F37" s="2448"/>
      <c r="G37" s="2448"/>
      <c r="H37" s="2448"/>
      <c r="I37" s="2448"/>
      <c r="J37" s="1062"/>
    </row>
    <row r="38" spans="1:10" ht="7.5" customHeight="1" x14ac:dyDescent="0.2">
      <c r="C38" s="1061"/>
      <c r="D38" s="1063"/>
      <c r="E38" s="1064"/>
      <c r="F38" s="1065"/>
      <c r="G38" s="1064"/>
    </row>
    <row r="39" spans="1:10" ht="13.5" customHeight="1" x14ac:dyDescent="0.2">
      <c r="B39" s="1060"/>
      <c r="C39" s="2445" t="s">
        <v>937</v>
      </c>
      <c r="D39" s="2446"/>
      <c r="E39" s="2446"/>
      <c r="F39" s="2446"/>
      <c r="G39" s="2446"/>
      <c r="H39" s="2446"/>
      <c r="I39" s="2446"/>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2099</v>
      </c>
    </row>
    <row r="6" spans="1:2" x14ac:dyDescent="0.2">
      <c r="A6" s="1067">
        <v>2</v>
      </c>
      <c r="B6" s="329" t="s">
        <v>2100</v>
      </c>
    </row>
    <row r="7" spans="1:2" x14ac:dyDescent="0.2">
      <c r="A7" s="1067">
        <v>3</v>
      </c>
    </row>
    <row r="8" spans="1:2" x14ac:dyDescent="0.2">
      <c r="A8" s="1067">
        <v>4</v>
      </c>
    </row>
    <row r="9" spans="1:2" x14ac:dyDescent="0.2">
      <c r="A9" s="1068"/>
    </row>
    <row r="10" spans="1:2" x14ac:dyDescent="0.2">
      <c r="A10" s="1068"/>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Tazewell-Mason Co Sp Ed Assoc</v>
      </c>
    </row>
    <row r="65" spans="2:2" x14ac:dyDescent="0.2">
      <c r="B65" s="1069">
        <f>COVER!A13</f>
        <v>53090309061</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7" t="s">
        <v>1709</v>
      </c>
    </row>
    <row r="23" spans="1:5" x14ac:dyDescent="0.2">
      <c r="A23" s="168"/>
      <c r="B23" s="162" t="s">
        <v>1966</v>
      </c>
      <c r="D23" s="167" t="s">
        <v>658</v>
      </c>
      <c r="E23" s="1857"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86" t="s">
        <v>1125</v>
      </c>
      <c r="B35" s="2186"/>
      <c r="C35" s="2186"/>
      <c r="D35" s="2186"/>
      <c r="E35" s="218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83" t="s">
        <v>715</v>
      </c>
      <c r="B40" s="2183"/>
      <c r="C40" s="2183"/>
      <c r="D40" s="2183"/>
      <c r="E40" s="2183"/>
    </row>
    <row r="41" spans="1:5" x14ac:dyDescent="0.2">
      <c r="A41" s="2184" t="s">
        <v>1706</v>
      </c>
      <c r="B41" s="2184"/>
      <c r="C41" s="2184"/>
      <c r="D41" s="2184"/>
      <c r="E41" s="2184"/>
    </row>
    <row r="42" spans="1:5" ht="12.75" customHeight="1" x14ac:dyDescent="0.2">
      <c r="A42" s="2185" t="s">
        <v>1080</v>
      </c>
      <c r="B42" s="2185"/>
      <c r="C42" s="2185"/>
      <c r="D42" s="2185"/>
      <c r="E42" s="2185"/>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5" t="s">
        <v>1876</v>
      </c>
    </row>
    <row r="60" spans="1:3" x14ac:dyDescent="0.2">
      <c r="A60" s="196"/>
      <c r="B60" s="1505"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7"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6"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469" t="s">
        <v>1784</v>
      </c>
      <c r="B18" s="2469"/>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70" t="s">
        <v>1790</v>
      </c>
      <c r="B1" s="2471"/>
      <c r="C1" s="2471"/>
      <c r="D1" s="2471"/>
      <c r="E1" s="2471"/>
      <c r="F1" s="2472"/>
    </row>
    <row r="2" spans="1:8" ht="45" customHeight="1" x14ac:dyDescent="0.2">
      <c r="A2" s="2480" t="s">
        <v>1791</v>
      </c>
      <c r="B2" s="2481"/>
      <c r="C2" s="2481"/>
      <c r="D2" s="2481"/>
      <c r="E2" s="2481"/>
      <c r="F2" s="2482"/>
      <c r="G2" s="1073"/>
      <c r="H2" s="1073"/>
    </row>
    <row r="3" spans="1:8" ht="57" customHeight="1" x14ac:dyDescent="0.2">
      <c r="A3" s="2483" t="s">
        <v>1786</v>
      </c>
      <c r="B3" s="2484"/>
      <c r="C3" s="2484"/>
      <c r="D3" s="2484"/>
      <c r="E3" s="2484"/>
      <c r="F3" s="2485"/>
      <c r="G3" s="1073"/>
      <c r="H3" s="1073"/>
    </row>
    <row r="4" spans="1:8" ht="14.25" customHeight="1" x14ac:dyDescent="0.2">
      <c r="A4" s="2489" t="s">
        <v>2053</v>
      </c>
      <c r="B4" s="2490"/>
      <c r="C4" s="2490"/>
      <c r="D4" s="2490"/>
      <c r="E4" s="2490"/>
      <c r="F4" s="2491"/>
      <c r="G4" s="1073"/>
      <c r="H4" s="1073"/>
    </row>
    <row r="5" spans="1:8" ht="14.25" customHeight="1" x14ac:dyDescent="0.2">
      <c r="A5" s="2492" t="s">
        <v>2054</v>
      </c>
      <c r="B5" s="2493"/>
      <c r="C5" s="2493"/>
      <c r="D5" s="2493"/>
      <c r="E5" s="2493"/>
      <c r="F5" s="2494"/>
      <c r="G5" s="1073"/>
      <c r="H5" s="1073"/>
    </row>
    <row r="6" spans="1:8" s="1074" customFormat="1" ht="41.25" customHeight="1" x14ac:dyDescent="0.2">
      <c r="A6" s="2486" t="s">
        <v>1792</v>
      </c>
      <c r="B6" s="2487"/>
      <c r="C6" s="2487"/>
      <c r="D6" s="2487"/>
      <c r="E6" s="2487"/>
      <c r="F6" s="2488"/>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10087442</v>
      </c>
      <c r="C8" s="1836">
        <f>'Acct Summary 7-8'!D8</f>
        <v>0</v>
      </c>
      <c r="D8" s="1836">
        <f>'Acct Summary 7-8'!F8</f>
        <v>10885</v>
      </c>
      <c r="E8" s="1836">
        <f>'Acct Summary 7-8'!I8</f>
        <v>0</v>
      </c>
      <c r="F8" s="1836">
        <f>SUM(B8:E8)</f>
        <v>10098327</v>
      </c>
    </row>
    <row r="9" spans="1:8" s="1078" customFormat="1" ht="14.25" customHeight="1" thickBot="1" x14ac:dyDescent="0.25">
      <c r="A9" s="1077" t="s">
        <v>1436</v>
      </c>
      <c r="B9" s="1837">
        <f>'Acct Summary 7-8'!C17</f>
        <v>9788160</v>
      </c>
      <c r="C9" s="1837">
        <f>'Acct Summary 7-8'!D17</f>
        <v>0</v>
      </c>
      <c r="D9" s="1837">
        <f>'Acct Summary 7-8'!F17</f>
        <v>11204</v>
      </c>
      <c r="E9" s="1836"/>
      <c r="F9" s="1836">
        <f>SUM(B9:E9)</f>
        <v>9799364</v>
      </c>
    </row>
    <row r="10" spans="1:8" s="1078" customFormat="1" ht="14.25" thickTop="1" thickBot="1" x14ac:dyDescent="0.25">
      <c r="A10" s="1079" t="s">
        <v>1437</v>
      </c>
      <c r="B10" s="1838">
        <f>(B8-B9)</f>
        <v>299282</v>
      </c>
      <c r="C10" s="1838">
        <f>(C8-C9)</f>
        <v>0</v>
      </c>
      <c r="D10" s="1838">
        <f>(D8-D9)</f>
        <v>-319</v>
      </c>
      <c r="E10" s="1837">
        <f>(E8-E9)</f>
        <v>0</v>
      </c>
      <c r="F10" s="1839">
        <f>SUM(F8-F9)</f>
        <v>298963</v>
      </c>
    </row>
    <row r="11" spans="1:8" s="1078" customFormat="1" ht="14.25" thickTop="1" thickBot="1" x14ac:dyDescent="0.25">
      <c r="A11" s="1080" t="s">
        <v>1785</v>
      </c>
      <c r="B11" s="1840">
        <f>'Acct Summary 7-8'!C81</f>
        <v>611053</v>
      </c>
      <c r="C11" s="1840">
        <f>'Acct Summary 7-8'!D81</f>
        <v>472037</v>
      </c>
      <c r="D11" s="1840">
        <f>'Acct Summary 7-8'!F81</f>
        <v>4278</v>
      </c>
      <c r="E11" s="1840">
        <f>'Acct Summary 7-8'!I81</f>
        <v>0</v>
      </c>
      <c r="F11" s="1841">
        <f>SUM(B11:E11)</f>
        <v>1087368</v>
      </c>
    </row>
    <row r="12" spans="1:8" ht="16.5" customHeight="1" thickTop="1" x14ac:dyDescent="0.2">
      <c r="A12" s="1081"/>
      <c r="B12" s="1082"/>
      <c r="C12" s="2474" t="str">
        <f>IF(AND(F10&lt;0,F11&gt;=0,ABS(F10*3)&gt;ABS(F11)),A16,IF(AND(F10&lt;0,F11&gt;0,ABS(F10*3)&lt;=ABS(F11)),A17,IF(AND(F10&lt;0,F11&lt;0),A16,IF(F11=0,A19,A18))))</f>
        <v>Balanced - no deficit reduction plan is required.</v>
      </c>
      <c r="D12" s="2475"/>
      <c r="E12" s="2475"/>
      <c r="F12" s="2476"/>
    </row>
    <row r="13" spans="1:8" ht="19.5" customHeight="1" x14ac:dyDescent="0.2">
      <c r="A13" s="1083"/>
      <c r="B13" s="1084"/>
      <c r="C13" s="2474"/>
      <c r="D13" s="2475"/>
      <c r="E13" s="2475"/>
      <c r="F13" s="2476"/>
      <c r="H13" s="1073"/>
    </row>
    <row r="14" spans="1:8" ht="19.5" customHeight="1" x14ac:dyDescent="0.2">
      <c r="A14" s="1083"/>
      <c r="B14" s="1084"/>
      <c r="C14" s="2474"/>
      <c r="D14" s="2475"/>
      <c r="E14" s="2475"/>
      <c r="F14" s="2476"/>
      <c r="H14" s="1073"/>
    </row>
    <row r="15" spans="1:8" ht="17.25" customHeight="1" x14ac:dyDescent="0.2">
      <c r="A15" s="1083"/>
      <c r="B15" s="1084"/>
      <c r="C15" s="2477"/>
      <c r="D15" s="2478"/>
      <c r="E15" s="2478"/>
      <c r="F15" s="2479"/>
      <c r="H15" s="1073"/>
    </row>
    <row r="16" spans="1:8" s="310" customFormat="1" ht="51.75" hidden="1" customHeight="1" x14ac:dyDescent="0.2">
      <c r="A16" s="2473" t="s">
        <v>1787</v>
      </c>
      <c r="B16" s="2473"/>
      <c r="C16" s="2473"/>
      <c r="D16" s="2473"/>
      <c r="E16" s="2473"/>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495" t="s">
        <v>686</v>
      </c>
      <c r="B3" s="2496"/>
      <c r="C3" s="2496"/>
      <c r="D3" s="2497"/>
    </row>
    <row r="4" spans="1:4" x14ac:dyDescent="0.2">
      <c r="A4" s="1151" t="s">
        <v>1793</v>
      </c>
      <c r="B4" s="1152"/>
      <c r="C4" s="1153"/>
      <c r="D4" s="1154"/>
    </row>
    <row r="5" spans="1:4" ht="21" customHeight="1" x14ac:dyDescent="0.2">
      <c r="A5" s="1147"/>
      <c r="B5" s="1148">
        <v>1</v>
      </c>
      <c r="C5" s="1149" t="s">
        <v>1943</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506" t="s">
        <v>1584</v>
      </c>
      <c r="D7" s="2507"/>
    </row>
    <row r="8" spans="1:4" s="667" customFormat="1" ht="12.75" x14ac:dyDescent="0.2">
      <c r="A8" s="1137"/>
      <c r="B8" s="1092"/>
      <c r="C8" s="1095" t="s">
        <v>1583</v>
      </c>
      <c r="D8" s="1096"/>
    </row>
    <row r="9" spans="1:4" s="667" customFormat="1" ht="14.25" customHeight="1" x14ac:dyDescent="0.2">
      <c r="A9" s="1137"/>
      <c r="B9" s="1092">
        <f>B7+1</f>
        <v>4</v>
      </c>
      <c r="C9" s="1093" t="s">
        <v>2046</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498" t="s">
        <v>1065</v>
      </c>
      <c r="B15" s="2499"/>
      <c r="C15" s="2499"/>
      <c r="D15" s="2500"/>
    </row>
    <row r="16" spans="1:4" s="667" customFormat="1" ht="24" customHeight="1" x14ac:dyDescent="0.2">
      <c r="A16" s="2501" t="s">
        <v>684</v>
      </c>
      <c r="B16" s="2502"/>
      <c r="C16" s="2502"/>
      <c r="D16" s="2503"/>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510" t="s">
        <v>332</v>
      </c>
      <c r="D21" s="2511"/>
    </row>
    <row r="22" spans="1:10" ht="12.75" x14ac:dyDescent="0.2">
      <c r="A22" s="1138"/>
      <c r="B22" s="1139">
        <v>2</v>
      </c>
      <c r="C22" s="2508" t="s">
        <v>1605</v>
      </c>
      <c r="D22" s="2509"/>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NO FINDINGS WERE ISSUED</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512" t="s">
        <v>557</v>
      </c>
      <c r="D43" s="2513"/>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504" t="s">
        <v>817</v>
      </c>
      <c r="D56" s="2505"/>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2047</v>
      </c>
      <c r="D66" s="1124"/>
    </row>
    <row r="67" spans="1:4" x14ac:dyDescent="0.2">
      <c r="A67" s="1118"/>
      <c r="B67" s="1139"/>
      <c r="C67" s="1146" t="s">
        <v>1079</v>
      </c>
      <c r="D67" s="1124"/>
    </row>
    <row r="68" spans="1:4" x14ac:dyDescent="0.2">
      <c r="A68" s="1099"/>
      <c r="B68" s="1109"/>
      <c r="C68" s="1101" t="s">
        <v>2048</v>
      </c>
      <c r="D68" s="1123" t="str">
        <f>IF('Short-Term Long-Term Debt 24'!F49=SUM(,'Acct Summary 7-8'!C33:K33),"OK","ERROR!")</f>
        <v>OK</v>
      </c>
    </row>
    <row r="69" spans="1:4" x14ac:dyDescent="0.2">
      <c r="A69" s="1099"/>
      <c r="B69" s="1109"/>
      <c r="C69" s="1101" t="s">
        <v>2049</v>
      </c>
      <c r="D69" s="1123" t="str">
        <f>IF('Expenditures 15-22'!H170&lt;&gt;'Short-Term Long-Term Debt 24'!H49,"ERROR!","OK")</f>
        <v>OK</v>
      </c>
    </row>
    <row r="70" spans="1:4" x14ac:dyDescent="0.2">
      <c r="A70" s="1097"/>
      <c r="B70" s="1119">
        <f>B66+1</f>
        <v>9</v>
      </c>
      <c r="C70" s="2504" t="s">
        <v>1797</v>
      </c>
      <c r="D70" s="2505"/>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2050</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2051</v>
      </c>
      <c r="D78" s="1123" t="str">
        <f>IF(ISNUMBER('Acct Summary 7-8'!C9),"OK","ENTRY IS REQUIRED!")</f>
        <v>OK</v>
      </c>
    </row>
    <row r="79" spans="1:4" x14ac:dyDescent="0.2">
      <c r="A79" s="1118"/>
      <c r="B79" s="1119">
        <f>B74+1+1</f>
        <v>12</v>
      </c>
      <c r="C79" s="1129" t="s">
        <v>2016</v>
      </c>
      <c r="D79" s="1130" t="str">
        <f>IF(OR(COVER!$B$6="X",'PCTC-OEPP 27-28'!F78&gt;0),"OK","PLEASE ENTER 9 MO ADA.")</f>
        <v>OK</v>
      </c>
    </row>
    <row r="80" spans="1:4" x14ac:dyDescent="0.2">
      <c r="A80" s="1097"/>
      <c r="B80" s="1119">
        <v>13</v>
      </c>
      <c r="C80" s="1129" t="s">
        <v>2052</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53090309061</v>
      </c>
    </row>
    <row r="3" spans="1:2" x14ac:dyDescent="0.2">
      <c r="A3" t="s">
        <v>1013</v>
      </c>
      <c r="B3" s="138" t="str">
        <f>COVER!A15</f>
        <v>Tazewell</v>
      </c>
    </row>
    <row r="4" spans="1:2" x14ac:dyDescent="0.2">
      <c r="A4" t="s">
        <v>1064</v>
      </c>
      <c r="B4" s="138" t="str">
        <f>COVER!A17</f>
        <v>Tazewell-Mason Co Sp Ed Assoc</v>
      </c>
    </row>
    <row r="5" spans="1:2" x14ac:dyDescent="0.2">
      <c r="A5" t="s">
        <v>728</v>
      </c>
      <c r="B5" s="138" t="str">
        <f>COVER!A38</f>
        <v>Kristina Neville</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Thomas R. Peffer, CPA</v>
      </c>
    </row>
    <row r="18" spans="1:2" x14ac:dyDescent="0.2">
      <c r="A18" t="s">
        <v>1212</v>
      </c>
      <c r="B18" s="138" t="str">
        <f>COVER!T17</f>
        <v>4200 N Knoxville Ave</v>
      </c>
    </row>
    <row r="19" spans="1:2" x14ac:dyDescent="0.2">
      <c r="A19" t="s">
        <v>941</v>
      </c>
      <c r="B19" s="138" t="str">
        <f>COVER!T25</f>
        <v>tpeffer@gorenzcpa.com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613578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2525</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2525</v>
      </c>
      <c r="C91" s="2" t="s">
        <v>594</v>
      </c>
      <c r="D91" s="2" t="str">
        <f t="shared" si="0"/>
        <v>Error?</v>
      </c>
    </row>
    <row r="92" spans="1:4" x14ac:dyDescent="0.2">
      <c r="A92" s="5">
        <v>31</v>
      </c>
      <c r="B92" s="138">
        <f>'Assets-Liab 5-6'!C39</f>
        <v>611053</v>
      </c>
      <c r="D92" s="2" t="str">
        <f t="shared" si="0"/>
        <v>Error?</v>
      </c>
    </row>
    <row r="93" spans="1:4" x14ac:dyDescent="0.2">
      <c r="A93" s="5">
        <v>32</v>
      </c>
      <c r="B93" s="138">
        <f>'Assets-Liab 5-6'!C41</f>
        <v>613578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472037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472037</v>
      </c>
      <c r="D123" s="2" t="str">
        <f t="shared" si="0"/>
        <v>Error?</v>
      </c>
    </row>
    <row r="124" spans="1:4" x14ac:dyDescent="0.2">
      <c r="A124" s="5">
        <v>63</v>
      </c>
      <c r="B124" s="138">
        <f>'Assets-Liab 5-6'!D41</f>
        <v>472037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4278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4278</v>
      </c>
      <c r="D170" s="2" t="str">
        <f t="shared" si="1"/>
        <v>Error?</v>
      </c>
    </row>
    <row r="171" spans="1:4" x14ac:dyDescent="0.2">
      <c r="A171" s="5">
        <v>110</v>
      </c>
      <c r="B171" s="138">
        <f>'Assets-Liab 5-6'!F41</f>
        <v>4278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55659</v>
      </c>
      <c r="D273" s="2" t="str">
        <f t="shared" si="3"/>
        <v>Error?</v>
      </c>
    </row>
    <row r="274" spans="1:4" x14ac:dyDescent="0.2">
      <c r="A274" s="5">
        <v>213</v>
      </c>
      <c r="B274" s="138">
        <f>'Assets-Liab 5-6'!M17</f>
        <v>2210125</v>
      </c>
      <c r="D274" s="2" t="str">
        <f t="shared" si="3"/>
        <v>Error?</v>
      </c>
    </row>
    <row r="275" spans="1:4" x14ac:dyDescent="0.2">
      <c r="A275" s="5">
        <v>214</v>
      </c>
      <c r="B275" s="138">
        <f>'Assets-Liab 5-6'!M18</f>
        <v>0</v>
      </c>
      <c r="D275" s="2" t="str">
        <f t="shared" si="3"/>
        <v>Error?</v>
      </c>
    </row>
    <row r="276" spans="1:4" x14ac:dyDescent="0.2">
      <c r="A276" s="5">
        <v>215</v>
      </c>
      <c r="B276" s="138">
        <f>'Assets-Liab 5-6'!M19</f>
        <v>748006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3013790</v>
      </c>
      <c r="C279" s="2" t="s">
        <v>594</v>
      </c>
      <c r="D279" s="2" t="str">
        <f t="shared" si="3"/>
        <v>Error?</v>
      </c>
    </row>
    <row r="280" spans="1:4" x14ac:dyDescent="0.2">
      <c r="A280" s="5">
        <v>219</v>
      </c>
      <c r="B280" s="138">
        <f>'Assets-Liab 5-6'!M40</f>
        <v>3013790</v>
      </c>
      <c r="D280" s="2" t="str">
        <f t="shared" si="3"/>
        <v>Error?</v>
      </c>
    </row>
    <row r="281" spans="1:4" x14ac:dyDescent="0.2">
      <c r="A281" s="5">
        <v>220</v>
      </c>
      <c r="B281" s="138">
        <f>'Assets-Liab 5-6'!M41</f>
        <v>3013790</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72153</v>
      </c>
      <c r="D717" s="2" t="str">
        <f t="shared" si="10"/>
        <v>Error?</v>
      </c>
    </row>
    <row r="718" spans="1:4" x14ac:dyDescent="0.2">
      <c r="A718" s="5">
        <v>657</v>
      </c>
      <c r="B718" s="138">
        <f>'Expenditures 15-22'!C14</f>
        <v>0</v>
      </c>
      <c r="D718" s="2" t="str">
        <f t="shared" si="10"/>
        <v>Error?</v>
      </c>
    </row>
    <row r="719" spans="1:4" x14ac:dyDescent="0.2">
      <c r="A719" s="5">
        <v>658</v>
      </c>
      <c r="B719" s="138">
        <f>'Expenditures 15-22'!C15</f>
        <v>92367</v>
      </c>
      <c r="D719" s="2" t="str">
        <f t="shared" si="10"/>
        <v>Error?</v>
      </c>
    </row>
    <row r="720" spans="1:4" x14ac:dyDescent="0.2">
      <c r="A720" s="5">
        <v>659</v>
      </c>
      <c r="B720" s="138">
        <f>'Expenditures 15-22'!C33</f>
        <v>1125944</v>
      </c>
      <c r="C720" s="2" t="s">
        <v>594</v>
      </c>
      <c r="D720" s="2" t="str">
        <f t="shared" si="10"/>
        <v>Error?</v>
      </c>
    </row>
    <row r="721" spans="1:4" x14ac:dyDescent="0.2">
      <c r="A721" s="5">
        <v>660</v>
      </c>
      <c r="B721" s="138">
        <f>'Expenditures 15-22'!C36</f>
        <v>62475</v>
      </c>
      <c r="D721" s="2" t="str">
        <f t="shared" si="10"/>
        <v>Error?</v>
      </c>
    </row>
    <row r="722" spans="1:4" x14ac:dyDescent="0.2">
      <c r="A722" s="5">
        <v>661</v>
      </c>
      <c r="B722" s="138">
        <f>'Expenditures 15-22'!C37</f>
        <v>0</v>
      </c>
      <c r="D722" s="2" t="str">
        <f t="shared" si="10"/>
        <v>Error?</v>
      </c>
    </row>
    <row r="723" spans="1:4" x14ac:dyDescent="0.2">
      <c r="A723" s="5">
        <v>662</v>
      </c>
      <c r="B723" s="138">
        <f>'Expenditures 15-22'!C38</f>
        <v>793253</v>
      </c>
      <c r="D723" s="2" t="str">
        <f t="shared" si="10"/>
        <v>Error?</v>
      </c>
    </row>
    <row r="724" spans="1:4" x14ac:dyDescent="0.2">
      <c r="A724" s="5">
        <v>663</v>
      </c>
      <c r="B724" s="138">
        <f>'Expenditures 15-22'!C39</f>
        <v>445275</v>
      </c>
      <c r="D724" s="2" t="str">
        <f t="shared" si="10"/>
        <v>Error?</v>
      </c>
    </row>
    <row r="725" spans="1:4" x14ac:dyDescent="0.2">
      <c r="A725" s="5">
        <v>664</v>
      </c>
      <c r="B725" s="138">
        <f>'Expenditures 15-22'!C40</f>
        <v>198224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1499227</v>
      </c>
      <c r="C727" s="2" t="s">
        <v>594</v>
      </c>
      <c r="D727" s="2" t="str">
        <f t="shared" si="10"/>
        <v>Error?</v>
      </c>
    </row>
    <row r="728" spans="1:4" x14ac:dyDescent="0.2">
      <c r="A728" s="5">
        <v>667</v>
      </c>
      <c r="B728" s="138">
        <f>'Expenditures 15-22'!C44</f>
        <v>154145</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154145</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275960</v>
      </c>
      <c r="D733" s="2" t="str">
        <f t="shared" si="10"/>
        <v>Error?</v>
      </c>
    </row>
    <row r="734" spans="1:4" x14ac:dyDescent="0.2">
      <c r="A734" s="5">
        <v>673</v>
      </c>
      <c r="B734" s="138">
        <f>'Expenditures 15-22'!C53</f>
        <v>275960</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53130</v>
      </c>
      <c r="D739" s="2" t="str">
        <f t="shared" si="10"/>
        <v>Error?</v>
      </c>
    </row>
    <row r="740" spans="1:4" x14ac:dyDescent="0.2">
      <c r="A740" s="5">
        <v>679</v>
      </c>
      <c r="B740" s="138">
        <f>'Expenditures 15-22'!C61</f>
        <v>83815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26280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163225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2092557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3218501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13561</v>
      </c>
      <c r="D775" s="2" t="str">
        <f t="shared" si="11"/>
        <v>Error?</v>
      </c>
    </row>
    <row r="776" spans="1:4" x14ac:dyDescent="0.2">
      <c r="A776" s="5">
        <v>715</v>
      </c>
      <c r="B776" s="138">
        <f>'Expenditures 15-22'!D14</f>
        <v>0</v>
      </c>
      <c r="D776" s="2" t="str">
        <f t="shared" si="11"/>
        <v>Error?</v>
      </c>
    </row>
    <row r="777" spans="1:4" x14ac:dyDescent="0.2">
      <c r="A777" s="5">
        <v>716</v>
      </c>
      <c r="B777" s="138">
        <f>'Expenditures 15-22'!D15</f>
        <v>7226</v>
      </c>
      <c r="D777" s="2" t="str">
        <f t="shared" si="11"/>
        <v>Error?</v>
      </c>
    </row>
    <row r="778" spans="1:4" x14ac:dyDescent="0.2">
      <c r="A778" s="5">
        <v>717</v>
      </c>
      <c r="B778" s="138">
        <f>'Expenditures 15-22'!D33</f>
        <v>253383</v>
      </c>
      <c r="C778" s="2" t="s">
        <v>594</v>
      </c>
      <c r="D778" s="2" t="str">
        <f t="shared" si="11"/>
        <v>Error?</v>
      </c>
    </row>
    <row r="779" spans="1:4" x14ac:dyDescent="0.2">
      <c r="A779" s="5">
        <v>718</v>
      </c>
      <c r="B779" s="138">
        <f>'Expenditures 15-22'!D36</f>
        <v>4858</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237727</v>
      </c>
      <c r="D781" s="2" t="str">
        <f t="shared" si="11"/>
        <v>Error?</v>
      </c>
    </row>
    <row r="782" spans="1:4" x14ac:dyDescent="0.2">
      <c r="A782" s="5">
        <v>721</v>
      </c>
      <c r="B782" s="138">
        <f>'Expenditures 15-22'!D39</f>
        <v>54644</v>
      </c>
      <c r="D782" s="2" t="str">
        <f t="shared" si="11"/>
        <v>Error?</v>
      </c>
    </row>
    <row r="783" spans="1:4" x14ac:dyDescent="0.2">
      <c r="A783" s="5">
        <v>722</v>
      </c>
      <c r="B783" s="138">
        <f>'Expenditures 15-22'!D40</f>
        <v>32748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329977</v>
      </c>
      <c r="C785" s="2" t="s">
        <v>594</v>
      </c>
      <c r="D785" s="2" t="str">
        <f t="shared" si="11"/>
        <v>Error?</v>
      </c>
    </row>
    <row r="786" spans="1:4" x14ac:dyDescent="0.2">
      <c r="A786" s="5">
        <v>725</v>
      </c>
      <c r="B786" s="138">
        <f>'Expenditures 15-22'!D44</f>
        <v>33613</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33613</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108584</v>
      </c>
      <c r="D791" s="2" t="str">
        <f t="shared" si="11"/>
        <v>Error?</v>
      </c>
    </row>
    <row r="792" spans="1:4" x14ac:dyDescent="0.2">
      <c r="A792" s="5">
        <v>731</v>
      </c>
      <c r="B792" s="138">
        <f>'Expenditures 15-22'!D53</f>
        <v>108584</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16950</v>
      </c>
      <c r="D797" s="2" t="str">
        <f t="shared" si="11"/>
        <v>Error?</v>
      </c>
    </row>
    <row r="798" spans="1:4" x14ac:dyDescent="0.2">
      <c r="A798" s="5">
        <v>737</v>
      </c>
      <c r="B798" s="138">
        <f>'Expenditures 15-22'!D61</f>
        <v>27930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4789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49669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521843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775226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1646</v>
      </c>
      <c r="D833" s="2" t="str">
        <f t="shared" si="12"/>
        <v>Error?</v>
      </c>
    </row>
    <row r="834" spans="1:4" x14ac:dyDescent="0.2">
      <c r="A834" s="5">
        <v>773</v>
      </c>
      <c r="B834" s="138">
        <f>'Expenditures 15-22'!E14</f>
        <v>0</v>
      </c>
      <c r="D834" s="2" t="str">
        <f t="shared" si="12"/>
        <v>Error?</v>
      </c>
    </row>
    <row r="835" spans="1:4" x14ac:dyDescent="0.2">
      <c r="A835" s="5">
        <v>774</v>
      </c>
      <c r="B835" s="138">
        <f>'Expenditures 15-22'!E15</f>
        <v>3125</v>
      </c>
      <c r="D835" s="2" t="str">
        <f t="shared" si="12"/>
        <v>Error?</v>
      </c>
    </row>
    <row r="836" spans="1:4" x14ac:dyDescent="0.2">
      <c r="A836" s="5">
        <v>775</v>
      </c>
      <c r="B836" s="138">
        <f>'Expenditures 15-22'!E33</f>
        <v>22916</v>
      </c>
      <c r="C836" s="2" t="s">
        <v>594</v>
      </c>
      <c r="D836" s="2" t="str">
        <f t="shared" si="12"/>
        <v>Error?</v>
      </c>
    </row>
    <row r="837" spans="1:4" x14ac:dyDescent="0.2">
      <c r="A837" s="5">
        <v>776</v>
      </c>
      <c r="B837" s="138">
        <f>'Expenditures 15-22'!E36</f>
        <v>191</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26985</v>
      </c>
      <c r="D839" s="2" t="str">
        <f t="shared" si="12"/>
        <v>Error?</v>
      </c>
    </row>
    <row r="840" spans="1:4" x14ac:dyDescent="0.2">
      <c r="A840" s="5">
        <v>779</v>
      </c>
      <c r="B840" s="138">
        <f>'Expenditures 15-22'!E39</f>
        <v>2225</v>
      </c>
      <c r="D840" s="2" t="str">
        <f t="shared" si="12"/>
        <v>Error?</v>
      </c>
    </row>
    <row r="841" spans="1:4" x14ac:dyDescent="0.2">
      <c r="A841" s="5">
        <v>780</v>
      </c>
      <c r="B841" s="138">
        <f>'Expenditures 15-22'!E40</f>
        <v>4343</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33744</v>
      </c>
      <c r="C843" s="2" t="s">
        <v>594</v>
      </c>
      <c r="D843" s="2" t="str">
        <f t="shared" si="12"/>
        <v>Error?</v>
      </c>
    </row>
    <row r="844" spans="1:4" x14ac:dyDescent="0.2">
      <c r="A844" s="5">
        <v>783</v>
      </c>
      <c r="B844" s="138">
        <f>'Expenditures 15-22'!E44</f>
        <v>104841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104841</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149216</v>
      </c>
      <c r="D849" s="2" t="str">
        <f t="shared" si="12"/>
        <v>Error?</v>
      </c>
    </row>
    <row r="850" spans="1:4" x14ac:dyDescent="0.2">
      <c r="A850" s="5">
        <v>789</v>
      </c>
      <c r="B850" s="138">
        <f>'Expenditures 15-22'!E53</f>
        <v>149216</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10020</v>
      </c>
      <c r="D855" s="2" t="str">
        <f t="shared" si="12"/>
        <v>Error?</v>
      </c>
    </row>
    <row r="856" spans="1:4" x14ac:dyDescent="0.2">
      <c r="A856" s="5">
        <v>795</v>
      </c>
      <c r="B856" s="138">
        <f>'Expenditures 15-22'!E61</f>
        <v>93052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103072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390873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418289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314</v>
      </c>
      <c r="D891" s="2" t="str">
        <f t="shared" si="12"/>
        <v>Error?</v>
      </c>
    </row>
    <row r="892" spans="1:4" x14ac:dyDescent="0.2">
      <c r="A892" s="5">
        <v>831</v>
      </c>
      <c r="B892" s="138">
        <f>'Expenditures 15-22'!F14</f>
        <v>0</v>
      </c>
      <c r="D892" s="2" t="str">
        <f t="shared" si="12"/>
        <v>Error?</v>
      </c>
    </row>
    <row r="893" spans="1:4" x14ac:dyDescent="0.2">
      <c r="A893" s="5">
        <v>832</v>
      </c>
      <c r="B893" s="138">
        <f>'Expenditures 15-22'!F15</f>
        <v>1364</v>
      </c>
      <c r="D893" s="2" t="str">
        <f t="shared" si="12"/>
        <v>Error?</v>
      </c>
    </row>
    <row r="894" spans="1:4" x14ac:dyDescent="0.2">
      <c r="A894" s="5">
        <v>833</v>
      </c>
      <c r="B894" s="138">
        <f>'Expenditures 15-22'!F33</f>
        <v>8795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8454</v>
      </c>
      <c r="D897" s="2" t="str">
        <f t="shared" si="13"/>
        <v>Error?</v>
      </c>
    </row>
    <row r="898" spans="1:4" x14ac:dyDescent="0.2">
      <c r="A898" s="5">
        <v>837</v>
      </c>
      <c r="B898" s="138">
        <f>'Expenditures 15-22'!F39</f>
        <v>2418</v>
      </c>
      <c r="D898" s="2" t="str">
        <f t="shared" si="13"/>
        <v>Error?</v>
      </c>
    </row>
    <row r="899" spans="1:4" x14ac:dyDescent="0.2">
      <c r="A899" s="5">
        <v>838</v>
      </c>
      <c r="B899" s="138">
        <f>'Expenditures 15-22'!F40</f>
        <v>1991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12863</v>
      </c>
      <c r="C901" s="2" t="s">
        <v>594</v>
      </c>
      <c r="D901" s="2" t="str">
        <f t="shared" si="13"/>
        <v>Error?</v>
      </c>
    </row>
    <row r="902" spans="1:4" x14ac:dyDescent="0.2">
      <c r="A902" s="5">
        <v>841</v>
      </c>
      <c r="B902" s="138">
        <f>'Expenditures 15-22'!F44</f>
        <v>8638</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8638</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17449</v>
      </c>
      <c r="D907" s="2" t="str">
        <f t="shared" si="13"/>
        <v>Error?</v>
      </c>
    </row>
    <row r="908" spans="1:4" x14ac:dyDescent="0.2">
      <c r="A908" s="5">
        <v>847</v>
      </c>
      <c r="B908" s="138">
        <f>'Expenditures 15-22'!F53</f>
        <v>17449</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719</v>
      </c>
      <c r="D913" s="2" t="str">
        <f t="shared" si="13"/>
        <v>Error?</v>
      </c>
    </row>
    <row r="914" spans="1:4" x14ac:dyDescent="0.2">
      <c r="A914" s="5">
        <v>853</v>
      </c>
      <c r="B914" s="138">
        <f>'Expenditures 15-22'!F61</f>
        <v>49238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26448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76405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115355</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124150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1798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5999</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5999</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5999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7797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1251</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1251</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1088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1088</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2339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5232558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5234897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87674</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104082</v>
      </c>
      <c r="C1107" s="2" t="s">
        <v>594</v>
      </c>
      <c r="D1107" s="2" t="str">
        <f t="shared" si="16"/>
        <v>Error?</v>
      </c>
    </row>
    <row r="1108" spans="1:4" x14ac:dyDescent="0.2">
      <c r="A1108" s="5">
        <v>1047</v>
      </c>
      <c r="B1108" s="138">
        <f>'Expenditures 15-22'!K33</f>
        <v>1412836</v>
      </c>
      <c r="C1108" s="2" t="s">
        <v>594</v>
      </c>
      <c r="D1108" s="2" t="str">
        <f t="shared" si="16"/>
        <v>Error?</v>
      </c>
    </row>
    <row r="1109" spans="1:4" x14ac:dyDescent="0.2">
      <c r="A1109" s="5">
        <v>1048</v>
      </c>
      <c r="B1109" s="138">
        <f>'Expenditures 15-22'!K36</f>
        <v>67524</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1066419</v>
      </c>
      <c r="C1111" s="2" t="s">
        <v>594</v>
      </c>
      <c r="D1111" s="2" t="str">
        <f t="shared" si="16"/>
        <v>Error?</v>
      </c>
    </row>
    <row r="1112" spans="1:4" x14ac:dyDescent="0.2">
      <c r="A1112" s="5">
        <v>1051</v>
      </c>
      <c r="B1112" s="138">
        <f>'Expenditures 15-22'!K39</f>
        <v>504562</v>
      </c>
      <c r="C1112" s="2" t="s">
        <v>594</v>
      </c>
      <c r="D1112" s="2" t="str">
        <f t="shared" si="16"/>
        <v>Error?</v>
      </c>
    </row>
    <row r="1113" spans="1:4" x14ac:dyDescent="0.2">
      <c r="A1113" s="5">
        <v>1052</v>
      </c>
      <c r="B1113" s="138">
        <f>'Expenditures 15-22'!K40</f>
        <v>237306</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1875811</v>
      </c>
      <c r="C1115" s="2" t="s">
        <v>594</v>
      </c>
      <c r="D1115" s="2" t="str">
        <f t="shared" si="16"/>
        <v>Error?</v>
      </c>
    </row>
    <row r="1116" spans="1:4" x14ac:dyDescent="0.2">
      <c r="A1116" s="5">
        <v>1055</v>
      </c>
      <c r="B1116" s="138">
        <f>'Expenditures 15-22'!K44</f>
        <v>302488</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302488</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560509</v>
      </c>
      <c r="C1121" s="2" t="s">
        <v>594</v>
      </c>
      <c r="D1121" s="2" t="str">
        <f t="shared" si="16"/>
        <v>Error?</v>
      </c>
    </row>
    <row r="1122" spans="1:4" x14ac:dyDescent="0.2">
      <c r="A1122" s="5">
        <v>1061</v>
      </c>
      <c r="B1122" s="138">
        <f>'Expenditures 15-22'!K53</f>
        <v>560509</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80819</v>
      </c>
      <c r="C1127" s="2" t="s">
        <v>594</v>
      </c>
      <c r="D1127" s="2" t="str">
        <f t="shared" si="16"/>
        <v>Error?</v>
      </c>
    </row>
    <row r="1128" spans="1:4" x14ac:dyDescent="0.2">
      <c r="A1128" s="5">
        <v>1067</v>
      </c>
      <c r="B1128" s="138">
        <f>'Expenditures 15-22'!K61</f>
        <v>260034</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58605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399458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3138266</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5237058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9788160</v>
      </c>
      <c r="C1152" s="2" t="s">
        <v>594</v>
      </c>
      <c r="D1152" s="2" t="str">
        <f t="shared" si="17"/>
        <v>Error?</v>
      </c>
    </row>
    <row r="1153" spans="1:4" x14ac:dyDescent="0.2">
      <c r="A1153" s="5">
        <v>1092</v>
      </c>
      <c r="B1153" s="138">
        <f>'Expenditures 15-22'!K115</f>
        <v>299282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11204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11204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11204</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11204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11204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11204</v>
      </c>
      <c r="C1388" s="2" t="s">
        <v>594</v>
      </c>
      <c r="D1388" s="2" t="str">
        <f t="shared" si="20"/>
        <v>Error?</v>
      </c>
    </row>
    <row r="1389" spans="1:4" x14ac:dyDescent="0.2">
      <c r="A1389" s="5">
        <v>1328</v>
      </c>
      <c r="B1389" s="138">
        <f>'Expenditures 15-22'!K211</f>
        <v>-319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311771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611053</v>
      </c>
      <c r="C1630" s="2" t="s">
        <v>594</v>
      </c>
      <c r="D1630" s="2" t="str">
        <f t="shared" si="24"/>
        <v>Error?</v>
      </c>
    </row>
    <row r="1631" spans="1:4" x14ac:dyDescent="0.2">
      <c r="A1631" s="5">
        <v>1570</v>
      </c>
      <c r="B1631" s="138">
        <f>'Acct Summary 7-8'!D79</f>
        <v>472037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472037</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4597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4278</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55659</v>
      </c>
      <c r="D2008" s="2" t="str">
        <f t="shared" si="30"/>
        <v>Error?</v>
      </c>
    </row>
    <row r="2009" spans="1:4" x14ac:dyDescent="0.2">
      <c r="A2009" s="5">
        <v>1948</v>
      </c>
      <c r="B2009" s="138">
        <f>'Cap Outlay Deprec 26'!C8</f>
        <v>2210125</v>
      </c>
      <c r="D2009" s="2" t="str">
        <f t="shared" si="30"/>
        <v>Error?</v>
      </c>
    </row>
    <row r="2010" spans="1:4" x14ac:dyDescent="0.2">
      <c r="A2010" s="5">
        <v>1949</v>
      </c>
      <c r="B2010" s="138">
        <f>'Cap Outlay Deprec 26'!C10</f>
        <v>155296</v>
      </c>
      <c r="D2010" s="2" t="str">
        <f t="shared" si="30"/>
        <v>Error?</v>
      </c>
    </row>
    <row r="2011" spans="1:4" x14ac:dyDescent="0.2">
      <c r="A2011" s="5">
        <v>1950</v>
      </c>
      <c r="B2011" s="138">
        <f>'Cap Outlay Deprec 26'!C12</f>
        <v>584913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3005993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7797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7797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55659</v>
      </c>
      <c r="C2026" s="2" t="s">
        <v>594</v>
      </c>
      <c r="D2026" s="2" t="str">
        <f t="shared" si="30"/>
        <v>Error?</v>
      </c>
    </row>
    <row r="2027" spans="1:4" x14ac:dyDescent="0.2">
      <c r="A2027" s="5">
        <v>1966</v>
      </c>
      <c r="B2027" s="138">
        <f>'Cap Outlay Deprec 26'!F8</f>
        <v>2210125</v>
      </c>
      <c r="C2027" s="2" t="s">
        <v>594</v>
      </c>
      <c r="D2027" s="2" t="str">
        <f t="shared" si="30"/>
        <v>Error?</v>
      </c>
    </row>
    <row r="2028" spans="1:4" x14ac:dyDescent="0.2">
      <c r="A2028" s="5">
        <v>1967</v>
      </c>
      <c r="B2028" s="138">
        <f>'Cap Outlay Deprec 26'!F10</f>
        <v>155296</v>
      </c>
      <c r="C2028" s="2" t="s">
        <v>594</v>
      </c>
      <c r="D2028" s="2" t="str">
        <f t="shared" si="30"/>
        <v>Error?</v>
      </c>
    </row>
    <row r="2029" spans="1:4" x14ac:dyDescent="0.2">
      <c r="A2029" s="5">
        <v>1968</v>
      </c>
      <c r="B2029" s="138">
        <f>'Cap Outlay Deprec 26'!F12</f>
        <v>592710</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3013790</v>
      </c>
      <c r="C2031" s="2" t="s">
        <v>594</v>
      </c>
      <c r="D2031" s="2" t="str">
        <f t="shared" si="30"/>
        <v>Error?</v>
      </c>
    </row>
    <row r="2032" spans="1:4" x14ac:dyDescent="0.2">
      <c r="A2032" s="10">
        <v>1971</v>
      </c>
      <c r="D2032" s="2" t="str">
        <f t="shared" si="30"/>
        <v>OK</v>
      </c>
    </row>
    <row r="2033" spans="1:4" x14ac:dyDescent="0.2">
      <c r="A2033" s="5">
        <v>1972</v>
      </c>
      <c r="B2033" s="138">
        <f>'Cap Outlay Deprec 26'!H8</f>
        <v>1355809</v>
      </c>
      <c r="D2033" s="2" t="str">
        <f t="shared" si="30"/>
        <v>Error?</v>
      </c>
    </row>
    <row r="2034" spans="1:4" x14ac:dyDescent="0.2">
      <c r="A2034" s="5">
        <v>1973</v>
      </c>
      <c r="B2034" s="138">
        <f>'Cap Outlay Deprec 26'!H10</f>
        <v>117764</v>
      </c>
      <c r="D2034" s="2" t="str">
        <f t="shared" si="30"/>
        <v>Error?</v>
      </c>
    </row>
    <row r="2035" spans="1:4" x14ac:dyDescent="0.2">
      <c r="A2035" s="5">
        <v>1974</v>
      </c>
      <c r="B2035" s="138">
        <f>'Cap Outlay Deprec 26'!H12</f>
        <v>417972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1891545</v>
      </c>
      <c r="C2037" s="2" t="s">
        <v>594</v>
      </c>
      <c r="D2037" s="2" t="str">
        <f t="shared" si="30"/>
        <v>Error?</v>
      </c>
    </row>
    <row r="2038" spans="1:4" x14ac:dyDescent="0.2">
      <c r="A2038" s="10">
        <v>1977</v>
      </c>
      <c r="D2038" s="2" t="str">
        <f t="shared" si="30"/>
        <v>OK</v>
      </c>
    </row>
    <row r="2039" spans="1:4" x14ac:dyDescent="0.2">
      <c r="A2039" s="5">
        <v>1978</v>
      </c>
      <c r="B2039" s="138">
        <f>'Cap Outlay Deprec 26'!I8</f>
        <v>44203</v>
      </c>
      <c r="D2039" s="2" t="str">
        <f t="shared" si="30"/>
        <v>Error?</v>
      </c>
    </row>
    <row r="2040" spans="1:4" x14ac:dyDescent="0.2">
      <c r="A2040" s="5">
        <v>1979</v>
      </c>
      <c r="B2040" s="138">
        <f>'Cap Outlay Deprec 26'!I10</f>
        <v>7765</v>
      </c>
      <c r="D2040" s="2" t="str">
        <f t="shared" si="30"/>
        <v>Error?</v>
      </c>
    </row>
    <row r="2041" spans="1:4" x14ac:dyDescent="0.2">
      <c r="A2041" s="5">
        <v>1980</v>
      </c>
      <c r="B2041" s="138">
        <f>'Cap Outlay Deprec 26'!I12</f>
        <v>59272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111240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1400012</v>
      </c>
      <c r="C2051" s="2" t="s">
        <v>594</v>
      </c>
      <c r="D2051" s="2" t="str">
        <f t="shared" si="31"/>
        <v>Error?</v>
      </c>
    </row>
    <row r="2052" spans="1:4" x14ac:dyDescent="0.2">
      <c r="A2052" s="5">
        <v>1991</v>
      </c>
      <c r="B2052" s="138">
        <f>'Cap Outlay Deprec 26'!K10</f>
        <v>125529</v>
      </c>
      <c r="C2052" s="2" t="s">
        <v>594</v>
      </c>
      <c r="D2052" s="2" t="str">
        <f t="shared" si="31"/>
        <v>Error?</v>
      </c>
    </row>
    <row r="2053" spans="1:4" x14ac:dyDescent="0.2">
      <c r="A2053" s="5">
        <v>1992</v>
      </c>
      <c r="B2053" s="138">
        <f>'Cap Outlay Deprec 26'!K12</f>
        <v>477244</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2002785</v>
      </c>
      <c r="C2055" s="2" t="s">
        <v>594</v>
      </c>
      <c r="D2055" s="2" t="str">
        <f t="shared" si="31"/>
        <v>Error?</v>
      </c>
    </row>
    <row r="2056" spans="1:4" x14ac:dyDescent="0.2">
      <c r="A2056" s="5">
        <v>1995</v>
      </c>
      <c r="B2056" s="138">
        <f>'Cap Outlay Deprec 26'!L5</f>
        <v>55659</v>
      </c>
      <c r="C2056" s="2" t="s">
        <v>594</v>
      </c>
      <c r="D2056" s="2" t="str">
        <f t="shared" si="31"/>
        <v>Error?</v>
      </c>
    </row>
    <row r="2057" spans="1:4" x14ac:dyDescent="0.2">
      <c r="A2057" s="5">
        <v>1996</v>
      </c>
      <c r="B2057" s="138">
        <f>'Cap Outlay Deprec 26'!L8</f>
        <v>810113</v>
      </c>
      <c r="C2057" s="2" t="s">
        <v>594</v>
      </c>
      <c r="D2057" s="2" t="str">
        <f t="shared" si="31"/>
        <v>Error?</v>
      </c>
    </row>
    <row r="2058" spans="1:4" x14ac:dyDescent="0.2">
      <c r="A2058" s="5">
        <v>1997</v>
      </c>
      <c r="B2058" s="138">
        <f>'Cap Outlay Deprec 26'!L10</f>
        <v>29767</v>
      </c>
      <c r="C2058" s="2" t="s">
        <v>594</v>
      </c>
      <c r="D2058" s="2" t="str">
        <f t="shared" si="31"/>
        <v>Error?</v>
      </c>
    </row>
    <row r="2059" spans="1:4" x14ac:dyDescent="0.2">
      <c r="A2059" s="5">
        <v>1998</v>
      </c>
      <c r="B2059" s="138">
        <f>'Cap Outlay Deprec 26'!L12</f>
        <v>115466</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1011005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4500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3901716</v>
      </c>
      <c r="C2551" s="2" t="s">
        <v>594</v>
      </c>
      <c r="D2551" s="2" t="str">
        <f t="shared" si="38"/>
        <v>Error?</v>
      </c>
    </row>
    <row r="2552" spans="1:4" x14ac:dyDescent="0.2">
      <c r="A2552" s="10">
        <v>2491</v>
      </c>
      <c r="D2552" s="2" t="str">
        <f t="shared" si="38"/>
        <v>OK</v>
      </c>
    </row>
    <row r="2553" spans="1:4" x14ac:dyDescent="0.2">
      <c r="A2553" s="5">
        <v>2492</v>
      </c>
      <c r="B2553" s="138">
        <f>'Acct Summary 7-8'!C6</f>
        <v>611633</v>
      </c>
      <c r="C2553" s="2" t="s">
        <v>594</v>
      </c>
      <c r="D2553" s="2" t="str">
        <f t="shared" si="38"/>
        <v>Error?</v>
      </c>
    </row>
    <row r="2554" spans="1:4" x14ac:dyDescent="0.2">
      <c r="A2554" s="5">
        <v>2493</v>
      </c>
      <c r="B2554" s="138">
        <f>'Acct Summary 7-8'!C7</f>
        <v>2682192</v>
      </c>
      <c r="C2554" s="2" t="s">
        <v>594</v>
      </c>
      <c r="D2554" s="2" t="str">
        <f t="shared" si="38"/>
        <v>Error?</v>
      </c>
    </row>
    <row r="2555" spans="1:4" x14ac:dyDescent="0.2">
      <c r="A2555" s="5">
        <v>2494</v>
      </c>
      <c r="B2555" s="138">
        <f>'Acct Summary 7-8'!C8</f>
        <v>10087442</v>
      </c>
      <c r="C2555" s="2" t="s">
        <v>594</v>
      </c>
      <c r="D2555" s="2" t="str">
        <f t="shared" si="38"/>
        <v>Error?</v>
      </c>
    </row>
    <row r="2556" spans="1:4" x14ac:dyDescent="0.2">
      <c r="A2556" s="5">
        <v>2495</v>
      </c>
      <c r="B2556" s="138">
        <f>'Acct Summary 7-8'!C12</f>
        <v>1412836</v>
      </c>
      <c r="C2556" s="2" t="s">
        <v>594</v>
      </c>
      <c r="D2556" s="2" t="str">
        <f t="shared" si="38"/>
        <v>Error?</v>
      </c>
    </row>
    <row r="2557" spans="1:4" x14ac:dyDescent="0.2">
      <c r="A2557" s="5">
        <v>2496</v>
      </c>
      <c r="B2557" s="138">
        <f>'Acct Summary 7-8'!C13</f>
        <v>3138266</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5237058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9788160</v>
      </c>
      <c r="C2561" s="2" t="s">
        <v>594</v>
      </c>
      <c r="D2561" s="2" t="str">
        <f t="shared" si="39"/>
        <v>Error?</v>
      </c>
    </row>
    <row r="2562" spans="1:4" x14ac:dyDescent="0.2">
      <c r="A2562" s="5">
        <v>2501</v>
      </c>
      <c r="B2562" s="138">
        <f>'Acct Summary 7-8'!C20</f>
        <v>299282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10885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10885</v>
      </c>
      <c r="C2595" s="2" t="s">
        <v>594</v>
      </c>
      <c r="D2595" s="2" t="str">
        <f t="shared" si="39"/>
        <v>Error?</v>
      </c>
    </row>
    <row r="2596" spans="1:4" x14ac:dyDescent="0.2">
      <c r="A2596" s="5">
        <v>2535</v>
      </c>
      <c r="B2596" s="138">
        <f>'Acct Summary 7-8'!F13</f>
        <v>11204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11204</v>
      </c>
      <c r="C2600" s="2" t="s">
        <v>594</v>
      </c>
      <c r="D2600" s="2" t="str">
        <f t="shared" si="39"/>
        <v>Error?</v>
      </c>
    </row>
    <row r="2601" spans="1:4" x14ac:dyDescent="0.2">
      <c r="A2601" s="5">
        <v>2540</v>
      </c>
      <c r="B2601" s="138">
        <f>'Acct Summary 7-8'!F20</f>
        <v>-319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4500</v>
      </c>
      <c r="C2789" s="2" t="s">
        <v>594</v>
      </c>
      <c r="D2789" s="2" t="str">
        <f t="shared" si="42"/>
        <v>Error?</v>
      </c>
    </row>
    <row r="2790" spans="1:4" x14ac:dyDescent="0.2">
      <c r="A2790" s="5">
        <v>2729</v>
      </c>
      <c r="B2790" s="138">
        <f>'Expenditures 15-22'!E102</f>
        <v>4500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4836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4836</v>
      </c>
      <c r="D2914" s="2" t="str">
        <f t="shared" si="44"/>
        <v>Error?</v>
      </c>
    </row>
    <row r="2915" spans="1:4" x14ac:dyDescent="0.2">
      <c r="A2915" s="10">
        <v>2854</v>
      </c>
      <c r="D2915" s="2" t="str">
        <f t="shared" si="44"/>
        <v>OK</v>
      </c>
    </row>
    <row r="2916" spans="1:4" x14ac:dyDescent="0.2">
      <c r="A2916" s="5">
        <v>2855</v>
      </c>
      <c r="B2916" s="138">
        <f>'Assets-Liab 5-6'!L34</f>
        <v>4836</v>
      </c>
      <c r="C2916" s="2" t="s">
        <v>594</v>
      </c>
      <c r="D2916" s="2" t="str">
        <f t="shared" si="44"/>
        <v>Error?</v>
      </c>
    </row>
    <row r="2917" spans="1:4" x14ac:dyDescent="0.2">
      <c r="A2917" s="5">
        <v>2856</v>
      </c>
      <c r="B2917" s="138">
        <f>'Assets-Liab 5-6'!L41</f>
        <v>4836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4500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4500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299282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-319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961424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232596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18145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7117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1798</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1221080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2891901</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613578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472037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4278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4836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25340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1078424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11165866</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10885</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1078424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10866584</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11204</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1087368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36035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397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287864</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192213</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96792</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3495296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3592088</v>
      </c>
      <c r="C5087" s="2" t="s">
        <v>594</v>
      </c>
      <c r="D5087" s="2" t="str">
        <f t="shared" si="78"/>
        <v>Error?</v>
      </c>
    </row>
    <row r="5088" spans="1:4" x14ac:dyDescent="0.2">
      <c r="A5088" s="5">
        <v>5027</v>
      </c>
      <c r="B5088" s="138">
        <f>'Revenues 9-14'!C65</f>
        <v>15291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15291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5131</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1342</v>
      </c>
      <c r="D5119" s="2" t="str">
        <f t="shared" ref="D5119:D5182" si="79">IF(ISBLANK(B5119),"OK",IF(A5119-B5119=0,"OK","Error?"))</f>
        <v>Error?</v>
      </c>
    </row>
    <row r="5120" spans="1:4" x14ac:dyDescent="0.2">
      <c r="A5120" s="5">
        <v>5059</v>
      </c>
      <c r="B5120" s="138">
        <f>'Revenues 9-14'!C108</f>
        <v>289206</v>
      </c>
      <c r="C5120" s="2" t="s">
        <v>594</v>
      </c>
      <c r="D5120" s="2" t="str">
        <f t="shared" si="79"/>
        <v>Error?</v>
      </c>
    </row>
    <row r="5121" spans="1:4" x14ac:dyDescent="0.2">
      <c r="A5121" s="5">
        <v>5060</v>
      </c>
      <c r="B5121" s="138">
        <f>'Revenues 9-14'!C109</f>
        <v>3901716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2891901</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2891901</v>
      </c>
      <c r="C5125" s="2" t="s">
        <v>594</v>
      </c>
      <c r="D5125" s="2" t="str">
        <f t="shared" si="79"/>
        <v>Error?</v>
      </c>
    </row>
    <row r="5126" spans="1:4" x14ac:dyDescent="0.2">
      <c r="A5126" s="5">
        <v>5065</v>
      </c>
      <c r="B5126" s="138">
        <f>'Revenues 9-14'!C117</f>
        <v>407593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407593</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203796</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203796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244</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204040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611633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20637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20637</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2432910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2432910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2682192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2682192</v>
      </c>
      <c r="C5326" s="2" t="s">
        <v>594</v>
      </c>
      <c r="D5326" s="2" t="str">
        <f t="shared" si="82"/>
        <v>Error?</v>
      </c>
    </row>
    <row r="5327" spans="1:4" x14ac:dyDescent="0.2">
      <c r="A5327" s="5">
        <v>5266</v>
      </c>
      <c r="B5327" s="138">
        <f>'Revenues 9-14'!C275</f>
        <v>10087442</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10885</v>
      </c>
      <c r="D5617" s="2" t="str">
        <f t="shared" si="86"/>
        <v>Error?</v>
      </c>
    </row>
    <row r="5618" spans="1:4" x14ac:dyDescent="0.2">
      <c r="A5618" s="5">
        <v>5557</v>
      </c>
      <c r="B5618" s="138">
        <f>'Revenues 9-14'!F154</f>
        <v>10885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10885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10885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10885</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5115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2335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299282</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-319</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0.489780755515479</v>
      </c>
      <c r="D6276" s="2" t="str">
        <f t="shared" si="97"/>
        <v>Error?</v>
      </c>
      <c r="E6276" s="2" t="s">
        <v>199</v>
      </c>
    </row>
    <row r="6277" spans="1:5" x14ac:dyDescent="0.2">
      <c r="A6277">
        <v>6216</v>
      </c>
      <c r="B6277" s="138">
        <f>'Acct Summary 7-8'!D83</f>
        <v>0</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-7.4567554932211316E-2</v>
      </c>
      <c r="D6279" s="2" t="str">
        <f t="shared" si="97"/>
        <v>Error?</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9300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9300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9300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5232558</v>
      </c>
      <c r="D6998" s="2" t="str">
        <f t="shared" si="108"/>
        <v>Error?</v>
      </c>
    </row>
    <row r="6999" spans="1:4" x14ac:dyDescent="0.2">
      <c r="A6999">
        <v>6938</v>
      </c>
      <c r="B6999" s="138">
        <f>'Expenditures 15-22'!K94</f>
        <v>5232558</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5232558</v>
      </c>
      <c r="D7012" s="2" t="str">
        <f t="shared" si="108"/>
        <v>Error?</v>
      </c>
    </row>
    <row r="7013" spans="1:4" x14ac:dyDescent="0.2">
      <c r="A7013">
        <v>6952</v>
      </c>
      <c r="B7013" s="138">
        <f>'Expenditures 15-22'!K100</f>
        <v>5232558</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9300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9300</v>
      </c>
      <c r="D7624" s="2" t="str">
        <f t="shared" si="124"/>
        <v>Error?</v>
      </c>
      <c r="E7624" s="2" t="s">
        <v>19</v>
      </c>
    </row>
    <row r="7625" spans="1:5" x14ac:dyDescent="0.2">
      <c r="A7625">
        <f t="shared" si="123"/>
        <v>7564</v>
      </c>
      <c r="B7625" s="138">
        <f>'Cap Outlay Deprec 26'!I17</f>
        <v>930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112170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11931</v>
      </c>
      <c r="D7797" s="2" t="str">
        <f t="shared" si="127"/>
        <v>Error?</v>
      </c>
      <c r="E7797" s="4" t="s">
        <v>2017</v>
      </c>
    </row>
    <row r="7798" spans="1:5" x14ac:dyDescent="0.2">
      <c r="A7798">
        <v>7737</v>
      </c>
      <c r="B7798" s="138">
        <f>'Contracts Paid in CY 29'!F141</f>
        <v>0</v>
      </c>
      <c r="D7798" s="2" t="str">
        <f t="shared" si="127"/>
        <v>Error?</v>
      </c>
      <c r="E7798" s="4" t="s">
        <v>2017</v>
      </c>
    </row>
    <row r="7799" spans="1:5" x14ac:dyDescent="0.2">
      <c r="A7799">
        <v>7738</v>
      </c>
      <c r="B7799" s="138">
        <f>'Contracts Paid in CY 29'!G141</f>
        <v>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537" t="s">
        <v>1253</v>
      </c>
      <c r="B2" s="2537"/>
      <c r="C2" s="2537"/>
      <c r="D2" s="2537"/>
      <c r="E2" s="2537"/>
      <c r="F2" s="2537"/>
      <c r="G2" s="2537"/>
      <c r="H2" s="2537"/>
      <c r="I2" s="2537"/>
      <c r="J2" s="2537"/>
      <c r="K2" s="2537"/>
      <c r="L2" s="2537"/>
    </row>
    <row r="3" spans="1:29" ht="13.5" customHeight="1" x14ac:dyDescent="0.2">
      <c r="A3" s="2523" t="s">
        <v>1252</v>
      </c>
      <c r="B3" s="2523"/>
      <c r="C3" s="2523"/>
      <c r="D3" s="2523"/>
      <c r="E3" s="2523"/>
      <c r="F3" s="2523"/>
      <c r="G3" s="2523"/>
      <c r="H3" s="2523"/>
      <c r="I3" s="2523"/>
      <c r="J3" s="2523"/>
      <c r="K3" s="2523"/>
      <c r="L3" s="2523"/>
    </row>
    <row r="4" spans="1:29" ht="13.5" customHeight="1" x14ac:dyDescent="0.2">
      <c r="A4" s="2537" t="s">
        <v>1799</v>
      </c>
      <c r="B4" s="2554"/>
      <c r="C4" s="2554"/>
      <c r="D4" s="2554"/>
      <c r="E4" s="2554"/>
      <c r="F4" s="2554"/>
      <c r="G4" s="2554"/>
      <c r="H4" s="2554"/>
      <c r="I4" s="2554"/>
      <c r="J4" s="2554"/>
      <c r="K4" s="2554"/>
      <c r="L4" s="2554"/>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517" t="str">
        <f>COVER!A17</f>
        <v>Tazewell-Mason Co Sp Ed Assoc</v>
      </c>
      <c r="B7" s="2518"/>
      <c r="C7" s="2518"/>
      <c r="D7" s="2555"/>
      <c r="E7" s="2556">
        <f>COVER!A13</f>
        <v>53090309061</v>
      </c>
      <c r="F7" s="2557"/>
      <c r="G7" s="2524" t="str">
        <f>COVER!T23</f>
        <v>066-005027</v>
      </c>
      <c r="H7" s="2525"/>
      <c r="I7" s="2525"/>
      <c r="J7" s="2525"/>
      <c r="K7" s="2525"/>
      <c r="L7" s="2526"/>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527"/>
      <c r="B9" s="2528"/>
      <c r="C9" s="2528"/>
      <c r="D9" s="2528"/>
      <c r="E9" s="2528"/>
      <c r="F9" s="2529"/>
      <c r="G9" s="2530" t="str">
        <f>COVER!T13</f>
        <v>Gorenz and Associates, Ltd.</v>
      </c>
      <c r="H9" s="2531"/>
      <c r="I9" s="2531"/>
      <c r="J9" s="2531"/>
      <c r="K9" s="2531"/>
      <c r="L9" s="2532"/>
    </row>
    <row r="10" spans="1:29" ht="13.5" customHeight="1" x14ac:dyDescent="0.2">
      <c r="A10" s="2514" t="str">
        <f>COVER!A38</f>
        <v>Kristina Neville</v>
      </c>
      <c r="B10" s="2515"/>
      <c r="C10" s="2515"/>
      <c r="D10" s="2515"/>
      <c r="E10" s="2515"/>
      <c r="F10" s="2516"/>
      <c r="G10" s="2530" t="str">
        <f>COVER!T17</f>
        <v>4200 N Knoxville Ave</v>
      </c>
      <c r="H10" s="2543"/>
      <c r="I10" s="2543"/>
      <c r="J10" s="2543"/>
      <c r="K10" s="2543"/>
      <c r="L10" s="2544"/>
    </row>
    <row r="11" spans="1:29" ht="13.5" customHeight="1" x14ac:dyDescent="0.2">
      <c r="A11" s="1183" t="s">
        <v>1599</v>
      </c>
      <c r="B11" s="1184"/>
      <c r="C11" s="1185"/>
      <c r="D11" s="1190"/>
      <c r="E11" s="1185"/>
      <c r="F11" s="1189"/>
      <c r="G11" s="2530" t="str">
        <f>COVER!T19</f>
        <v>Peoria</v>
      </c>
      <c r="H11" s="2543"/>
      <c r="I11" s="2543"/>
      <c r="J11" s="2543"/>
      <c r="K11" s="2543"/>
      <c r="L11" s="2544"/>
    </row>
    <row r="12" spans="1:29" ht="13.5" customHeight="1" x14ac:dyDescent="0.2">
      <c r="A12" s="2548" t="s">
        <v>1598</v>
      </c>
      <c r="B12" s="2549"/>
      <c r="C12" s="2549"/>
      <c r="D12" s="2549"/>
      <c r="E12" s="2549"/>
      <c r="F12" s="2550"/>
      <c r="G12" s="2545"/>
      <c r="H12" s="2546"/>
      <c r="I12" s="2546"/>
      <c r="J12" s="2546"/>
      <c r="K12" s="2546"/>
      <c r="L12" s="2547"/>
    </row>
    <row r="13" spans="1:29" ht="13.5" customHeight="1" x14ac:dyDescent="0.2">
      <c r="A13" s="2530"/>
      <c r="B13" s="2543"/>
      <c r="C13" s="2543"/>
      <c r="D13" s="2543"/>
      <c r="E13" s="2543"/>
      <c r="F13" s="2544"/>
      <c r="G13" s="2538" t="s">
        <v>1600</v>
      </c>
      <c r="H13" s="2539"/>
      <c r="I13" s="2551" t="str">
        <f>COVER!T25</f>
        <v>tpeffer@gorenzcpa.com</v>
      </c>
      <c r="J13" s="2552"/>
      <c r="K13" s="2552"/>
      <c r="L13" s="2553"/>
    </row>
    <row r="14" spans="1:29" ht="13.5" customHeight="1" x14ac:dyDescent="0.2">
      <c r="A14" s="2530" t="str">
        <f>COVER!A19</f>
        <v>300 Cedar St.</v>
      </c>
      <c r="B14" s="2543"/>
      <c r="C14" s="2543"/>
      <c r="D14" s="2543"/>
      <c r="E14" s="2543"/>
      <c r="F14" s="2544"/>
      <c r="G14" s="1194" t="s">
        <v>1247</v>
      </c>
      <c r="H14" s="1192"/>
      <c r="I14" s="1192"/>
      <c r="J14" s="1192"/>
      <c r="K14" s="1192"/>
      <c r="L14" s="1193"/>
    </row>
    <row r="15" spans="1:29" ht="13.5" customHeight="1" x14ac:dyDescent="0.2">
      <c r="A15" s="2530" t="str">
        <f>COVER!A21</f>
        <v>Pekin</v>
      </c>
      <c r="B15" s="2543"/>
      <c r="C15" s="2543"/>
      <c r="D15" s="2543"/>
      <c r="E15" s="2543"/>
      <c r="F15" s="2544"/>
      <c r="G15" s="2540" t="str">
        <f>COVER!T15</f>
        <v>Thomas R. Peffer, CPA</v>
      </c>
      <c r="H15" s="2541"/>
      <c r="I15" s="2541"/>
      <c r="J15" s="2541"/>
      <c r="K15" s="2541"/>
      <c r="L15" s="2542"/>
    </row>
    <row r="16" spans="1:29" ht="12.2" customHeight="1" x14ac:dyDescent="0.2">
      <c r="A16" s="2520">
        <f>COVER!A25</f>
        <v>61554</v>
      </c>
      <c r="B16" s="2521"/>
      <c r="C16" s="2521"/>
      <c r="D16" s="2521"/>
      <c r="E16" s="2521"/>
      <c r="F16" s="2522"/>
      <c r="G16" s="2533"/>
      <c r="H16" s="2534"/>
      <c r="I16" s="2534"/>
      <c r="J16" s="2534"/>
      <c r="K16" s="2534"/>
      <c r="L16" s="2535"/>
    </row>
    <row r="17" spans="1:13" ht="12.2" customHeight="1" x14ac:dyDescent="0.2">
      <c r="A17" s="2536"/>
      <c r="B17" s="2521"/>
      <c r="C17" s="2521"/>
      <c r="D17" s="2521"/>
      <c r="E17" s="2521"/>
      <c r="F17" s="2522"/>
      <c r="G17" s="1194" t="s">
        <v>1246</v>
      </c>
      <c r="H17" s="1192"/>
      <c r="I17" s="1192"/>
      <c r="J17" s="1192"/>
      <c r="K17" s="1196" t="s">
        <v>1245</v>
      </c>
      <c r="L17" s="1189"/>
      <c r="M17" s="1182"/>
    </row>
    <row r="18" spans="1:13" ht="12.2" customHeight="1" x14ac:dyDescent="0.2">
      <c r="A18" s="2514"/>
      <c r="B18" s="2515"/>
      <c r="C18" s="2515"/>
      <c r="D18" s="2515"/>
      <c r="E18" s="2515"/>
      <c r="F18" s="2516"/>
      <c r="G18" s="2517" t="str">
        <f>COVER!T21</f>
        <v>309-685-7621</v>
      </c>
      <c r="H18" s="2518"/>
      <c r="I18" s="2518"/>
      <c r="J18" s="2518"/>
      <c r="K18" s="2517" t="str">
        <f>COVER!X21</f>
        <v>309-685-4758</v>
      </c>
      <c r="L18" s="2519"/>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t="s">
        <v>2101</v>
      </c>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t="s">
        <v>2101</v>
      </c>
      <c r="C26" s="1201" t="s">
        <v>1801</v>
      </c>
    </row>
    <row r="27" spans="1:13" s="1197" customFormat="1" ht="9" customHeight="1" x14ac:dyDescent="0.2">
      <c r="B27" s="1202"/>
      <c r="C27" s="1201"/>
    </row>
    <row r="28" spans="1:13" s="1197" customFormat="1" ht="12.2" customHeight="1" x14ac:dyDescent="0.2">
      <c r="A28" s="1204"/>
      <c r="B28" s="1200" t="s">
        <v>2101</v>
      </c>
      <c r="C28" s="1201" t="s">
        <v>1802</v>
      </c>
    </row>
    <row r="29" spans="1:13" s="1197" customFormat="1" ht="9" customHeight="1" x14ac:dyDescent="0.2">
      <c r="A29" s="1204"/>
      <c r="B29" s="1202"/>
      <c r="C29" s="1201"/>
    </row>
    <row r="30" spans="1:13" s="1197" customFormat="1" ht="12.2" customHeight="1" x14ac:dyDescent="0.2">
      <c r="B30" s="1200" t="s">
        <v>2101</v>
      </c>
      <c r="C30" s="1201" t="s">
        <v>1643</v>
      </c>
      <c r="D30" s="1195"/>
      <c r="E30" s="1195"/>
    </row>
    <row r="31" spans="1:13" s="1197" customFormat="1" ht="9" customHeight="1" x14ac:dyDescent="0.2">
      <c r="B31" s="1202"/>
      <c r="C31" s="1201"/>
      <c r="D31" s="1195"/>
      <c r="E31" s="1195"/>
    </row>
    <row r="32" spans="1:13" s="1197" customFormat="1" ht="12.2" customHeight="1" x14ac:dyDescent="0.2">
      <c r="B32" s="1200" t="s">
        <v>2101</v>
      </c>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t="s">
        <v>2101</v>
      </c>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t="s">
        <v>2101</v>
      </c>
      <c r="C38" s="1201" t="s">
        <v>1647</v>
      </c>
    </row>
    <row r="39" spans="1:8" ht="9" customHeight="1" x14ac:dyDescent="0.2">
      <c r="B39" s="1202"/>
      <c r="C39" s="1205"/>
    </row>
    <row r="40" spans="1:8" s="1197" customFormat="1" ht="13.5" customHeight="1" x14ac:dyDescent="0.2">
      <c r="B40" s="1200" t="s">
        <v>2101</v>
      </c>
      <c r="C40" s="1201" t="s">
        <v>1648</v>
      </c>
    </row>
    <row r="41" spans="1:8" ht="9" customHeight="1" x14ac:dyDescent="0.2">
      <c r="A41" s="1206"/>
      <c r="B41" s="1202"/>
      <c r="C41" s="1205"/>
    </row>
    <row r="42" spans="1:8" s="1197" customFormat="1" ht="13.5" customHeight="1" x14ac:dyDescent="0.2">
      <c r="B42" s="1200" t="s">
        <v>2101</v>
      </c>
      <c r="C42" s="1201" t="s">
        <v>1944</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t="s">
        <v>2101</v>
      </c>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558" t="str">
        <f>'Single Audit Cover'!A7</f>
        <v>Tazewell-Mason Co Sp Ed Assoc</v>
      </c>
      <c r="B1" s="2554"/>
      <c r="C1" s="2554"/>
      <c r="D1" s="2554"/>
    </row>
    <row r="2" spans="1:11" s="1213" customFormat="1" ht="12.75" x14ac:dyDescent="0.2">
      <c r="A2" s="2559">
        <f>'Single Audit Cover'!E7</f>
        <v>53090309061</v>
      </c>
      <c r="B2" s="2560"/>
      <c r="C2" s="2560"/>
      <c r="D2" s="2560"/>
    </row>
    <row r="3" spans="1:11" s="1213" customFormat="1" ht="12.75" x14ac:dyDescent="0.2">
      <c r="A3" s="2558" t="s">
        <v>1593</v>
      </c>
      <c r="B3" s="2554"/>
      <c r="C3" s="2554"/>
      <c r="D3" s="2554"/>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1945</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562" t="str">
        <f>'Single Audit Cover'!A7</f>
        <v>Tazewell-Mason Co Sp Ed Assoc</v>
      </c>
      <c r="B1" s="2562"/>
      <c r="C1" s="2562"/>
      <c r="D1" s="2562"/>
      <c r="E1" s="2562"/>
    </row>
    <row r="2" spans="1:5" x14ac:dyDescent="0.2">
      <c r="A2" s="2563">
        <f>'Single Audit Cover'!E7</f>
        <v>53090309061</v>
      </c>
      <c r="B2" s="2563"/>
      <c r="C2" s="2563"/>
      <c r="D2" s="2563"/>
      <c r="E2" s="2563"/>
    </row>
    <row r="3" spans="1:5" ht="4.5" customHeight="1" x14ac:dyDescent="0.2"/>
    <row r="4" spans="1:5" x14ac:dyDescent="0.2">
      <c r="A4" s="2562" t="s">
        <v>1307</v>
      </c>
      <c r="B4" s="2562"/>
      <c r="C4" s="2562"/>
      <c r="D4" s="2562"/>
      <c r="E4" s="2562"/>
    </row>
    <row r="5" spans="1:5" x14ac:dyDescent="0.2">
      <c r="A5" s="2565" t="str">
        <f>'Single Audit Cover'!A4</f>
        <v>Year Ending June 30, 2018</v>
      </c>
      <c r="B5" s="2565"/>
      <c r="C5" s="2565"/>
      <c r="D5" s="2565"/>
      <c r="E5" s="2565"/>
    </row>
    <row r="6" spans="1:5" x14ac:dyDescent="0.2">
      <c r="A6" s="2562" t="s">
        <v>1306</v>
      </c>
      <c r="B6" s="2562"/>
      <c r="C6" s="2562"/>
      <c r="D6" s="2562"/>
      <c r="E6" s="2562"/>
    </row>
    <row r="8" spans="1:5" x14ac:dyDescent="0.2">
      <c r="A8" s="1258" t="s">
        <v>1305</v>
      </c>
    </row>
    <row r="10" spans="1:5" x14ac:dyDescent="0.2">
      <c r="A10" s="1259" t="s">
        <v>1304</v>
      </c>
      <c r="B10" s="1260" t="s">
        <v>1303</v>
      </c>
      <c r="C10" s="1260"/>
      <c r="D10" s="1261">
        <f>SUM('Acct Summary 7-8'!C7:K7)</f>
        <v>2682192</v>
      </c>
    </row>
    <row r="11" spans="1:5" ht="18" customHeight="1" x14ac:dyDescent="0.2">
      <c r="A11" s="1259" t="s">
        <v>1302</v>
      </c>
      <c r="B11" s="1260"/>
      <c r="C11" s="1260"/>
    </row>
    <row r="12" spans="1:5" x14ac:dyDescent="0.2">
      <c r="A12" s="1259" t="s">
        <v>1301</v>
      </c>
      <c r="B12" s="1260" t="s">
        <v>1300</v>
      </c>
      <c r="C12" s="1260"/>
      <c r="D12" s="1262">
        <f>SUM('Revenues 9-14'!C112:D112,'Revenues 9-14'!F112:G112)</f>
        <v>2891901</v>
      </c>
    </row>
    <row r="13" spans="1:5" x14ac:dyDescent="0.2">
      <c r="A13" s="1259" t="s">
        <v>1299</v>
      </c>
      <c r="B13" s="1260"/>
      <c r="C13" s="1260"/>
    </row>
    <row r="14" spans="1:5" x14ac:dyDescent="0.2">
      <c r="A14" s="1259" t="s">
        <v>1830</v>
      </c>
      <c r="B14" s="1260"/>
      <c r="C14" s="1260"/>
      <c r="D14" s="1262">
        <f>'ICR Computation 30'!E11</f>
        <v>2335</v>
      </c>
    </row>
    <row r="15" spans="1:5" x14ac:dyDescent="0.2">
      <c r="A15" s="1259"/>
      <c r="B15" s="1260"/>
      <c r="C15" s="1260"/>
    </row>
    <row r="16" spans="1:5" x14ac:dyDescent="0.2">
      <c r="A16" s="1259" t="s">
        <v>1953</v>
      </c>
      <c r="B16" s="1260"/>
      <c r="C16" s="1260"/>
    </row>
    <row r="17" spans="1:4" x14ac:dyDescent="0.2">
      <c r="A17" s="1259" t="s">
        <v>1601</v>
      </c>
      <c r="B17" s="1260" t="s">
        <v>1298</v>
      </c>
      <c r="C17" s="1260"/>
      <c r="D17" s="1262">
        <f>-SUM('Revenues 9-14'!C271:D271,'Revenues 9-14'!F271:G271)</f>
        <v>-397</v>
      </c>
    </row>
    <row r="19" spans="1:4" ht="13.5" thickBot="1" x14ac:dyDescent="0.25">
      <c r="A19" s="1263" t="s">
        <v>1297</v>
      </c>
      <c r="D19" s="1264">
        <f>SUM(D10:D17)</f>
        <v>5576031</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564" t="s">
        <v>2102</v>
      </c>
      <c r="B24" s="2564"/>
      <c r="D24" s="1266">
        <v>-2335</v>
      </c>
    </row>
    <row r="25" spans="1:4" x14ac:dyDescent="0.2">
      <c r="A25" s="2561"/>
      <c r="B25" s="2561"/>
      <c r="D25" s="1266"/>
    </row>
    <row r="26" spans="1:4" x14ac:dyDescent="0.2">
      <c r="A26" s="2561"/>
      <c r="B26" s="2561"/>
      <c r="D26" s="1266"/>
    </row>
    <row r="27" spans="1:4" x14ac:dyDescent="0.2">
      <c r="A27" s="2561"/>
      <c r="B27" s="2561"/>
      <c r="D27" s="1266"/>
    </row>
    <row r="28" spans="1:4" x14ac:dyDescent="0.2">
      <c r="A28" s="2561"/>
      <c r="B28" s="2561"/>
      <c r="D28" s="1266"/>
    </row>
    <row r="29" spans="1:4" x14ac:dyDescent="0.2">
      <c r="A29" s="2561"/>
      <c r="B29" s="2561"/>
      <c r="D29" s="1266"/>
    </row>
    <row r="30" spans="1:4" x14ac:dyDescent="0.2">
      <c r="A30" s="2561"/>
      <c r="B30" s="2561"/>
      <c r="D30" s="1266"/>
    </row>
    <row r="32" spans="1:4" x14ac:dyDescent="0.2">
      <c r="A32" s="1258" t="s">
        <v>1295</v>
      </c>
      <c r="D32" s="1261">
        <f>SUM(D19:D30)</f>
        <v>5573696</v>
      </c>
    </row>
    <row r="33" spans="1:4" x14ac:dyDescent="0.2">
      <c r="D33" s="1267"/>
    </row>
    <row r="34" spans="1:4" x14ac:dyDescent="0.2">
      <c r="A34" s="317" t="s">
        <v>1294</v>
      </c>
    </row>
    <row r="35" spans="1:4" x14ac:dyDescent="0.2">
      <c r="A35" s="317" t="s">
        <v>1293</v>
      </c>
      <c r="B35" s="1256" t="s">
        <v>1292</v>
      </c>
      <c r="D35" s="1268">
        <v>5573696</v>
      </c>
    </row>
    <row r="37" spans="1:4" x14ac:dyDescent="0.2">
      <c r="A37" s="1258" t="s">
        <v>1291</v>
      </c>
    </row>
    <row r="39" spans="1:4" ht="13.35" customHeight="1" x14ac:dyDescent="0.2">
      <c r="A39" s="1265" t="s">
        <v>1290</v>
      </c>
    </row>
    <row r="40" spans="1:4" x14ac:dyDescent="0.2">
      <c r="A40" s="2561"/>
      <c r="B40" s="2561"/>
      <c r="D40" s="1266"/>
    </row>
    <row r="41" spans="1:4" x14ac:dyDescent="0.2">
      <c r="A41" s="2561"/>
      <c r="B41" s="2561"/>
      <c r="D41" s="1269"/>
    </row>
    <row r="42" spans="1:4" x14ac:dyDescent="0.2">
      <c r="A42" s="2561"/>
      <c r="B42" s="2561"/>
      <c r="D42" s="1269"/>
    </row>
    <row r="43" spans="1:4" x14ac:dyDescent="0.2">
      <c r="A43" s="2561"/>
      <c r="B43" s="2561"/>
      <c r="D43" s="1269"/>
    </row>
    <row r="44" spans="1:4" x14ac:dyDescent="0.2">
      <c r="A44" s="2561"/>
      <c r="B44" s="2561"/>
      <c r="D44" s="1269"/>
    </row>
    <row r="45" spans="1:4" x14ac:dyDescent="0.2">
      <c r="A45" s="2561"/>
      <c r="B45" s="2561"/>
      <c r="D45" s="1269"/>
    </row>
    <row r="47" spans="1:4" x14ac:dyDescent="0.2">
      <c r="B47" s="1270" t="s">
        <v>1289</v>
      </c>
      <c r="C47" s="1270"/>
      <c r="D47" s="1271">
        <f>SUM(D35:D45)</f>
        <v>5573696</v>
      </c>
    </row>
    <row r="49" spans="2:4" x14ac:dyDescent="0.2">
      <c r="B49" s="1270" t="s">
        <v>1288</v>
      </c>
      <c r="C49" s="1270"/>
      <c r="D49" s="1271">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523" t="str">
        <f>'Single Audit Cover'!A7</f>
        <v>Tazewell-Mason Co Sp Ed Assoc</v>
      </c>
      <c r="C1" s="2566"/>
      <c r="D1" s="2566"/>
      <c r="E1" s="2566"/>
      <c r="F1" s="2566"/>
      <c r="G1" s="2566"/>
      <c r="H1" s="2566"/>
      <c r="I1" s="2566"/>
      <c r="J1" s="2566"/>
      <c r="K1" s="2566"/>
      <c r="L1" s="2566"/>
      <c r="M1" s="2566"/>
    </row>
    <row r="2" spans="2:14" ht="15" x14ac:dyDescent="0.2">
      <c r="B2" s="2567">
        <f>'Single Audit Cover'!E7</f>
        <v>53090309061</v>
      </c>
      <c r="C2" s="2567"/>
      <c r="D2" s="2567"/>
      <c r="E2" s="2567"/>
      <c r="F2" s="2567"/>
      <c r="G2" s="2567"/>
      <c r="H2" s="2567"/>
      <c r="I2" s="2567"/>
      <c r="J2" s="2567"/>
      <c r="K2" s="2567"/>
      <c r="L2" s="2567"/>
      <c r="M2" s="2567"/>
      <c r="N2" s="1300"/>
    </row>
    <row r="3" spans="2:14" ht="15" x14ac:dyDescent="0.2">
      <c r="B3" s="2568" t="s">
        <v>1281</v>
      </c>
      <c r="C3" s="2568"/>
      <c r="D3" s="2568"/>
      <c r="E3" s="2568"/>
      <c r="F3" s="2568"/>
      <c r="G3" s="2568"/>
      <c r="H3" s="2568"/>
      <c r="I3" s="2568"/>
      <c r="J3" s="2568"/>
      <c r="K3" s="2568"/>
      <c r="L3" s="2568"/>
      <c r="M3" s="2568"/>
      <c r="N3" s="1300"/>
    </row>
    <row r="4" spans="2:14" ht="15" x14ac:dyDescent="0.2">
      <c r="B4" s="2569" t="str">
        <f>'Single Audit Cover'!A4</f>
        <v>Year Ending June 30, 2018</v>
      </c>
      <c r="C4" s="2569"/>
      <c r="D4" s="2569"/>
      <c r="E4" s="2569"/>
      <c r="F4" s="2569"/>
      <c r="G4" s="2569"/>
      <c r="H4" s="2569"/>
      <c r="I4" s="2569"/>
      <c r="J4" s="2569"/>
      <c r="K4" s="2569"/>
      <c r="L4" s="2569"/>
      <c r="M4" s="2569"/>
      <c r="N4" s="1300"/>
    </row>
    <row r="6" spans="2:14" x14ac:dyDescent="0.2">
      <c r="B6" s="1301"/>
      <c r="C6" s="1302"/>
      <c r="D6" s="1303" t="s">
        <v>1327</v>
      </c>
      <c r="E6" s="1304" t="s">
        <v>548</v>
      </c>
      <c r="F6" s="1305"/>
      <c r="G6" s="1306" t="s">
        <v>1834</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1947</v>
      </c>
      <c r="K8" s="1317" t="s">
        <v>1323</v>
      </c>
      <c r="L8" s="1318" t="s">
        <v>1319</v>
      </c>
      <c r="M8" s="1319" t="s">
        <v>30</v>
      </c>
    </row>
    <row r="9" spans="2:14" ht="14.25" x14ac:dyDescent="0.2">
      <c r="B9" s="1323" t="s">
        <v>1321</v>
      </c>
      <c r="C9" s="1311" t="s">
        <v>1835</v>
      </c>
      <c r="D9" s="1312" t="s">
        <v>1836</v>
      </c>
      <c r="E9" s="1320" t="s">
        <v>1663</v>
      </c>
      <c r="F9" s="1321" t="s">
        <v>1947</v>
      </c>
      <c r="G9" s="1322" t="s">
        <v>1663</v>
      </c>
      <c r="H9" s="1315" t="s">
        <v>1664</v>
      </c>
      <c r="I9" s="1317" t="s">
        <v>1947</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c r="C12" s="1339"/>
      <c r="D12" s="1340"/>
      <c r="E12" s="1341"/>
      <c r="F12" s="1341"/>
      <c r="G12" s="1341"/>
      <c r="H12" s="1341"/>
      <c r="I12" s="1341"/>
      <c r="J12" s="1341"/>
      <c r="K12" s="1341"/>
      <c r="L12" s="1338">
        <f t="shared" ref="L12:L27" si="0">+G12+I12+K12</f>
        <v>0</v>
      </c>
      <c r="M12" s="1341"/>
    </row>
    <row r="13" spans="2:14" ht="20.100000000000001" customHeight="1" x14ac:dyDescent="0.2">
      <c r="B13" s="1335" t="s">
        <v>2103</v>
      </c>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1837</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1948</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1838</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1839</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1840</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1841</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M104"/>
  <sheetViews>
    <sheetView showGridLines="0" topLeftCell="A4" zoomScaleNormal="100" zoomScaleSheetLayoutView="100" workbookViewId="0">
      <selection activeCell="A4" sqref="A4:S4"/>
    </sheetView>
  </sheetViews>
  <sheetFormatPr defaultColWidth="16.7109375" defaultRowHeight="12.75" x14ac:dyDescent="0.2"/>
  <cols>
    <col min="1" max="1" width="6.5703125" style="1957" customWidth="1"/>
    <col min="2" max="2" width="55" style="1958" customWidth="1"/>
    <col min="3" max="3" width="11" style="1958" customWidth="1"/>
    <col min="4" max="4" width="1.85546875" style="1958" customWidth="1"/>
    <col min="5" max="5" width="13.42578125" style="1958" customWidth="1"/>
    <col min="6" max="6" width="6.42578125" style="1959" customWidth="1"/>
    <col min="7" max="7" width="14" style="1958" customWidth="1"/>
    <col min="8" max="8" width="1.85546875" style="1958" customWidth="1"/>
    <col min="9" max="9" width="13.5703125" style="1958" customWidth="1"/>
    <col min="10" max="10" width="3.85546875" style="1959" customWidth="1"/>
    <col min="11" max="11" width="13.140625" style="1958" bestFit="1" customWidth="1"/>
    <col min="12" max="12" width="3.7109375" style="1958" customWidth="1"/>
    <col min="13" max="13" width="13.7109375" style="1958" customWidth="1"/>
    <col min="14" max="14" width="5.28515625" style="1958" customWidth="1"/>
    <col min="15" max="15" width="11" style="1958" customWidth="1"/>
    <col min="16" max="16" width="5.28515625" style="1959" customWidth="1"/>
    <col min="17" max="17" width="15.85546875" style="1958" customWidth="1"/>
    <col min="18" max="18" width="6.140625" style="1958" customWidth="1"/>
    <col min="19" max="19" width="13.85546875" style="1959" customWidth="1"/>
    <col min="20" max="256" width="16.7109375" style="1958"/>
    <col min="257" max="257" width="6.5703125" style="1958" customWidth="1"/>
    <col min="258" max="258" width="55" style="1958" customWidth="1"/>
    <col min="259" max="259" width="11" style="1958" customWidth="1"/>
    <col min="260" max="260" width="1.85546875" style="1958" customWidth="1"/>
    <col min="261" max="261" width="13.42578125" style="1958" customWidth="1"/>
    <col min="262" max="262" width="6.42578125" style="1958" customWidth="1"/>
    <col min="263" max="263" width="14" style="1958" customWidth="1"/>
    <col min="264" max="264" width="1.85546875" style="1958" customWidth="1"/>
    <col min="265" max="265" width="13.5703125" style="1958" customWidth="1"/>
    <col min="266" max="266" width="3.85546875" style="1958" customWidth="1"/>
    <col min="267" max="267" width="13.140625" style="1958" bestFit="1" customWidth="1"/>
    <col min="268" max="268" width="3.7109375" style="1958" customWidth="1"/>
    <col min="269" max="269" width="13.7109375" style="1958" customWidth="1"/>
    <col min="270" max="270" width="5.28515625" style="1958" customWidth="1"/>
    <col min="271" max="271" width="11" style="1958" customWidth="1"/>
    <col min="272" max="272" width="5.28515625" style="1958" customWidth="1"/>
    <col min="273" max="273" width="15.85546875" style="1958" customWidth="1"/>
    <col min="274" max="274" width="6.140625" style="1958" customWidth="1"/>
    <col min="275" max="275" width="13.85546875" style="1958" customWidth="1"/>
    <col min="276" max="512" width="16.7109375" style="1958"/>
    <col min="513" max="513" width="6.5703125" style="1958" customWidth="1"/>
    <col min="514" max="514" width="55" style="1958" customWidth="1"/>
    <col min="515" max="515" width="11" style="1958" customWidth="1"/>
    <col min="516" max="516" width="1.85546875" style="1958" customWidth="1"/>
    <col min="517" max="517" width="13.42578125" style="1958" customWidth="1"/>
    <col min="518" max="518" width="6.42578125" style="1958" customWidth="1"/>
    <col min="519" max="519" width="14" style="1958" customWidth="1"/>
    <col min="520" max="520" width="1.85546875" style="1958" customWidth="1"/>
    <col min="521" max="521" width="13.5703125" style="1958" customWidth="1"/>
    <col min="522" max="522" width="3.85546875" style="1958" customWidth="1"/>
    <col min="523" max="523" width="13.140625" style="1958" bestFit="1" customWidth="1"/>
    <col min="524" max="524" width="3.7109375" style="1958" customWidth="1"/>
    <col min="525" max="525" width="13.7109375" style="1958" customWidth="1"/>
    <col min="526" max="526" width="5.28515625" style="1958" customWidth="1"/>
    <col min="527" max="527" width="11" style="1958" customWidth="1"/>
    <col min="528" max="528" width="5.28515625" style="1958" customWidth="1"/>
    <col min="529" max="529" width="15.85546875" style="1958" customWidth="1"/>
    <col min="530" max="530" width="6.140625" style="1958" customWidth="1"/>
    <col min="531" max="531" width="13.85546875" style="1958" customWidth="1"/>
    <col min="532" max="768" width="16.7109375" style="1958"/>
    <col min="769" max="769" width="6.5703125" style="1958" customWidth="1"/>
    <col min="770" max="770" width="55" style="1958" customWidth="1"/>
    <col min="771" max="771" width="11" style="1958" customWidth="1"/>
    <col min="772" max="772" width="1.85546875" style="1958" customWidth="1"/>
    <col min="773" max="773" width="13.42578125" style="1958" customWidth="1"/>
    <col min="774" max="774" width="6.42578125" style="1958" customWidth="1"/>
    <col min="775" max="775" width="14" style="1958" customWidth="1"/>
    <col min="776" max="776" width="1.85546875" style="1958" customWidth="1"/>
    <col min="777" max="777" width="13.5703125" style="1958" customWidth="1"/>
    <col min="778" max="778" width="3.85546875" style="1958" customWidth="1"/>
    <col min="779" max="779" width="13.140625" style="1958" bestFit="1" customWidth="1"/>
    <col min="780" max="780" width="3.7109375" style="1958" customWidth="1"/>
    <col min="781" max="781" width="13.7109375" style="1958" customWidth="1"/>
    <col min="782" max="782" width="5.28515625" style="1958" customWidth="1"/>
    <col min="783" max="783" width="11" style="1958" customWidth="1"/>
    <col min="784" max="784" width="5.28515625" style="1958" customWidth="1"/>
    <col min="785" max="785" width="15.85546875" style="1958" customWidth="1"/>
    <col min="786" max="786" width="6.140625" style="1958" customWidth="1"/>
    <col min="787" max="787" width="13.85546875" style="1958" customWidth="1"/>
    <col min="788" max="1024" width="16.7109375" style="1958"/>
    <col min="1025" max="1025" width="6.5703125" style="1958" customWidth="1"/>
    <col min="1026" max="1026" width="55" style="1958" customWidth="1"/>
    <col min="1027" max="1027" width="11" style="1958" customWidth="1"/>
    <col min="1028" max="1028" width="1.85546875" style="1958" customWidth="1"/>
    <col min="1029" max="1029" width="13.42578125" style="1958" customWidth="1"/>
    <col min="1030" max="1030" width="6.42578125" style="1958" customWidth="1"/>
    <col min="1031" max="1031" width="14" style="1958" customWidth="1"/>
    <col min="1032" max="1032" width="1.85546875" style="1958" customWidth="1"/>
    <col min="1033" max="1033" width="13.5703125" style="1958" customWidth="1"/>
    <col min="1034" max="1034" width="3.85546875" style="1958" customWidth="1"/>
    <col min="1035" max="1035" width="13.140625" style="1958" bestFit="1" customWidth="1"/>
    <col min="1036" max="1036" width="3.7109375" style="1958" customWidth="1"/>
    <col min="1037" max="1037" width="13.7109375" style="1958" customWidth="1"/>
    <col min="1038" max="1038" width="5.28515625" style="1958" customWidth="1"/>
    <col min="1039" max="1039" width="11" style="1958" customWidth="1"/>
    <col min="1040" max="1040" width="5.28515625" style="1958" customWidth="1"/>
    <col min="1041" max="1041" width="15.85546875" style="1958" customWidth="1"/>
    <col min="1042" max="1042" width="6.140625" style="1958" customWidth="1"/>
    <col min="1043" max="1043" width="13.85546875" style="1958" customWidth="1"/>
    <col min="1044" max="1280" width="16.7109375" style="1958"/>
    <col min="1281" max="1281" width="6.5703125" style="1958" customWidth="1"/>
    <col min="1282" max="1282" width="55" style="1958" customWidth="1"/>
    <col min="1283" max="1283" width="11" style="1958" customWidth="1"/>
    <col min="1284" max="1284" width="1.85546875" style="1958" customWidth="1"/>
    <col min="1285" max="1285" width="13.42578125" style="1958" customWidth="1"/>
    <col min="1286" max="1286" width="6.42578125" style="1958" customWidth="1"/>
    <col min="1287" max="1287" width="14" style="1958" customWidth="1"/>
    <col min="1288" max="1288" width="1.85546875" style="1958" customWidth="1"/>
    <col min="1289" max="1289" width="13.5703125" style="1958" customWidth="1"/>
    <col min="1290" max="1290" width="3.85546875" style="1958" customWidth="1"/>
    <col min="1291" max="1291" width="13.140625" style="1958" bestFit="1" customWidth="1"/>
    <col min="1292" max="1292" width="3.7109375" style="1958" customWidth="1"/>
    <col min="1293" max="1293" width="13.7109375" style="1958" customWidth="1"/>
    <col min="1294" max="1294" width="5.28515625" style="1958" customWidth="1"/>
    <col min="1295" max="1295" width="11" style="1958" customWidth="1"/>
    <col min="1296" max="1296" width="5.28515625" style="1958" customWidth="1"/>
    <col min="1297" max="1297" width="15.85546875" style="1958" customWidth="1"/>
    <col min="1298" max="1298" width="6.140625" style="1958" customWidth="1"/>
    <col min="1299" max="1299" width="13.85546875" style="1958" customWidth="1"/>
    <col min="1300" max="1536" width="16.7109375" style="1958"/>
    <col min="1537" max="1537" width="6.5703125" style="1958" customWidth="1"/>
    <col min="1538" max="1538" width="55" style="1958" customWidth="1"/>
    <col min="1539" max="1539" width="11" style="1958" customWidth="1"/>
    <col min="1540" max="1540" width="1.85546875" style="1958" customWidth="1"/>
    <col min="1541" max="1541" width="13.42578125" style="1958" customWidth="1"/>
    <col min="1542" max="1542" width="6.42578125" style="1958" customWidth="1"/>
    <col min="1543" max="1543" width="14" style="1958" customWidth="1"/>
    <col min="1544" max="1544" width="1.85546875" style="1958" customWidth="1"/>
    <col min="1545" max="1545" width="13.5703125" style="1958" customWidth="1"/>
    <col min="1546" max="1546" width="3.85546875" style="1958" customWidth="1"/>
    <col min="1547" max="1547" width="13.140625" style="1958" bestFit="1" customWidth="1"/>
    <col min="1548" max="1548" width="3.7109375" style="1958" customWidth="1"/>
    <col min="1549" max="1549" width="13.7109375" style="1958" customWidth="1"/>
    <col min="1550" max="1550" width="5.28515625" style="1958" customWidth="1"/>
    <col min="1551" max="1551" width="11" style="1958" customWidth="1"/>
    <col min="1552" max="1552" width="5.28515625" style="1958" customWidth="1"/>
    <col min="1553" max="1553" width="15.85546875" style="1958" customWidth="1"/>
    <col min="1554" max="1554" width="6.140625" style="1958" customWidth="1"/>
    <col min="1555" max="1555" width="13.85546875" style="1958" customWidth="1"/>
    <col min="1556" max="1792" width="16.7109375" style="1958"/>
    <col min="1793" max="1793" width="6.5703125" style="1958" customWidth="1"/>
    <col min="1794" max="1794" width="55" style="1958" customWidth="1"/>
    <col min="1795" max="1795" width="11" style="1958" customWidth="1"/>
    <col min="1796" max="1796" width="1.85546875" style="1958" customWidth="1"/>
    <col min="1797" max="1797" width="13.42578125" style="1958" customWidth="1"/>
    <col min="1798" max="1798" width="6.42578125" style="1958" customWidth="1"/>
    <col min="1799" max="1799" width="14" style="1958" customWidth="1"/>
    <col min="1800" max="1800" width="1.85546875" style="1958" customWidth="1"/>
    <col min="1801" max="1801" width="13.5703125" style="1958" customWidth="1"/>
    <col min="1802" max="1802" width="3.85546875" style="1958" customWidth="1"/>
    <col min="1803" max="1803" width="13.140625" style="1958" bestFit="1" customWidth="1"/>
    <col min="1804" max="1804" width="3.7109375" style="1958" customWidth="1"/>
    <col min="1805" max="1805" width="13.7109375" style="1958" customWidth="1"/>
    <col min="1806" max="1806" width="5.28515625" style="1958" customWidth="1"/>
    <col min="1807" max="1807" width="11" style="1958" customWidth="1"/>
    <col min="1808" max="1808" width="5.28515625" style="1958" customWidth="1"/>
    <col min="1809" max="1809" width="15.85546875" style="1958" customWidth="1"/>
    <col min="1810" max="1810" width="6.140625" style="1958" customWidth="1"/>
    <col min="1811" max="1811" width="13.85546875" style="1958" customWidth="1"/>
    <col min="1812" max="2048" width="16.7109375" style="1958"/>
    <col min="2049" max="2049" width="6.5703125" style="1958" customWidth="1"/>
    <col min="2050" max="2050" width="55" style="1958" customWidth="1"/>
    <col min="2051" max="2051" width="11" style="1958" customWidth="1"/>
    <col min="2052" max="2052" width="1.85546875" style="1958" customWidth="1"/>
    <col min="2053" max="2053" width="13.42578125" style="1958" customWidth="1"/>
    <col min="2054" max="2054" width="6.42578125" style="1958" customWidth="1"/>
    <col min="2055" max="2055" width="14" style="1958" customWidth="1"/>
    <col min="2056" max="2056" width="1.85546875" style="1958" customWidth="1"/>
    <col min="2057" max="2057" width="13.5703125" style="1958" customWidth="1"/>
    <col min="2058" max="2058" width="3.85546875" style="1958" customWidth="1"/>
    <col min="2059" max="2059" width="13.140625" style="1958" bestFit="1" customWidth="1"/>
    <col min="2060" max="2060" width="3.7109375" style="1958" customWidth="1"/>
    <col min="2061" max="2061" width="13.7109375" style="1958" customWidth="1"/>
    <col min="2062" max="2062" width="5.28515625" style="1958" customWidth="1"/>
    <col min="2063" max="2063" width="11" style="1958" customWidth="1"/>
    <col min="2064" max="2064" width="5.28515625" style="1958" customWidth="1"/>
    <col min="2065" max="2065" width="15.85546875" style="1958" customWidth="1"/>
    <col min="2066" max="2066" width="6.140625" style="1958" customWidth="1"/>
    <col min="2067" max="2067" width="13.85546875" style="1958" customWidth="1"/>
    <col min="2068" max="2304" width="16.7109375" style="1958"/>
    <col min="2305" max="2305" width="6.5703125" style="1958" customWidth="1"/>
    <col min="2306" max="2306" width="55" style="1958" customWidth="1"/>
    <col min="2307" max="2307" width="11" style="1958" customWidth="1"/>
    <col min="2308" max="2308" width="1.85546875" style="1958" customWidth="1"/>
    <col min="2309" max="2309" width="13.42578125" style="1958" customWidth="1"/>
    <col min="2310" max="2310" width="6.42578125" style="1958" customWidth="1"/>
    <col min="2311" max="2311" width="14" style="1958" customWidth="1"/>
    <col min="2312" max="2312" width="1.85546875" style="1958" customWidth="1"/>
    <col min="2313" max="2313" width="13.5703125" style="1958" customWidth="1"/>
    <col min="2314" max="2314" width="3.85546875" style="1958" customWidth="1"/>
    <col min="2315" max="2315" width="13.140625" style="1958" bestFit="1" customWidth="1"/>
    <col min="2316" max="2316" width="3.7109375" style="1958" customWidth="1"/>
    <col min="2317" max="2317" width="13.7109375" style="1958" customWidth="1"/>
    <col min="2318" max="2318" width="5.28515625" style="1958" customWidth="1"/>
    <col min="2319" max="2319" width="11" style="1958" customWidth="1"/>
    <col min="2320" max="2320" width="5.28515625" style="1958" customWidth="1"/>
    <col min="2321" max="2321" width="15.85546875" style="1958" customWidth="1"/>
    <col min="2322" max="2322" width="6.140625" style="1958" customWidth="1"/>
    <col min="2323" max="2323" width="13.85546875" style="1958" customWidth="1"/>
    <col min="2324" max="2560" width="16.7109375" style="1958"/>
    <col min="2561" max="2561" width="6.5703125" style="1958" customWidth="1"/>
    <col min="2562" max="2562" width="55" style="1958" customWidth="1"/>
    <col min="2563" max="2563" width="11" style="1958" customWidth="1"/>
    <col min="2564" max="2564" width="1.85546875" style="1958" customWidth="1"/>
    <col min="2565" max="2565" width="13.42578125" style="1958" customWidth="1"/>
    <col min="2566" max="2566" width="6.42578125" style="1958" customWidth="1"/>
    <col min="2567" max="2567" width="14" style="1958" customWidth="1"/>
    <col min="2568" max="2568" width="1.85546875" style="1958" customWidth="1"/>
    <col min="2569" max="2569" width="13.5703125" style="1958" customWidth="1"/>
    <col min="2570" max="2570" width="3.85546875" style="1958" customWidth="1"/>
    <col min="2571" max="2571" width="13.140625" style="1958" bestFit="1" customWidth="1"/>
    <col min="2572" max="2572" width="3.7109375" style="1958" customWidth="1"/>
    <col min="2573" max="2573" width="13.7109375" style="1958" customWidth="1"/>
    <col min="2574" max="2574" width="5.28515625" style="1958" customWidth="1"/>
    <col min="2575" max="2575" width="11" style="1958" customWidth="1"/>
    <col min="2576" max="2576" width="5.28515625" style="1958" customWidth="1"/>
    <col min="2577" max="2577" width="15.85546875" style="1958" customWidth="1"/>
    <col min="2578" max="2578" width="6.140625" style="1958" customWidth="1"/>
    <col min="2579" max="2579" width="13.85546875" style="1958" customWidth="1"/>
    <col min="2580" max="2816" width="16.7109375" style="1958"/>
    <col min="2817" max="2817" width="6.5703125" style="1958" customWidth="1"/>
    <col min="2818" max="2818" width="55" style="1958" customWidth="1"/>
    <col min="2819" max="2819" width="11" style="1958" customWidth="1"/>
    <col min="2820" max="2820" width="1.85546875" style="1958" customWidth="1"/>
    <col min="2821" max="2821" width="13.42578125" style="1958" customWidth="1"/>
    <col min="2822" max="2822" width="6.42578125" style="1958" customWidth="1"/>
    <col min="2823" max="2823" width="14" style="1958" customWidth="1"/>
    <col min="2824" max="2824" width="1.85546875" style="1958" customWidth="1"/>
    <col min="2825" max="2825" width="13.5703125" style="1958" customWidth="1"/>
    <col min="2826" max="2826" width="3.85546875" style="1958" customWidth="1"/>
    <col min="2827" max="2827" width="13.140625" style="1958" bestFit="1" customWidth="1"/>
    <col min="2828" max="2828" width="3.7109375" style="1958" customWidth="1"/>
    <col min="2829" max="2829" width="13.7109375" style="1958" customWidth="1"/>
    <col min="2830" max="2830" width="5.28515625" style="1958" customWidth="1"/>
    <col min="2831" max="2831" width="11" style="1958" customWidth="1"/>
    <col min="2832" max="2832" width="5.28515625" style="1958" customWidth="1"/>
    <col min="2833" max="2833" width="15.85546875" style="1958" customWidth="1"/>
    <col min="2834" max="2834" width="6.140625" style="1958" customWidth="1"/>
    <col min="2835" max="2835" width="13.85546875" style="1958" customWidth="1"/>
    <col min="2836" max="3072" width="16.7109375" style="1958"/>
    <col min="3073" max="3073" width="6.5703125" style="1958" customWidth="1"/>
    <col min="3074" max="3074" width="55" style="1958" customWidth="1"/>
    <col min="3075" max="3075" width="11" style="1958" customWidth="1"/>
    <col min="3076" max="3076" width="1.85546875" style="1958" customWidth="1"/>
    <col min="3077" max="3077" width="13.42578125" style="1958" customWidth="1"/>
    <col min="3078" max="3078" width="6.42578125" style="1958" customWidth="1"/>
    <col min="3079" max="3079" width="14" style="1958" customWidth="1"/>
    <col min="3080" max="3080" width="1.85546875" style="1958" customWidth="1"/>
    <col min="3081" max="3081" width="13.5703125" style="1958" customWidth="1"/>
    <col min="3082" max="3082" width="3.85546875" style="1958" customWidth="1"/>
    <col min="3083" max="3083" width="13.140625" style="1958" bestFit="1" customWidth="1"/>
    <col min="3084" max="3084" width="3.7109375" style="1958" customWidth="1"/>
    <col min="3085" max="3085" width="13.7109375" style="1958" customWidth="1"/>
    <col min="3086" max="3086" width="5.28515625" style="1958" customWidth="1"/>
    <col min="3087" max="3087" width="11" style="1958" customWidth="1"/>
    <col min="3088" max="3088" width="5.28515625" style="1958" customWidth="1"/>
    <col min="3089" max="3089" width="15.85546875" style="1958" customWidth="1"/>
    <col min="3090" max="3090" width="6.140625" style="1958" customWidth="1"/>
    <col min="3091" max="3091" width="13.85546875" style="1958" customWidth="1"/>
    <col min="3092" max="3328" width="16.7109375" style="1958"/>
    <col min="3329" max="3329" width="6.5703125" style="1958" customWidth="1"/>
    <col min="3330" max="3330" width="55" style="1958" customWidth="1"/>
    <col min="3331" max="3331" width="11" style="1958" customWidth="1"/>
    <col min="3332" max="3332" width="1.85546875" style="1958" customWidth="1"/>
    <col min="3333" max="3333" width="13.42578125" style="1958" customWidth="1"/>
    <col min="3334" max="3334" width="6.42578125" style="1958" customWidth="1"/>
    <col min="3335" max="3335" width="14" style="1958" customWidth="1"/>
    <col min="3336" max="3336" width="1.85546875" style="1958" customWidth="1"/>
    <col min="3337" max="3337" width="13.5703125" style="1958" customWidth="1"/>
    <col min="3338" max="3338" width="3.85546875" style="1958" customWidth="1"/>
    <col min="3339" max="3339" width="13.140625" style="1958" bestFit="1" customWidth="1"/>
    <col min="3340" max="3340" width="3.7109375" style="1958" customWidth="1"/>
    <col min="3341" max="3341" width="13.7109375" style="1958" customWidth="1"/>
    <col min="3342" max="3342" width="5.28515625" style="1958" customWidth="1"/>
    <col min="3343" max="3343" width="11" style="1958" customWidth="1"/>
    <col min="3344" max="3344" width="5.28515625" style="1958" customWidth="1"/>
    <col min="3345" max="3345" width="15.85546875" style="1958" customWidth="1"/>
    <col min="3346" max="3346" width="6.140625" style="1958" customWidth="1"/>
    <col min="3347" max="3347" width="13.85546875" style="1958" customWidth="1"/>
    <col min="3348" max="3584" width="16.7109375" style="1958"/>
    <col min="3585" max="3585" width="6.5703125" style="1958" customWidth="1"/>
    <col min="3586" max="3586" width="55" style="1958" customWidth="1"/>
    <col min="3587" max="3587" width="11" style="1958" customWidth="1"/>
    <col min="3588" max="3588" width="1.85546875" style="1958" customWidth="1"/>
    <col min="3589" max="3589" width="13.42578125" style="1958" customWidth="1"/>
    <col min="3590" max="3590" width="6.42578125" style="1958" customWidth="1"/>
    <col min="3591" max="3591" width="14" style="1958" customWidth="1"/>
    <col min="3592" max="3592" width="1.85546875" style="1958" customWidth="1"/>
    <col min="3593" max="3593" width="13.5703125" style="1958" customWidth="1"/>
    <col min="3594" max="3594" width="3.85546875" style="1958" customWidth="1"/>
    <col min="3595" max="3595" width="13.140625" style="1958" bestFit="1" customWidth="1"/>
    <col min="3596" max="3596" width="3.7109375" style="1958" customWidth="1"/>
    <col min="3597" max="3597" width="13.7109375" style="1958" customWidth="1"/>
    <col min="3598" max="3598" width="5.28515625" style="1958" customWidth="1"/>
    <col min="3599" max="3599" width="11" style="1958" customWidth="1"/>
    <col min="3600" max="3600" width="5.28515625" style="1958" customWidth="1"/>
    <col min="3601" max="3601" width="15.85546875" style="1958" customWidth="1"/>
    <col min="3602" max="3602" width="6.140625" style="1958" customWidth="1"/>
    <col min="3603" max="3603" width="13.85546875" style="1958" customWidth="1"/>
    <col min="3604" max="3840" width="16.7109375" style="1958"/>
    <col min="3841" max="3841" width="6.5703125" style="1958" customWidth="1"/>
    <col min="3842" max="3842" width="55" style="1958" customWidth="1"/>
    <col min="3843" max="3843" width="11" style="1958" customWidth="1"/>
    <col min="3844" max="3844" width="1.85546875" style="1958" customWidth="1"/>
    <col min="3845" max="3845" width="13.42578125" style="1958" customWidth="1"/>
    <col min="3846" max="3846" width="6.42578125" style="1958" customWidth="1"/>
    <col min="3847" max="3847" width="14" style="1958" customWidth="1"/>
    <col min="3848" max="3848" width="1.85546875" style="1958" customWidth="1"/>
    <col min="3849" max="3849" width="13.5703125" style="1958" customWidth="1"/>
    <col min="3850" max="3850" width="3.85546875" style="1958" customWidth="1"/>
    <col min="3851" max="3851" width="13.140625" style="1958" bestFit="1" customWidth="1"/>
    <col min="3852" max="3852" width="3.7109375" style="1958" customWidth="1"/>
    <col min="3853" max="3853" width="13.7109375" style="1958" customWidth="1"/>
    <col min="3854" max="3854" width="5.28515625" style="1958" customWidth="1"/>
    <col min="3855" max="3855" width="11" style="1958" customWidth="1"/>
    <col min="3856" max="3856" width="5.28515625" style="1958" customWidth="1"/>
    <col min="3857" max="3857" width="15.85546875" style="1958" customWidth="1"/>
    <col min="3858" max="3858" width="6.140625" style="1958" customWidth="1"/>
    <col min="3859" max="3859" width="13.85546875" style="1958" customWidth="1"/>
    <col min="3860" max="4096" width="16.7109375" style="1958"/>
    <col min="4097" max="4097" width="6.5703125" style="1958" customWidth="1"/>
    <col min="4098" max="4098" width="55" style="1958" customWidth="1"/>
    <col min="4099" max="4099" width="11" style="1958" customWidth="1"/>
    <col min="4100" max="4100" width="1.85546875" style="1958" customWidth="1"/>
    <col min="4101" max="4101" width="13.42578125" style="1958" customWidth="1"/>
    <col min="4102" max="4102" width="6.42578125" style="1958" customWidth="1"/>
    <col min="4103" max="4103" width="14" style="1958" customWidth="1"/>
    <col min="4104" max="4104" width="1.85546875" style="1958" customWidth="1"/>
    <col min="4105" max="4105" width="13.5703125" style="1958" customWidth="1"/>
    <col min="4106" max="4106" width="3.85546875" style="1958" customWidth="1"/>
    <col min="4107" max="4107" width="13.140625" style="1958" bestFit="1" customWidth="1"/>
    <col min="4108" max="4108" width="3.7109375" style="1958" customWidth="1"/>
    <col min="4109" max="4109" width="13.7109375" style="1958" customWidth="1"/>
    <col min="4110" max="4110" width="5.28515625" style="1958" customWidth="1"/>
    <col min="4111" max="4111" width="11" style="1958" customWidth="1"/>
    <col min="4112" max="4112" width="5.28515625" style="1958" customWidth="1"/>
    <col min="4113" max="4113" width="15.85546875" style="1958" customWidth="1"/>
    <col min="4114" max="4114" width="6.140625" style="1958" customWidth="1"/>
    <col min="4115" max="4115" width="13.85546875" style="1958" customWidth="1"/>
    <col min="4116" max="4352" width="16.7109375" style="1958"/>
    <col min="4353" max="4353" width="6.5703125" style="1958" customWidth="1"/>
    <col min="4354" max="4354" width="55" style="1958" customWidth="1"/>
    <col min="4355" max="4355" width="11" style="1958" customWidth="1"/>
    <col min="4356" max="4356" width="1.85546875" style="1958" customWidth="1"/>
    <col min="4357" max="4357" width="13.42578125" style="1958" customWidth="1"/>
    <col min="4358" max="4358" width="6.42578125" style="1958" customWidth="1"/>
    <col min="4359" max="4359" width="14" style="1958" customWidth="1"/>
    <col min="4360" max="4360" width="1.85546875" style="1958" customWidth="1"/>
    <col min="4361" max="4361" width="13.5703125" style="1958" customWidth="1"/>
    <col min="4362" max="4362" width="3.85546875" style="1958" customWidth="1"/>
    <col min="4363" max="4363" width="13.140625" style="1958" bestFit="1" customWidth="1"/>
    <col min="4364" max="4364" width="3.7109375" style="1958" customWidth="1"/>
    <col min="4365" max="4365" width="13.7109375" style="1958" customWidth="1"/>
    <col min="4366" max="4366" width="5.28515625" style="1958" customWidth="1"/>
    <col min="4367" max="4367" width="11" style="1958" customWidth="1"/>
    <col min="4368" max="4368" width="5.28515625" style="1958" customWidth="1"/>
    <col min="4369" max="4369" width="15.85546875" style="1958" customWidth="1"/>
    <col min="4370" max="4370" width="6.140625" style="1958" customWidth="1"/>
    <col min="4371" max="4371" width="13.85546875" style="1958" customWidth="1"/>
    <col min="4372" max="4608" width="16.7109375" style="1958"/>
    <col min="4609" max="4609" width="6.5703125" style="1958" customWidth="1"/>
    <col min="4610" max="4610" width="55" style="1958" customWidth="1"/>
    <col min="4611" max="4611" width="11" style="1958" customWidth="1"/>
    <col min="4612" max="4612" width="1.85546875" style="1958" customWidth="1"/>
    <col min="4613" max="4613" width="13.42578125" style="1958" customWidth="1"/>
    <col min="4614" max="4614" width="6.42578125" style="1958" customWidth="1"/>
    <col min="4615" max="4615" width="14" style="1958" customWidth="1"/>
    <col min="4616" max="4616" width="1.85546875" style="1958" customWidth="1"/>
    <col min="4617" max="4617" width="13.5703125" style="1958" customWidth="1"/>
    <col min="4618" max="4618" width="3.85546875" style="1958" customWidth="1"/>
    <col min="4619" max="4619" width="13.140625" style="1958" bestFit="1" customWidth="1"/>
    <col min="4620" max="4620" width="3.7109375" style="1958" customWidth="1"/>
    <col min="4621" max="4621" width="13.7109375" style="1958" customWidth="1"/>
    <col min="4622" max="4622" width="5.28515625" style="1958" customWidth="1"/>
    <col min="4623" max="4623" width="11" style="1958" customWidth="1"/>
    <col min="4624" max="4624" width="5.28515625" style="1958" customWidth="1"/>
    <col min="4625" max="4625" width="15.85546875" style="1958" customWidth="1"/>
    <col min="4626" max="4626" width="6.140625" style="1958" customWidth="1"/>
    <col min="4627" max="4627" width="13.85546875" style="1958" customWidth="1"/>
    <col min="4628" max="4864" width="16.7109375" style="1958"/>
    <col min="4865" max="4865" width="6.5703125" style="1958" customWidth="1"/>
    <col min="4866" max="4866" width="55" style="1958" customWidth="1"/>
    <col min="4867" max="4867" width="11" style="1958" customWidth="1"/>
    <col min="4868" max="4868" width="1.85546875" style="1958" customWidth="1"/>
    <col min="4869" max="4869" width="13.42578125" style="1958" customWidth="1"/>
    <col min="4870" max="4870" width="6.42578125" style="1958" customWidth="1"/>
    <col min="4871" max="4871" width="14" style="1958" customWidth="1"/>
    <col min="4872" max="4872" width="1.85546875" style="1958" customWidth="1"/>
    <col min="4873" max="4873" width="13.5703125" style="1958" customWidth="1"/>
    <col min="4874" max="4874" width="3.85546875" style="1958" customWidth="1"/>
    <col min="4875" max="4875" width="13.140625" style="1958" bestFit="1" customWidth="1"/>
    <col min="4876" max="4876" width="3.7109375" style="1958" customWidth="1"/>
    <col min="4877" max="4877" width="13.7109375" style="1958" customWidth="1"/>
    <col min="4878" max="4878" width="5.28515625" style="1958" customWidth="1"/>
    <col min="4879" max="4879" width="11" style="1958" customWidth="1"/>
    <col min="4880" max="4880" width="5.28515625" style="1958" customWidth="1"/>
    <col min="4881" max="4881" width="15.85546875" style="1958" customWidth="1"/>
    <col min="4882" max="4882" width="6.140625" style="1958" customWidth="1"/>
    <col min="4883" max="4883" width="13.85546875" style="1958" customWidth="1"/>
    <col min="4884" max="5120" width="16.7109375" style="1958"/>
    <col min="5121" max="5121" width="6.5703125" style="1958" customWidth="1"/>
    <col min="5122" max="5122" width="55" style="1958" customWidth="1"/>
    <col min="5123" max="5123" width="11" style="1958" customWidth="1"/>
    <col min="5124" max="5124" width="1.85546875" style="1958" customWidth="1"/>
    <col min="5125" max="5125" width="13.42578125" style="1958" customWidth="1"/>
    <col min="5126" max="5126" width="6.42578125" style="1958" customWidth="1"/>
    <col min="5127" max="5127" width="14" style="1958" customWidth="1"/>
    <col min="5128" max="5128" width="1.85546875" style="1958" customWidth="1"/>
    <col min="5129" max="5129" width="13.5703125" style="1958" customWidth="1"/>
    <col min="5130" max="5130" width="3.85546875" style="1958" customWidth="1"/>
    <col min="5131" max="5131" width="13.140625" style="1958" bestFit="1" customWidth="1"/>
    <col min="5132" max="5132" width="3.7109375" style="1958" customWidth="1"/>
    <col min="5133" max="5133" width="13.7109375" style="1958" customWidth="1"/>
    <col min="5134" max="5134" width="5.28515625" style="1958" customWidth="1"/>
    <col min="5135" max="5135" width="11" style="1958" customWidth="1"/>
    <col min="5136" max="5136" width="5.28515625" style="1958" customWidth="1"/>
    <col min="5137" max="5137" width="15.85546875" style="1958" customWidth="1"/>
    <col min="5138" max="5138" width="6.140625" style="1958" customWidth="1"/>
    <col min="5139" max="5139" width="13.85546875" style="1958" customWidth="1"/>
    <col min="5140" max="5376" width="16.7109375" style="1958"/>
    <col min="5377" max="5377" width="6.5703125" style="1958" customWidth="1"/>
    <col min="5378" max="5378" width="55" style="1958" customWidth="1"/>
    <col min="5379" max="5379" width="11" style="1958" customWidth="1"/>
    <col min="5380" max="5380" width="1.85546875" style="1958" customWidth="1"/>
    <col min="5381" max="5381" width="13.42578125" style="1958" customWidth="1"/>
    <col min="5382" max="5382" width="6.42578125" style="1958" customWidth="1"/>
    <col min="5383" max="5383" width="14" style="1958" customWidth="1"/>
    <col min="5384" max="5384" width="1.85546875" style="1958" customWidth="1"/>
    <col min="5385" max="5385" width="13.5703125" style="1958" customWidth="1"/>
    <col min="5386" max="5386" width="3.85546875" style="1958" customWidth="1"/>
    <col min="5387" max="5387" width="13.140625" style="1958" bestFit="1" customWidth="1"/>
    <col min="5388" max="5388" width="3.7109375" style="1958" customWidth="1"/>
    <col min="5389" max="5389" width="13.7109375" style="1958" customWidth="1"/>
    <col min="5390" max="5390" width="5.28515625" style="1958" customWidth="1"/>
    <col min="5391" max="5391" width="11" style="1958" customWidth="1"/>
    <col min="5392" max="5392" width="5.28515625" style="1958" customWidth="1"/>
    <col min="5393" max="5393" width="15.85546875" style="1958" customWidth="1"/>
    <col min="5394" max="5394" width="6.140625" style="1958" customWidth="1"/>
    <col min="5395" max="5395" width="13.85546875" style="1958" customWidth="1"/>
    <col min="5396" max="5632" width="16.7109375" style="1958"/>
    <col min="5633" max="5633" width="6.5703125" style="1958" customWidth="1"/>
    <col min="5634" max="5634" width="55" style="1958" customWidth="1"/>
    <col min="5635" max="5635" width="11" style="1958" customWidth="1"/>
    <col min="5636" max="5636" width="1.85546875" style="1958" customWidth="1"/>
    <col min="5637" max="5637" width="13.42578125" style="1958" customWidth="1"/>
    <col min="5638" max="5638" width="6.42578125" style="1958" customWidth="1"/>
    <col min="5639" max="5639" width="14" style="1958" customWidth="1"/>
    <col min="5640" max="5640" width="1.85546875" style="1958" customWidth="1"/>
    <col min="5641" max="5641" width="13.5703125" style="1958" customWidth="1"/>
    <col min="5642" max="5642" width="3.85546875" style="1958" customWidth="1"/>
    <col min="5643" max="5643" width="13.140625" style="1958" bestFit="1" customWidth="1"/>
    <col min="5644" max="5644" width="3.7109375" style="1958" customWidth="1"/>
    <col min="5645" max="5645" width="13.7109375" style="1958" customWidth="1"/>
    <col min="5646" max="5646" width="5.28515625" style="1958" customWidth="1"/>
    <col min="5647" max="5647" width="11" style="1958" customWidth="1"/>
    <col min="5648" max="5648" width="5.28515625" style="1958" customWidth="1"/>
    <col min="5649" max="5649" width="15.85546875" style="1958" customWidth="1"/>
    <col min="5650" max="5650" width="6.140625" style="1958" customWidth="1"/>
    <col min="5651" max="5651" width="13.85546875" style="1958" customWidth="1"/>
    <col min="5652" max="5888" width="16.7109375" style="1958"/>
    <col min="5889" max="5889" width="6.5703125" style="1958" customWidth="1"/>
    <col min="5890" max="5890" width="55" style="1958" customWidth="1"/>
    <col min="5891" max="5891" width="11" style="1958" customWidth="1"/>
    <col min="5892" max="5892" width="1.85546875" style="1958" customWidth="1"/>
    <col min="5893" max="5893" width="13.42578125" style="1958" customWidth="1"/>
    <col min="5894" max="5894" width="6.42578125" style="1958" customWidth="1"/>
    <col min="5895" max="5895" width="14" style="1958" customWidth="1"/>
    <col min="5896" max="5896" width="1.85546875" style="1958" customWidth="1"/>
    <col min="5897" max="5897" width="13.5703125" style="1958" customWidth="1"/>
    <col min="5898" max="5898" width="3.85546875" style="1958" customWidth="1"/>
    <col min="5899" max="5899" width="13.140625" style="1958" bestFit="1" customWidth="1"/>
    <col min="5900" max="5900" width="3.7109375" style="1958" customWidth="1"/>
    <col min="5901" max="5901" width="13.7109375" style="1958" customWidth="1"/>
    <col min="5902" max="5902" width="5.28515625" style="1958" customWidth="1"/>
    <col min="5903" max="5903" width="11" style="1958" customWidth="1"/>
    <col min="5904" max="5904" width="5.28515625" style="1958" customWidth="1"/>
    <col min="5905" max="5905" width="15.85546875" style="1958" customWidth="1"/>
    <col min="5906" max="5906" width="6.140625" style="1958" customWidth="1"/>
    <col min="5907" max="5907" width="13.85546875" style="1958" customWidth="1"/>
    <col min="5908" max="6144" width="16.7109375" style="1958"/>
    <col min="6145" max="6145" width="6.5703125" style="1958" customWidth="1"/>
    <col min="6146" max="6146" width="55" style="1958" customWidth="1"/>
    <col min="6147" max="6147" width="11" style="1958" customWidth="1"/>
    <col min="6148" max="6148" width="1.85546875" style="1958" customWidth="1"/>
    <col min="6149" max="6149" width="13.42578125" style="1958" customWidth="1"/>
    <col min="6150" max="6150" width="6.42578125" style="1958" customWidth="1"/>
    <col min="6151" max="6151" width="14" style="1958" customWidth="1"/>
    <col min="6152" max="6152" width="1.85546875" style="1958" customWidth="1"/>
    <col min="6153" max="6153" width="13.5703125" style="1958" customWidth="1"/>
    <col min="6154" max="6154" width="3.85546875" style="1958" customWidth="1"/>
    <col min="6155" max="6155" width="13.140625" style="1958" bestFit="1" customWidth="1"/>
    <col min="6156" max="6156" width="3.7109375" style="1958" customWidth="1"/>
    <col min="6157" max="6157" width="13.7109375" style="1958" customWidth="1"/>
    <col min="6158" max="6158" width="5.28515625" style="1958" customWidth="1"/>
    <col min="6159" max="6159" width="11" style="1958" customWidth="1"/>
    <col min="6160" max="6160" width="5.28515625" style="1958" customWidth="1"/>
    <col min="6161" max="6161" width="15.85546875" style="1958" customWidth="1"/>
    <col min="6162" max="6162" width="6.140625" style="1958" customWidth="1"/>
    <col min="6163" max="6163" width="13.85546875" style="1958" customWidth="1"/>
    <col min="6164" max="6400" width="16.7109375" style="1958"/>
    <col min="6401" max="6401" width="6.5703125" style="1958" customWidth="1"/>
    <col min="6402" max="6402" width="55" style="1958" customWidth="1"/>
    <col min="6403" max="6403" width="11" style="1958" customWidth="1"/>
    <col min="6404" max="6404" width="1.85546875" style="1958" customWidth="1"/>
    <col min="6405" max="6405" width="13.42578125" style="1958" customWidth="1"/>
    <col min="6406" max="6406" width="6.42578125" style="1958" customWidth="1"/>
    <col min="6407" max="6407" width="14" style="1958" customWidth="1"/>
    <col min="6408" max="6408" width="1.85546875" style="1958" customWidth="1"/>
    <col min="6409" max="6409" width="13.5703125" style="1958" customWidth="1"/>
    <col min="6410" max="6410" width="3.85546875" style="1958" customWidth="1"/>
    <col min="6411" max="6411" width="13.140625" style="1958" bestFit="1" customWidth="1"/>
    <col min="6412" max="6412" width="3.7109375" style="1958" customWidth="1"/>
    <col min="6413" max="6413" width="13.7109375" style="1958" customWidth="1"/>
    <col min="6414" max="6414" width="5.28515625" style="1958" customWidth="1"/>
    <col min="6415" max="6415" width="11" style="1958" customWidth="1"/>
    <col min="6416" max="6416" width="5.28515625" style="1958" customWidth="1"/>
    <col min="6417" max="6417" width="15.85546875" style="1958" customWidth="1"/>
    <col min="6418" max="6418" width="6.140625" style="1958" customWidth="1"/>
    <col min="6419" max="6419" width="13.85546875" style="1958" customWidth="1"/>
    <col min="6420" max="6656" width="16.7109375" style="1958"/>
    <col min="6657" max="6657" width="6.5703125" style="1958" customWidth="1"/>
    <col min="6658" max="6658" width="55" style="1958" customWidth="1"/>
    <col min="6659" max="6659" width="11" style="1958" customWidth="1"/>
    <col min="6660" max="6660" width="1.85546875" style="1958" customWidth="1"/>
    <col min="6661" max="6661" width="13.42578125" style="1958" customWidth="1"/>
    <col min="6662" max="6662" width="6.42578125" style="1958" customWidth="1"/>
    <col min="6663" max="6663" width="14" style="1958" customWidth="1"/>
    <col min="6664" max="6664" width="1.85546875" style="1958" customWidth="1"/>
    <col min="6665" max="6665" width="13.5703125" style="1958" customWidth="1"/>
    <col min="6666" max="6666" width="3.85546875" style="1958" customWidth="1"/>
    <col min="6667" max="6667" width="13.140625" style="1958" bestFit="1" customWidth="1"/>
    <col min="6668" max="6668" width="3.7109375" style="1958" customWidth="1"/>
    <col min="6669" max="6669" width="13.7109375" style="1958" customWidth="1"/>
    <col min="6670" max="6670" width="5.28515625" style="1958" customWidth="1"/>
    <col min="6671" max="6671" width="11" style="1958" customWidth="1"/>
    <col min="6672" max="6672" width="5.28515625" style="1958" customWidth="1"/>
    <col min="6673" max="6673" width="15.85546875" style="1958" customWidth="1"/>
    <col min="6674" max="6674" width="6.140625" style="1958" customWidth="1"/>
    <col min="6675" max="6675" width="13.85546875" style="1958" customWidth="1"/>
    <col min="6676" max="6912" width="16.7109375" style="1958"/>
    <col min="6913" max="6913" width="6.5703125" style="1958" customWidth="1"/>
    <col min="6914" max="6914" width="55" style="1958" customWidth="1"/>
    <col min="6915" max="6915" width="11" style="1958" customWidth="1"/>
    <col min="6916" max="6916" width="1.85546875" style="1958" customWidth="1"/>
    <col min="6917" max="6917" width="13.42578125" style="1958" customWidth="1"/>
    <col min="6918" max="6918" width="6.42578125" style="1958" customWidth="1"/>
    <col min="6919" max="6919" width="14" style="1958" customWidth="1"/>
    <col min="6920" max="6920" width="1.85546875" style="1958" customWidth="1"/>
    <col min="6921" max="6921" width="13.5703125" style="1958" customWidth="1"/>
    <col min="6922" max="6922" width="3.85546875" style="1958" customWidth="1"/>
    <col min="6923" max="6923" width="13.140625" style="1958" bestFit="1" customWidth="1"/>
    <col min="6924" max="6924" width="3.7109375" style="1958" customWidth="1"/>
    <col min="6925" max="6925" width="13.7109375" style="1958" customWidth="1"/>
    <col min="6926" max="6926" width="5.28515625" style="1958" customWidth="1"/>
    <col min="6927" max="6927" width="11" style="1958" customWidth="1"/>
    <col min="6928" max="6928" width="5.28515625" style="1958" customWidth="1"/>
    <col min="6929" max="6929" width="15.85546875" style="1958" customWidth="1"/>
    <col min="6930" max="6930" width="6.140625" style="1958" customWidth="1"/>
    <col min="6931" max="6931" width="13.85546875" style="1958" customWidth="1"/>
    <col min="6932" max="7168" width="16.7109375" style="1958"/>
    <col min="7169" max="7169" width="6.5703125" style="1958" customWidth="1"/>
    <col min="7170" max="7170" width="55" style="1958" customWidth="1"/>
    <col min="7171" max="7171" width="11" style="1958" customWidth="1"/>
    <col min="7172" max="7172" width="1.85546875" style="1958" customWidth="1"/>
    <col min="7173" max="7173" width="13.42578125" style="1958" customWidth="1"/>
    <col min="7174" max="7174" width="6.42578125" style="1958" customWidth="1"/>
    <col min="7175" max="7175" width="14" style="1958" customWidth="1"/>
    <col min="7176" max="7176" width="1.85546875" style="1958" customWidth="1"/>
    <col min="7177" max="7177" width="13.5703125" style="1958" customWidth="1"/>
    <col min="7178" max="7178" width="3.85546875" style="1958" customWidth="1"/>
    <col min="7179" max="7179" width="13.140625" style="1958" bestFit="1" customWidth="1"/>
    <col min="7180" max="7180" width="3.7109375" style="1958" customWidth="1"/>
    <col min="7181" max="7181" width="13.7109375" style="1958" customWidth="1"/>
    <col min="7182" max="7182" width="5.28515625" style="1958" customWidth="1"/>
    <col min="7183" max="7183" width="11" style="1958" customWidth="1"/>
    <col min="7184" max="7184" width="5.28515625" style="1958" customWidth="1"/>
    <col min="7185" max="7185" width="15.85546875" style="1958" customWidth="1"/>
    <col min="7186" max="7186" width="6.140625" style="1958" customWidth="1"/>
    <col min="7187" max="7187" width="13.85546875" style="1958" customWidth="1"/>
    <col min="7188" max="7424" width="16.7109375" style="1958"/>
    <col min="7425" max="7425" width="6.5703125" style="1958" customWidth="1"/>
    <col min="7426" max="7426" width="55" style="1958" customWidth="1"/>
    <col min="7427" max="7427" width="11" style="1958" customWidth="1"/>
    <col min="7428" max="7428" width="1.85546875" style="1958" customWidth="1"/>
    <col min="7429" max="7429" width="13.42578125" style="1958" customWidth="1"/>
    <col min="7430" max="7430" width="6.42578125" style="1958" customWidth="1"/>
    <col min="7431" max="7431" width="14" style="1958" customWidth="1"/>
    <col min="7432" max="7432" width="1.85546875" style="1958" customWidth="1"/>
    <col min="7433" max="7433" width="13.5703125" style="1958" customWidth="1"/>
    <col min="7434" max="7434" width="3.85546875" style="1958" customWidth="1"/>
    <col min="7435" max="7435" width="13.140625" style="1958" bestFit="1" customWidth="1"/>
    <col min="7436" max="7436" width="3.7109375" style="1958" customWidth="1"/>
    <col min="7437" max="7437" width="13.7109375" style="1958" customWidth="1"/>
    <col min="7438" max="7438" width="5.28515625" style="1958" customWidth="1"/>
    <col min="7439" max="7439" width="11" style="1958" customWidth="1"/>
    <col min="7440" max="7440" width="5.28515625" style="1958" customWidth="1"/>
    <col min="7441" max="7441" width="15.85546875" style="1958" customWidth="1"/>
    <col min="7442" max="7442" width="6.140625" style="1958" customWidth="1"/>
    <col min="7443" max="7443" width="13.85546875" style="1958" customWidth="1"/>
    <col min="7444" max="7680" width="16.7109375" style="1958"/>
    <col min="7681" max="7681" width="6.5703125" style="1958" customWidth="1"/>
    <col min="7682" max="7682" width="55" style="1958" customWidth="1"/>
    <col min="7683" max="7683" width="11" style="1958" customWidth="1"/>
    <col min="7684" max="7684" width="1.85546875" style="1958" customWidth="1"/>
    <col min="7685" max="7685" width="13.42578125" style="1958" customWidth="1"/>
    <col min="7686" max="7686" width="6.42578125" style="1958" customWidth="1"/>
    <col min="7687" max="7687" width="14" style="1958" customWidth="1"/>
    <col min="7688" max="7688" width="1.85546875" style="1958" customWidth="1"/>
    <col min="7689" max="7689" width="13.5703125" style="1958" customWidth="1"/>
    <col min="7690" max="7690" width="3.85546875" style="1958" customWidth="1"/>
    <col min="7691" max="7691" width="13.140625" style="1958" bestFit="1" customWidth="1"/>
    <col min="7692" max="7692" width="3.7109375" style="1958" customWidth="1"/>
    <col min="7693" max="7693" width="13.7109375" style="1958" customWidth="1"/>
    <col min="7694" max="7694" width="5.28515625" style="1958" customWidth="1"/>
    <col min="7695" max="7695" width="11" style="1958" customWidth="1"/>
    <col min="7696" max="7696" width="5.28515625" style="1958" customWidth="1"/>
    <col min="7697" max="7697" width="15.85546875" style="1958" customWidth="1"/>
    <col min="7698" max="7698" width="6.140625" style="1958" customWidth="1"/>
    <col min="7699" max="7699" width="13.85546875" style="1958" customWidth="1"/>
    <col min="7700" max="7936" width="16.7109375" style="1958"/>
    <col min="7937" max="7937" width="6.5703125" style="1958" customWidth="1"/>
    <col min="7938" max="7938" width="55" style="1958" customWidth="1"/>
    <col min="7939" max="7939" width="11" style="1958" customWidth="1"/>
    <col min="7940" max="7940" width="1.85546875" style="1958" customWidth="1"/>
    <col min="7941" max="7941" width="13.42578125" style="1958" customWidth="1"/>
    <col min="7942" max="7942" width="6.42578125" style="1958" customWidth="1"/>
    <col min="7943" max="7943" width="14" style="1958" customWidth="1"/>
    <col min="7944" max="7944" width="1.85546875" style="1958" customWidth="1"/>
    <col min="7945" max="7945" width="13.5703125" style="1958" customWidth="1"/>
    <col min="7946" max="7946" width="3.85546875" style="1958" customWidth="1"/>
    <col min="7947" max="7947" width="13.140625" style="1958" bestFit="1" customWidth="1"/>
    <col min="7948" max="7948" width="3.7109375" style="1958" customWidth="1"/>
    <col min="7949" max="7949" width="13.7109375" style="1958" customWidth="1"/>
    <col min="7950" max="7950" width="5.28515625" style="1958" customWidth="1"/>
    <col min="7951" max="7951" width="11" style="1958" customWidth="1"/>
    <col min="7952" max="7952" width="5.28515625" style="1958" customWidth="1"/>
    <col min="7953" max="7953" width="15.85546875" style="1958" customWidth="1"/>
    <col min="7954" max="7954" width="6.140625" style="1958" customWidth="1"/>
    <col min="7955" max="7955" width="13.85546875" style="1958" customWidth="1"/>
    <col min="7956" max="8192" width="16.7109375" style="1958"/>
    <col min="8193" max="8193" width="6.5703125" style="1958" customWidth="1"/>
    <col min="8194" max="8194" width="55" style="1958" customWidth="1"/>
    <col min="8195" max="8195" width="11" style="1958" customWidth="1"/>
    <col min="8196" max="8196" width="1.85546875" style="1958" customWidth="1"/>
    <col min="8197" max="8197" width="13.42578125" style="1958" customWidth="1"/>
    <col min="8198" max="8198" width="6.42578125" style="1958" customWidth="1"/>
    <col min="8199" max="8199" width="14" style="1958" customWidth="1"/>
    <col min="8200" max="8200" width="1.85546875" style="1958" customWidth="1"/>
    <col min="8201" max="8201" width="13.5703125" style="1958" customWidth="1"/>
    <col min="8202" max="8202" width="3.85546875" style="1958" customWidth="1"/>
    <col min="8203" max="8203" width="13.140625" style="1958" bestFit="1" customWidth="1"/>
    <col min="8204" max="8204" width="3.7109375" style="1958" customWidth="1"/>
    <col min="8205" max="8205" width="13.7109375" style="1958" customWidth="1"/>
    <col min="8206" max="8206" width="5.28515625" style="1958" customWidth="1"/>
    <col min="8207" max="8207" width="11" style="1958" customWidth="1"/>
    <col min="8208" max="8208" width="5.28515625" style="1958" customWidth="1"/>
    <col min="8209" max="8209" width="15.85546875" style="1958" customWidth="1"/>
    <col min="8210" max="8210" width="6.140625" style="1958" customWidth="1"/>
    <col min="8211" max="8211" width="13.85546875" style="1958" customWidth="1"/>
    <col min="8212" max="8448" width="16.7109375" style="1958"/>
    <col min="8449" max="8449" width="6.5703125" style="1958" customWidth="1"/>
    <col min="8450" max="8450" width="55" style="1958" customWidth="1"/>
    <col min="8451" max="8451" width="11" style="1958" customWidth="1"/>
    <col min="8452" max="8452" width="1.85546875" style="1958" customWidth="1"/>
    <col min="8453" max="8453" width="13.42578125" style="1958" customWidth="1"/>
    <col min="8454" max="8454" width="6.42578125" style="1958" customWidth="1"/>
    <col min="8455" max="8455" width="14" style="1958" customWidth="1"/>
    <col min="8456" max="8456" width="1.85546875" style="1958" customWidth="1"/>
    <col min="8457" max="8457" width="13.5703125" style="1958" customWidth="1"/>
    <col min="8458" max="8458" width="3.85546875" style="1958" customWidth="1"/>
    <col min="8459" max="8459" width="13.140625" style="1958" bestFit="1" customWidth="1"/>
    <col min="8460" max="8460" width="3.7109375" style="1958" customWidth="1"/>
    <col min="8461" max="8461" width="13.7109375" style="1958" customWidth="1"/>
    <col min="8462" max="8462" width="5.28515625" style="1958" customWidth="1"/>
    <col min="8463" max="8463" width="11" style="1958" customWidth="1"/>
    <col min="8464" max="8464" width="5.28515625" style="1958" customWidth="1"/>
    <col min="8465" max="8465" width="15.85546875" style="1958" customWidth="1"/>
    <col min="8466" max="8466" width="6.140625" style="1958" customWidth="1"/>
    <col min="8467" max="8467" width="13.85546875" style="1958" customWidth="1"/>
    <col min="8468" max="8704" width="16.7109375" style="1958"/>
    <col min="8705" max="8705" width="6.5703125" style="1958" customWidth="1"/>
    <col min="8706" max="8706" width="55" style="1958" customWidth="1"/>
    <col min="8707" max="8707" width="11" style="1958" customWidth="1"/>
    <col min="8708" max="8708" width="1.85546875" style="1958" customWidth="1"/>
    <col min="8709" max="8709" width="13.42578125" style="1958" customWidth="1"/>
    <col min="8710" max="8710" width="6.42578125" style="1958" customWidth="1"/>
    <col min="8711" max="8711" width="14" style="1958" customWidth="1"/>
    <col min="8712" max="8712" width="1.85546875" style="1958" customWidth="1"/>
    <col min="8713" max="8713" width="13.5703125" style="1958" customWidth="1"/>
    <col min="8714" max="8714" width="3.85546875" style="1958" customWidth="1"/>
    <col min="8715" max="8715" width="13.140625" style="1958" bestFit="1" customWidth="1"/>
    <col min="8716" max="8716" width="3.7109375" style="1958" customWidth="1"/>
    <col min="8717" max="8717" width="13.7109375" style="1958" customWidth="1"/>
    <col min="8718" max="8718" width="5.28515625" style="1958" customWidth="1"/>
    <col min="8719" max="8719" width="11" style="1958" customWidth="1"/>
    <col min="8720" max="8720" width="5.28515625" style="1958" customWidth="1"/>
    <col min="8721" max="8721" width="15.85546875" style="1958" customWidth="1"/>
    <col min="8722" max="8722" width="6.140625" style="1958" customWidth="1"/>
    <col min="8723" max="8723" width="13.85546875" style="1958" customWidth="1"/>
    <col min="8724" max="8960" width="16.7109375" style="1958"/>
    <col min="8961" max="8961" width="6.5703125" style="1958" customWidth="1"/>
    <col min="8962" max="8962" width="55" style="1958" customWidth="1"/>
    <col min="8963" max="8963" width="11" style="1958" customWidth="1"/>
    <col min="8964" max="8964" width="1.85546875" style="1958" customWidth="1"/>
    <col min="8965" max="8965" width="13.42578125" style="1958" customWidth="1"/>
    <col min="8966" max="8966" width="6.42578125" style="1958" customWidth="1"/>
    <col min="8967" max="8967" width="14" style="1958" customWidth="1"/>
    <col min="8968" max="8968" width="1.85546875" style="1958" customWidth="1"/>
    <col min="8969" max="8969" width="13.5703125" style="1958" customWidth="1"/>
    <col min="8970" max="8970" width="3.85546875" style="1958" customWidth="1"/>
    <col min="8971" max="8971" width="13.140625" style="1958" bestFit="1" customWidth="1"/>
    <col min="8972" max="8972" width="3.7109375" style="1958" customWidth="1"/>
    <col min="8973" max="8973" width="13.7109375" style="1958" customWidth="1"/>
    <col min="8974" max="8974" width="5.28515625" style="1958" customWidth="1"/>
    <col min="8975" max="8975" width="11" style="1958" customWidth="1"/>
    <col min="8976" max="8976" width="5.28515625" style="1958" customWidth="1"/>
    <col min="8977" max="8977" width="15.85546875" style="1958" customWidth="1"/>
    <col min="8978" max="8978" width="6.140625" style="1958" customWidth="1"/>
    <col min="8979" max="8979" width="13.85546875" style="1958" customWidth="1"/>
    <col min="8980" max="9216" width="16.7109375" style="1958"/>
    <col min="9217" max="9217" width="6.5703125" style="1958" customWidth="1"/>
    <col min="9218" max="9218" width="55" style="1958" customWidth="1"/>
    <col min="9219" max="9219" width="11" style="1958" customWidth="1"/>
    <col min="9220" max="9220" width="1.85546875" style="1958" customWidth="1"/>
    <col min="9221" max="9221" width="13.42578125" style="1958" customWidth="1"/>
    <col min="9222" max="9222" width="6.42578125" style="1958" customWidth="1"/>
    <col min="9223" max="9223" width="14" style="1958" customWidth="1"/>
    <col min="9224" max="9224" width="1.85546875" style="1958" customWidth="1"/>
    <col min="9225" max="9225" width="13.5703125" style="1958" customWidth="1"/>
    <col min="9226" max="9226" width="3.85546875" style="1958" customWidth="1"/>
    <col min="9227" max="9227" width="13.140625" style="1958" bestFit="1" customWidth="1"/>
    <col min="9228" max="9228" width="3.7109375" style="1958" customWidth="1"/>
    <col min="9229" max="9229" width="13.7109375" style="1958" customWidth="1"/>
    <col min="9230" max="9230" width="5.28515625" style="1958" customWidth="1"/>
    <col min="9231" max="9231" width="11" style="1958" customWidth="1"/>
    <col min="9232" max="9232" width="5.28515625" style="1958" customWidth="1"/>
    <col min="9233" max="9233" width="15.85546875" style="1958" customWidth="1"/>
    <col min="9234" max="9234" width="6.140625" style="1958" customWidth="1"/>
    <col min="9235" max="9235" width="13.85546875" style="1958" customWidth="1"/>
    <col min="9236" max="9472" width="16.7109375" style="1958"/>
    <col min="9473" max="9473" width="6.5703125" style="1958" customWidth="1"/>
    <col min="9474" max="9474" width="55" style="1958" customWidth="1"/>
    <col min="9475" max="9475" width="11" style="1958" customWidth="1"/>
    <col min="9476" max="9476" width="1.85546875" style="1958" customWidth="1"/>
    <col min="9477" max="9477" width="13.42578125" style="1958" customWidth="1"/>
    <col min="9478" max="9478" width="6.42578125" style="1958" customWidth="1"/>
    <col min="9479" max="9479" width="14" style="1958" customWidth="1"/>
    <col min="9480" max="9480" width="1.85546875" style="1958" customWidth="1"/>
    <col min="9481" max="9481" width="13.5703125" style="1958" customWidth="1"/>
    <col min="9482" max="9482" width="3.85546875" style="1958" customWidth="1"/>
    <col min="9483" max="9483" width="13.140625" style="1958" bestFit="1" customWidth="1"/>
    <col min="9484" max="9484" width="3.7109375" style="1958" customWidth="1"/>
    <col min="9485" max="9485" width="13.7109375" style="1958" customWidth="1"/>
    <col min="9486" max="9486" width="5.28515625" style="1958" customWidth="1"/>
    <col min="9487" max="9487" width="11" style="1958" customWidth="1"/>
    <col min="9488" max="9488" width="5.28515625" style="1958" customWidth="1"/>
    <col min="9489" max="9489" width="15.85546875" style="1958" customWidth="1"/>
    <col min="9490" max="9490" width="6.140625" style="1958" customWidth="1"/>
    <col min="9491" max="9491" width="13.85546875" style="1958" customWidth="1"/>
    <col min="9492" max="9728" width="16.7109375" style="1958"/>
    <col min="9729" max="9729" width="6.5703125" style="1958" customWidth="1"/>
    <col min="9730" max="9730" width="55" style="1958" customWidth="1"/>
    <col min="9731" max="9731" width="11" style="1958" customWidth="1"/>
    <col min="9732" max="9732" width="1.85546875" style="1958" customWidth="1"/>
    <col min="9733" max="9733" width="13.42578125" style="1958" customWidth="1"/>
    <col min="9734" max="9734" width="6.42578125" style="1958" customWidth="1"/>
    <col min="9735" max="9735" width="14" style="1958" customWidth="1"/>
    <col min="9736" max="9736" width="1.85546875" style="1958" customWidth="1"/>
    <col min="9737" max="9737" width="13.5703125" style="1958" customWidth="1"/>
    <col min="9738" max="9738" width="3.85546875" style="1958" customWidth="1"/>
    <col min="9739" max="9739" width="13.140625" style="1958" bestFit="1" customWidth="1"/>
    <col min="9740" max="9740" width="3.7109375" style="1958" customWidth="1"/>
    <col min="9741" max="9741" width="13.7109375" style="1958" customWidth="1"/>
    <col min="9742" max="9742" width="5.28515625" style="1958" customWidth="1"/>
    <col min="9743" max="9743" width="11" style="1958" customWidth="1"/>
    <col min="9744" max="9744" width="5.28515625" style="1958" customWidth="1"/>
    <col min="9745" max="9745" width="15.85546875" style="1958" customWidth="1"/>
    <col min="9746" max="9746" width="6.140625" style="1958" customWidth="1"/>
    <col min="9747" max="9747" width="13.85546875" style="1958" customWidth="1"/>
    <col min="9748" max="9984" width="16.7109375" style="1958"/>
    <col min="9985" max="9985" width="6.5703125" style="1958" customWidth="1"/>
    <col min="9986" max="9986" width="55" style="1958" customWidth="1"/>
    <col min="9987" max="9987" width="11" style="1958" customWidth="1"/>
    <col min="9988" max="9988" width="1.85546875" style="1958" customWidth="1"/>
    <col min="9989" max="9989" width="13.42578125" style="1958" customWidth="1"/>
    <col min="9990" max="9990" width="6.42578125" style="1958" customWidth="1"/>
    <col min="9991" max="9991" width="14" style="1958" customWidth="1"/>
    <col min="9992" max="9992" width="1.85546875" style="1958" customWidth="1"/>
    <col min="9993" max="9993" width="13.5703125" style="1958" customWidth="1"/>
    <col min="9994" max="9994" width="3.85546875" style="1958" customWidth="1"/>
    <col min="9995" max="9995" width="13.140625" style="1958" bestFit="1" customWidth="1"/>
    <col min="9996" max="9996" width="3.7109375" style="1958" customWidth="1"/>
    <col min="9997" max="9997" width="13.7109375" style="1958" customWidth="1"/>
    <col min="9998" max="9998" width="5.28515625" style="1958" customWidth="1"/>
    <col min="9999" max="9999" width="11" style="1958" customWidth="1"/>
    <col min="10000" max="10000" width="5.28515625" style="1958" customWidth="1"/>
    <col min="10001" max="10001" width="15.85546875" style="1958" customWidth="1"/>
    <col min="10002" max="10002" width="6.140625" style="1958" customWidth="1"/>
    <col min="10003" max="10003" width="13.85546875" style="1958" customWidth="1"/>
    <col min="10004" max="10240" width="16.7109375" style="1958"/>
    <col min="10241" max="10241" width="6.5703125" style="1958" customWidth="1"/>
    <col min="10242" max="10242" width="55" style="1958" customWidth="1"/>
    <col min="10243" max="10243" width="11" style="1958" customWidth="1"/>
    <col min="10244" max="10244" width="1.85546875" style="1958" customWidth="1"/>
    <col min="10245" max="10245" width="13.42578125" style="1958" customWidth="1"/>
    <col min="10246" max="10246" width="6.42578125" style="1958" customWidth="1"/>
    <col min="10247" max="10247" width="14" style="1958" customWidth="1"/>
    <col min="10248" max="10248" width="1.85546875" style="1958" customWidth="1"/>
    <col min="10249" max="10249" width="13.5703125" style="1958" customWidth="1"/>
    <col min="10250" max="10250" width="3.85546875" style="1958" customWidth="1"/>
    <col min="10251" max="10251" width="13.140625" style="1958" bestFit="1" customWidth="1"/>
    <col min="10252" max="10252" width="3.7109375" style="1958" customWidth="1"/>
    <col min="10253" max="10253" width="13.7109375" style="1958" customWidth="1"/>
    <col min="10254" max="10254" width="5.28515625" style="1958" customWidth="1"/>
    <col min="10255" max="10255" width="11" style="1958" customWidth="1"/>
    <col min="10256" max="10256" width="5.28515625" style="1958" customWidth="1"/>
    <col min="10257" max="10257" width="15.85546875" style="1958" customWidth="1"/>
    <col min="10258" max="10258" width="6.140625" style="1958" customWidth="1"/>
    <col min="10259" max="10259" width="13.85546875" style="1958" customWidth="1"/>
    <col min="10260" max="10496" width="16.7109375" style="1958"/>
    <col min="10497" max="10497" width="6.5703125" style="1958" customWidth="1"/>
    <col min="10498" max="10498" width="55" style="1958" customWidth="1"/>
    <col min="10499" max="10499" width="11" style="1958" customWidth="1"/>
    <col min="10500" max="10500" width="1.85546875" style="1958" customWidth="1"/>
    <col min="10501" max="10501" width="13.42578125" style="1958" customWidth="1"/>
    <col min="10502" max="10502" width="6.42578125" style="1958" customWidth="1"/>
    <col min="10503" max="10503" width="14" style="1958" customWidth="1"/>
    <col min="10504" max="10504" width="1.85546875" style="1958" customWidth="1"/>
    <col min="10505" max="10505" width="13.5703125" style="1958" customWidth="1"/>
    <col min="10506" max="10506" width="3.85546875" style="1958" customWidth="1"/>
    <col min="10507" max="10507" width="13.140625" style="1958" bestFit="1" customWidth="1"/>
    <col min="10508" max="10508" width="3.7109375" style="1958" customWidth="1"/>
    <col min="10509" max="10509" width="13.7109375" style="1958" customWidth="1"/>
    <col min="10510" max="10510" width="5.28515625" style="1958" customWidth="1"/>
    <col min="10511" max="10511" width="11" style="1958" customWidth="1"/>
    <col min="10512" max="10512" width="5.28515625" style="1958" customWidth="1"/>
    <col min="10513" max="10513" width="15.85546875" style="1958" customWidth="1"/>
    <col min="10514" max="10514" width="6.140625" style="1958" customWidth="1"/>
    <col min="10515" max="10515" width="13.85546875" style="1958" customWidth="1"/>
    <col min="10516" max="10752" width="16.7109375" style="1958"/>
    <col min="10753" max="10753" width="6.5703125" style="1958" customWidth="1"/>
    <col min="10754" max="10754" width="55" style="1958" customWidth="1"/>
    <col min="10755" max="10755" width="11" style="1958" customWidth="1"/>
    <col min="10756" max="10756" width="1.85546875" style="1958" customWidth="1"/>
    <col min="10757" max="10757" width="13.42578125" style="1958" customWidth="1"/>
    <col min="10758" max="10758" width="6.42578125" style="1958" customWidth="1"/>
    <col min="10759" max="10759" width="14" style="1958" customWidth="1"/>
    <col min="10760" max="10760" width="1.85546875" style="1958" customWidth="1"/>
    <col min="10761" max="10761" width="13.5703125" style="1958" customWidth="1"/>
    <col min="10762" max="10762" width="3.85546875" style="1958" customWidth="1"/>
    <col min="10763" max="10763" width="13.140625" style="1958" bestFit="1" customWidth="1"/>
    <col min="10764" max="10764" width="3.7109375" style="1958" customWidth="1"/>
    <col min="10765" max="10765" width="13.7109375" style="1958" customWidth="1"/>
    <col min="10766" max="10766" width="5.28515625" style="1958" customWidth="1"/>
    <col min="10767" max="10767" width="11" style="1958" customWidth="1"/>
    <col min="10768" max="10768" width="5.28515625" style="1958" customWidth="1"/>
    <col min="10769" max="10769" width="15.85546875" style="1958" customWidth="1"/>
    <col min="10770" max="10770" width="6.140625" style="1958" customWidth="1"/>
    <col min="10771" max="10771" width="13.85546875" style="1958" customWidth="1"/>
    <col min="10772" max="11008" width="16.7109375" style="1958"/>
    <col min="11009" max="11009" width="6.5703125" style="1958" customWidth="1"/>
    <col min="11010" max="11010" width="55" style="1958" customWidth="1"/>
    <col min="11011" max="11011" width="11" style="1958" customWidth="1"/>
    <col min="11012" max="11012" width="1.85546875" style="1958" customWidth="1"/>
    <col min="11013" max="11013" width="13.42578125" style="1958" customWidth="1"/>
    <col min="11014" max="11014" width="6.42578125" style="1958" customWidth="1"/>
    <col min="11015" max="11015" width="14" style="1958" customWidth="1"/>
    <col min="11016" max="11016" width="1.85546875" style="1958" customWidth="1"/>
    <col min="11017" max="11017" width="13.5703125" style="1958" customWidth="1"/>
    <col min="11018" max="11018" width="3.85546875" style="1958" customWidth="1"/>
    <col min="11019" max="11019" width="13.140625" style="1958" bestFit="1" customWidth="1"/>
    <col min="11020" max="11020" width="3.7109375" style="1958" customWidth="1"/>
    <col min="11021" max="11021" width="13.7109375" style="1958" customWidth="1"/>
    <col min="11022" max="11022" width="5.28515625" style="1958" customWidth="1"/>
    <col min="11023" max="11023" width="11" style="1958" customWidth="1"/>
    <col min="11024" max="11024" width="5.28515625" style="1958" customWidth="1"/>
    <col min="11025" max="11025" width="15.85546875" style="1958" customWidth="1"/>
    <col min="11026" max="11026" width="6.140625" style="1958" customWidth="1"/>
    <col min="11027" max="11027" width="13.85546875" style="1958" customWidth="1"/>
    <col min="11028" max="11264" width="16.7109375" style="1958"/>
    <col min="11265" max="11265" width="6.5703125" style="1958" customWidth="1"/>
    <col min="11266" max="11266" width="55" style="1958" customWidth="1"/>
    <col min="11267" max="11267" width="11" style="1958" customWidth="1"/>
    <col min="11268" max="11268" width="1.85546875" style="1958" customWidth="1"/>
    <col min="11269" max="11269" width="13.42578125" style="1958" customWidth="1"/>
    <col min="11270" max="11270" width="6.42578125" style="1958" customWidth="1"/>
    <col min="11271" max="11271" width="14" style="1958" customWidth="1"/>
    <col min="11272" max="11272" width="1.85546875" style="1958" customWidth="1"/>
    <col min="11273" max="11273" width="13.5703125" style="1958" customWidth="1"/>
    <col min="11274" max="11274" width="3.85546875" style="1958" customWidth="1"/>
    <col min="11275" max="11275" width="13.140625" style="1958" bestFit="1" customWidth="1"/>
    <col min="11276" max="11276" width="3.7109375" style="1958" customWidth="1"/>
    <col min="11277" max="11277" width="13.7109375" style="1958" customWidth="1"/>
    <col min="11278" max="11278" width="5.28515625" style="1958" customWidth="1"/>
    <col min="11279" max="11279" width="11" style="1958" customWidth="1"/>
    <col min="11280" max="11280" width="5.28515625" style="1958" customWidth="1"/>
    <col min="11281" max="11281" width="15.85546875" style="1958" customWidth="1"/>
    <col min="11282" max="11282" width="6.140625" style="1958" customWidth="1"/>
    <col min="11283" max="11283" width="13.85546875" style="1958" customWidth="1"/>
    <col min="11284" max="11520" width="16.7109375" style="1958"/>
    <col min="11521" max="11521" width="6.5703125" style="1958" customWidth="1"/>
    <col min="11522" max="11522" width="55" style="1958" customWidth="1"/>
    <col min="11523" max="11523" width="11" style="1958" customWidth="1"/>
    <col min="11524" max="11524" width="1.85546875" style="1958" customWidth="1"/>
    <col min="11525" max="11525" width="13.42578125" style="1958" customWidth="1"/>
    <col min="11526" max="11526" width="6.42578125" style="1958" customWidth="1"/>
    <col min="11527" max="11527" width="14" style="1958" customWidth="1"/>
    <col min="11528" max="11528" width="1.85546875" style="1958" customWidth="1"/>
    <col min="11529" max="11529" width="13.5703125" style="1958" customWidth="1"/>
    <col min="11530" max="11530" width="3.85546875" style="1958" customWidth="1"/>
    <col min="11531" max="11531" width="13.140625" style="1958" bestFit="1" customWidth="1"/>
    <col min="11532" max="11532" width="3.7109375" style="1958" customWidth="1"/>
    <col min="11533" max="11533" width="13.7109375" style="1958" customWidth="1"/>
    <col min="11534" max="11534" width="5.28515625" style="1958" customWidth="1"/>
    <col min="11535" max="11535" width="11" style="1958" customWidth="1"/>
    <col min="11536" max="11536" width="5.28515625" style="1958" customWidth="1"/>
    <col min="11537" max="11537" width="15.85546875" style="1958" customWidth="1"/>
    <col min="11538" max="11538" width="6.140625" style="1958" customWidth="1"/>
    <col min="11539" max="11539" width="13.85546875" style="1958" customWidth="1"/>
    <col min="11540" max="11776" width="16.7109375" style="1958"/>
    <col min="11777" max="11777" width="6.5703125" style="1958" customWidth="1"/>
    <col min="11778" max="11778" width="55" style="1958" customWidth="1"/>
    <col min="11779" max="11779" width="11" style="1958" customWidth="1"/>
    <col min="11780" max="11780" width="1.85546875" style="1958" customWidth="1"/>
    <col min="11781" max="11781" width="13.42578125" style="1958" customWidth="1"/>
    <col min="11782" max="11782" width="6.42578125" style="1958" customWidth="1"/>
    <col min="11783" max="11783" width="14" style="1958" customWidth="1"/>
    <col min="11784" max="11784" width="1.85546875" style="1958" customWidth="1"/>
    <col min="11785" max="11785" width="13.5703125" style="1958" customWidth="1"/>
    <col min="11786" max="11786" width="3.85546875" style="1958" customWidth="1"/>
    <col min="11787" max="11787" width="13.140625" style="1958" bestFit="1" customWidth="1"/>
    <col min="11788" max="11788" width="3.7109375" style="1958" customWidth="1"/>
    <col min="11789" max="11789" width="13.7109375" style="1958" customWidth="1"/>
    <col min="11790" max="11790" width="5.28515625" style="1958" customWidth="1"/>
    <col min="11791" max="11791" width="11" style="1958" customWidth="1"/>
    <col min="11792" max="11792" width="5.28515625" style="1958" customWidth="1"/>
    <col min="11793" max="11793" width="15.85546875" style="1958" customWidth="1"/>
    <col min="11794" max="11794" width="6.140625" style="1958" customWidth="1"/>
    <col min="11795" max="11795" width="13.85546875" style="1958" customWidth="1"/>
    <col min="11796" max="12032" width="16.7109375" style="1958"/>
    <col min="12033" max="12033" width="6.5703125" style="1958" customWidth="1"/>
    <col min="12034" max="12034" width="55" style="1958" customWidth="1"/>
    <col min="12035" max="12035" width="11" style="1958" customWidth="1"/>
    <col min="12036" max="12036" width="1.85546875" style="1958" customWidth="1"/>
    <col min="12037" max="12037" width="13.42578125" style="1958" customWidth="1"/>
    <col min="12038" max="12038" width="6.42578125" style="1958" customWidth="1"/>
    <col min="12039" max="12039" width="14" style="1958" customWidth="1"/>
    <col min="12040" max="12040" width="1.85546875" style="1958" customWidth="1"/>
    <col min="12041" max="12041" width="13.5703125" style="1958" customWidth="1"/>
    <col min="12042" max="12042" width="3.85546875" style="1958" customWidth="1"/>
    <col min="12043" max="12043" width="13.140625" style="1958" bestFit="1" customWidth="1"/>
    <col min="12044" max="12044" width="3.7109375" style="1958" customWidth="1"/>
    <col min="12045" max="12045" width="13.7109375" style="1958" customWidth="1"/>
    <col min="12046" max="12046" width="5.28515625" style="1958" customWidth="1"/>
    <col min="12047" max="12047" width="11" style="1958" customWidth="1"/>
    <col min="12048" max="12048" width="5.28515625" style="1958" customWidth="1"/>
    <col min="12049" max="12049" width="15.85546875" style="1958" customWidth="1"/>
    <col min="12050" max="12050" width="6.140625" style="1958" customWidth="1"/>
    <col min="12051" max="12051" width="13.85546875" style="1958" customWidth="1"/>
    <col min="12052" max="12288" width="16.7109375" style="1958"/>
    <col min="12289" max="12289" width="6.5703125" style="1958" customWidth="1"/>
    <col min="12290" max="12290" width="55" style="1958" customWidth="1"/>
    <col min="12291" max="12291" width="11" style="1958" customWidth="1"/>
    <col min="12292" max="12292" width="1.85546875" style="1958" customWidth="1"/>
    <col min="12293" max="12293" width="13.42578125" style="1958" customWidth="1"/>
    <col min="12294" max="12294" width="6.42578125" style="1958" customWidth="1"/>
    <col min="12295" max="12295" width="14" style="1958" customWidth="1"/>
    <col min="12296" max="12296" width="1.85546875" style="1958" customWidth="1"/>
    <col min="12297" max="12297" width="13.5703125" style="1958" customWidth="1"/>
    <col min="12298" max="12298" width="3.85546875" style="1958" customWidth="1"/>
    <col min="12299" max="12299" width="13.140625" style="1958" bestFit="1" customWidth="1"/>
    <col min="12300" max="12300" width="3.7109375" style="1958" customWidth="1"/>
    <col min="12301" max="12301" width="13.7109375" style="1958" customWidth="1"/>
    <col min="12302" max="12302" width="5.28515625" style="1958" customWidth="1"/>
    <col min="12303" max="12303" width="11" style="1958" customWidth="1"/>
    <col min="12304" max="12304" width="5.28515625" style="1958" customWidth="1"/>
    <col min="12305" max="12305" width="15.85546875" style="1958" customWidth="1"/>
    <col min="12306" max="12306" width="6.140625" style="1958" customWidth="1"/>
    <col min="12307" max="12307" width="13.85546875" style="1958" customWidth="1"/>
    <col min="12308" max="12544" width="16.7109375" style="1958"/>
    <col min="12545" max="12545" width="6.5703125" style="1958" customWidth="1"/>
    <col min="12546" max="12546" width="55" style="1958" customWidth="1"/>
    <col min="12547" max="12547" width="11" style="1958" customWidth="1"/>
    <col min="12548" max="12548" width="1.85546875" style="1958" customWidth="1"/>
    <col min="12549" max="12549" width="13.42578125" style="1958" customWidth="1"/>
    <col min="12550" max="12550" width="6.42578125" style="1958" customWidth="1"/>
    <col min="12551" max="12551" width="14" style="1958" customWidth="1"/>
    <col min="12552" max="12552" width="1.85546875" style="1958" customWidth="1"/>
    <col min="12553" max="12553" width="13.5703125" style="1958" customWidth="1"/>
    <col min="12554" max="12554" width="3.85546875" style="1958" customWidth="1"/>
    <col min="12555" max="12555" width="13.140625" style="1958" bestFit="1" customWidth="1"/>
    <col min="12556" max="12556" width="3.7109375" style="1958" customWidth="1"/>
    <col min="12557" max="12557" width="13.7109375" style="1958" customWidth="1"/>
    <col min="12558" max="12558" width="5.28515625" style="1958" customWidth="1"/>
    <col min="12559" max="12559" width="11" style="1958" customWidth="1"/>
    <col min="12560" max="12560" width="5.28515625" style="1958" customWidth="1"/>
    <col min="12561" max="12561" width="15.85546875" style="1958" customWidth="1"/>
    <col min="12562" max="12562" width="6.140625" style="1958" customWidth="1"/>
    <col min="12563" max="12563" width="13.85546875" style="1958" customWidth="1"/>
    <col min="12564" max="12800" width="16.7109375" style="1958"/>
    <col min="12801" max="12801" width="6.5703125" style="1958" customWidth="1"/>
    <col min="12802" max="12802" width="55" style="1958" customWidth="1"/>
    <col min="12803" max="12803" width="11" style="1958" customWidth="1"/>
    <col min="12804" max="12804" width="1.85546875" style="1958" customWidth="1"/>
    <col min="12805" max="12805" width="13.42578125" style="1958" customWidth="1"/>
    <col min="12806" max="12806" width="6.42578125" style="1958" customWidth="1"/>
    <col min="12807" max="12807" width="14" style="1958" customWidth="1"/>
    <col min="12808" max="12808" width="1.85546875" style="1958" customWidth="1"/>
    <col min="12809" max="12809" width="13.5703125" style="1958" customWidth="1"/>
    <col min="12810" max="12810" width="3.85546875" style="1958" customWidth="1"/>
    <col min="12811" max="12811" width="13.140625" style="1958" bestFit="1" customWidth="1"/>
    <col min="12812" max="12812" width="3.7109375" style="1958" customWidth="1"/>
    <col min="12813" max="12813" width="13.7109375" style="1958" customWidth="1"/>
    <col min="12814" max="12814" width="5.28515625" style="1958" customWidth="1"/>
    <col min="12815" max="12815" width="11" style="1958" customWidth="1"/>
    <col min="12816" max="12816" width="5.28515625" style="1958" customWidth="1"/>
    <col min="12817" max="12817" width="15.85546875" style="1958" customWidth="1"/>
    <col min="12818" max="12818" width="6.140625" style="1958" customWidth="1"/>
    <col min="12819" max="12819" width="13.85546875" style="1958" customWidth="1"/>
    <col min="12820" max="13056" width="16.7109375" style="1958"/>
    <col min="13057" max="13057" width="6.5703125" style="1958" customWidth="1"/>
    <col min="13058" max="13058" width="55" style="1958" customWidth="1"/>
    <col min="13059" max="13059" width="11" style="1958" customWidth="1"/>
    <col min="13060" max="13060" width="1.85546875" style="1958" customWidth="1"/>
    <col min="13061" max="13061" width="13.42578125" style="1958" customWidth="1"/>
    <col min="13062" max="13062" width="6.42578125" style="1958" customWidth="1"/>
    <col min="13063" max="13063" width="14" style="1958" customWidth="1"/>
    <col min="13064" max="13064" width="1.85546875" style="1958" customWidth="1"/>
    <col min="13065" max="13065" width="13.5703125" style="1958" customWidth="1"/>
    <col min="13066" max="13066" width="3.85546875" style="1958" customWidth="1"/>
    <col min="13067" max="13067" width="13.140625" style="1958" bestFit="1" customWidth="1"/>
    <col min="13068" max="13068" width="3.7109375" style="1958" customWidth="1"/>
    <col min="13069" max="13069" width="13.7109375" style="1958" customWidth="1"/>
    <col min="13070" max="13070" width="5.28515625" style="1958" customWidth="1"/>
    <col min="13071" max="13071" width="11" style="1958" customWidth="1"/>
    <col min="13072" max="13072" width="5.28515625" style="1958" customWidth="1"/>
    <col min="13073" max="13073" width="15.85546875" style="1958" customWidth="1"/>
    <col min="13074" max="13074" width="6.140625" style="1958" customWidth="1"/>
    <col min="13075" max="13075" width="13.85546875" style="1958" customWidth="1"/>
    <col min="13076" max="13312" width="16.7109375" style="1958"/>
    <col min="13313" max="13313" width="6.5703125" style="1958" customWidth="1"/>
    <col min="13314" max="13314" width="55" style="1958" customWidth="1"/>
    <col min="13315" max="13315" width="11" style="1958" customWidth="1"/>
    <col min="13316" max="13316" width="1.85546875" style="1958" customWidth="1"/>
    <col min="13317" max="13317" width="13.42578125" style="1958" customWidth="1"/>
    <col min="13318" max="13318" width="6.42578125" style="1958" customWidth="1"/>
    <col min="13319" max="13319" width="14" style="1958" customWidth="1"/>
    <col min="13320" max="13320" width="1.85546875" style="1958" customWidth="1"/>
    <col min="13321" max="13321" width="13.5703125" style="1958" customWidth="1"/>
    <col min="13322" max="13322" width="3.85546875" style="1958" customWidth="1"/>
    <col min="13323" max="13323" width="13.140625" style="1958" bestFit="1" customWidth="1"/>
    <col min="13324" max="13324" width="3.7109375" style="1958" customWidth="1"/>
    <col min="13325" max="13325" width="13.7109375" style="1958" customWidth="1"/>
    <col min="13326" max="13326" width="5.28515625" style="1958" customWidth="1"/>
    <col min="13327" max="13327" width="11" style="1958" customWidth="1"/>
    <col min="13328" max="13328" width="5.28515625" style="1958" customWidth="1"/>
    <col min="13329" max="13329" width="15.85546875" style="1958" customWidth="1"/>
    <col min="13330" max="13330" width="6.140625" style="1958" customWidth="1"/>
    <col min="13331" max="13331" width="13.85546875" style="1958" customWidth="1"/>
    <col min="13332" max="13568" width="16.7109375" style="1958"/>
    <col min="13569" max="13569" width="6.5703125" style="1958" customWidth="1"/>
    <col min="13570" max="13570" width="55" style="1958" customWidth="1"/>
    <col min="13571" max="13571" width="11" style="1958" customWidth="1"/>
    <col min="13572" max="13572" width="1.85546875" style="1958" customWidth="1"/>
    <col min="13573" max="13573" width="13.42578125" style="1958" customWidth="1"/>
    <col min="13574" max="13574" width="6.42578125" style="1958" customWidth="1"/>
    <col min="13575" max="13575" width="14" style="1958" customWidth="1"/>
    <col min="13576" max="13576" width="1.85546875" style="1958" customWidth="1"/>
    <col min="13577" max="13577" width="13.5703125" style="1958" customWidth="1"/>
    <col min="13578" max="13578" width="3.85546875" style="1958" customWidth="1"/>
    <col min="13579" max="13579" width="13.140625" style="1958" bestFit="1" customWidth="1"/>
    <col min="13580" max="13580" width="3.7109375" style="1958" customWidth="1"/>
    <col min="13581" max="13581" width="13.7109375" style="1958" customWidth="1"/>
    <col min="13582" max="13582" width="5.28515625" style="1958" customWidth="1"/>
    <col min="13583" max="13583" width="11" style="1958" customWidth="1"/>
    <col min="13584" max="13584" width="5.28515625" style="1958" customWidth="1"/>
    <col min="13585" max="13585" width="15.85546875" style="1958" customWidth="1"/>
    <col min="13586" max="13586" width="6.140625" style="1958" customWidth="1"/>
    <col min="13587" max="13587" width="13.85546875" style="1958" customWidth="1"/>
    <col min="13588" max="13824" width="16.7109375" style="1958"/>
    <col min="13825" max="13825" width="6.5703125" style="1958" customWidth="1"/>
    <col min="13826" max="13826" width="55" style="1958" customWidth="1"/>
    <col min="13827" max="13827" width="11" style="1958" customWidth="1"/>
    <col min="13828" max="13828" width="1.85546875" style="1958" customWidth="1"/>
    <col min="13829" max="13829" width="13.42578125" style="1958" customWidth="1"/>
    <col min="13830" max="13830" width="6.42578125" style="1958" customWidth="1"/>
    <col min="13831" max="13831" width="14" style="1958" customWidth="1"/>
    <col min="13832" max="13832" width="1.85546875" style="1958" customWidth="1"/>
    <col min="13833" max="13833" width="13.5703125" style="1958" customWidth="1"/>
    <col min="13834" max="13834" width="3.85546875" style="1958" customWidth="1"/>
    <col min="13835" max="13835" width="13.140625" style="1958" bestFit="1" customWidth="1"/>
    <col min="13836" max="13836" width="3.7109375" style="1958" customWidth="1"/>
    <col min="13837" max="13837" width="13.7109375" style="1958" customWidth="1"/>
    <col min="13838" max="13838" width="5.28515625" style="1958" customWidth="1"/>
    <col min="13839" max="13839" width="11" style="1958" customWidth="1"/>
    <col min="13840" max="13840" width="5.28515625" style="1958" customWidth="1"/>
    <col min="13841" max="13841" width="15.85546875" style="1958" customWidth="1"/>
    <col min="13842" max="13842" width="6.140625" style="1958" customWidth="1"/>
    <col min="13843" max="13843" width="13.85546875" style="1958" customWidth="1"/>
    <col min="13844" max="14080" width="16.7109375" style="1958"/>
    <col min="14081" max="14081" width="6.5703125" style="1958" customWidth="1"/>
    <col min="14082" max="14082" width="55" style="1958" customWidth="1"/>
    <col min="14083" max="14083" width="11" style="1958" customWidth="1"/>
    <col min="14084" max="14084" width="1.85546875" style="1958" customWidth="1"/>
    <col min="14085" max="14085" width="13.42578125" style="1958" customWidth="1"/>
    <col min="14086" max="14086" width="6.42578125" style="1958" customWidth="1"/>
    <col min="14087" max="14087" width="14" style="1958" customWidth="1"/>
    <col min="14088" max="14088" width="1.85546875" style="1958" customWidth="1"/>
    <col min="14089" max="14089" width="13.5703125" style="1958" customWidth="1"/>
    <col min="14090" max="14090" width="3.85546875" style="1958" customWidth="1"/>
    <col min="14091" max="14091" width="13.140625" style="1958" bestFit="1" customWidth="1"/>
    <col min="14092" max="14092" width="3.7109375" style="1958" customWidth="1"/>
    <col min="14093" max="14093" width="13.7109375" style="1958" customWidth="1"/>
    <col min="14094" max="14094" width="5.28515625" style="1958" customWidth="1"/>
    <col min="14095" max="14095" width="11" style="1958" customWidth="1"/>
    <col min="14096" max="14096" width="5.28515625" style="1958" customWidth="1"/>
    <col min="14097" max="14097" width="15.85546875" style="1958" customWidth="1"/>
    <col min="14098" max="14098" width="6.140625" style="1958" customWidth="1"/>
    <col min="14099" max="14099" width="13.85546875" style="1958" customWidth="1"/>
    <col min="14100" max="14336" width="16.7109375" style="1958"/>
    <col min="14337" max="14337" width="6.5703125" style="1958" customWidth="1"/>
    <col min="14338" max="14338" width="55" style="1958" customWidth="1"/>
    <col min="14339" max="14339" width="11" style="1958" customWidth="1"/>
    <col min="14340" max="14340" width="1.85546875" style="1958" customWidth="1"/>
    <col min="14341" max="14341" width="13.42578125" style="1958" customWidth="1"/>
    <col min="14342" max="14342" width="6.42578125" style="1958" customWidth="1"/>
    <col min="14343" max="14343" width="14" style="1958" customWidth="1"/>
    <col min="14344" max="14344" width="1.85546875" style="1958" customWidth="1"/>
    <col min="14345" max="14345" width="13.5703125" style="1958" customWidth="1"/>
    <col min="14346" max="14346" width="3.85546875" style="1958" customWidth="1"/>
    <col min="14347" max="14347" width="13.140625" style="1958" bestFit="1" customWidth="1"/>
    <col min="14348" max="14348" width="3.7109375" style="1958" customWidth="1"/>
    <col min="14349" max="14349" width="13.7109375" style="1958" customWidth="1"/>
    <col min="14350" max="14350" width="5.28515625" style="1958" customWidth="1"/>
    <col min="14351" max="14351" width="11" style="1958" customWidth="1"/>
    <col min="14352" max="14352" width="5.28515625" style="1958" customWidth="1"/>
    <col min="14353" max="14353" width="15.85546875" style="1958" customWidth="1"/>
    <col min="14354" max="14354" width="6.140625" style="1958" customWidth="1"/>
    <col min="14355" max="14355" width="13.85546875" style="1958" customWidth="1"/>
    <col min="14356" max="14592" width="16.7109375" style="1958"/>
    <col min="14593" max="14593" width="6.5703125" style="1958" customWidth="1"/>
    <col min="14594" max="14594" width="55" style="1958" customWidth="1"/>
    <col min="14595" max="14595" width="11" style="1958" customWidth="1"/>
    <col min="14596" max="14596" width="1.85546875" style="1958" customWidth="1"/>
    <col min="14597" max="14597" width="13.42578125" style="1958" customWidth="1"/>
    <col min="14598" max="14598" width="6.42578125" style="1958" customWidth="1"/>
    <col min="14599" max="14599" width="14" style="1958" customWidth="1"/>
    <col min="14600" max="14600" width="1.85546875" style="1958" customWidth="1"/>
    <col min="14601" max="14601" width="13.5703125" style="1958" customWidth="1"/>
    <col min="14602" max="14602" width="3.85546875" style="1958" customWidth="1"/>
    <col min="14603" max="14603" width="13.140625" style="1958" bestFit="1" customWidth="1"/>
    <col min="14604" max="14604" width="3.7109375" style="1958" customWidth="1"/>
    <col min="14605" max="14605" width="13.7109375" style="1958" customWidth="1"/>
    <col min="14606" max="14606" width="5.28515625" style="1958" customWidth="1"/>
    <col min="14607" max="14607" width="11" style="1958" customWidth="1"/>
    <col min="14608" max="14608" width="5.28515625" style="1958" customWidth="1"/>
    <col min="14609" max="14609" width="15.85546875" style="1958" customWidth="1"/>
    <col min="14610" max="14610" width="6.140625" style="1958" customWidth="1"/>
    <col min="14611" max="14611" width="13.85546875" style="1958" customWidth="1"/>
    <col min="14612" max="14848" width="16.7109375" style="1958"/>
    <col min="14849" max="14849" width="6.5703125" style="1958" customWidth="1"/>
    <col min="14850" max="14850" width="55" style="1958" customWidth="1"/>
    <col min="14851" max="14851" width="11" style="1958" customWidth="1"/>
    <col min="14852" max="14852" width="1.85546875" style="1958" customWidth="1"/>
    <col min="14853" max="14853" width="13.42578125" style="1958" customWidth="1"/>
    <col min="14854" max="14854" width="6.42578125" style="1958" customWidth="1"/>
    <col min="14855" max="14855" width="14" style="1958" customWidth="1"/>
    <col min="14856" max="14856" width="1.85546875" style="1958" customWidth="1"/>
    <col min="14857" max="14857" width="13.5703125" style="1958" customWidth="1"/>
    <col min="14858" max="14858" width="3.85546875" style="1958" customWidth="1"/>
    <col min="14859" max="14859" width="13.140625" style="1958" bestFit="1" customWidth="1"/>
    <col min="14860" max="14860" width="3.7109375" style="1958" customWidth="1"/>
    <col min="14861" max="14861" width="13.7109375" style="1958" customWidth="1"/>
    <col min="14862" max="14862" width="5.28515625" style="1958" customWidth="1"/>
    <col min="14863" max="14863" width="11" style="1958" customWidth="1"/>
    <col min="14864" max="14864" width="5.28515625" style="1958" customWidth="1"/>
    <col min="14865" max="14865" width="15.85546875" style="1958" customWidth="1"/>
    <col min="14866" max="14866" width="6.140625" style="1958" customWidth="1"/>
    <col min="14867" max="14867" width="13.85546875" style="1958" customWidth="1"/>
    <col min="14868" max="15104" width="16.7109375" style="1958"/>
    <col min="15105" max="15105" width="6.5703125" style="1958" customWidth="1"/>
    <col min="15106" max="15106" width="55" style="1958" customWidth="1"/>
    <col min="15107" max="15107" width="11" style="1958" customWidth="1"/>
    <col min="15108" max="15108" width="1.85546875" style="1958" customWidth="1"/>
    <col min="15109" max="15109" width="13.42578125" style="1958" customWidth="1"/>
    <col min="15110" max="15110" width="6.42578125" style="1958" customWidth="1"/>
    <col min="15111" max="15111" width="14" style="1958" customWidth="1"/>
    <col min="15112" max="15112" width="1.85546875" style="1958" customWidth="1"/>
    <col min="15113" max="15113" width="13.5703125" style="1958" customWidth="1"/>
    <col min="15114" max="15114" width="3.85546875" style="1958" customWidth="1"/>
    <col min="15115" max="15115" width="13.140625" style="1958" bestFit="1" customWidth="1"/>
    <col min="15116" max="15116" width="3.7109375" style="1958" customWidth="1"/>
    <col min="15117" max="15117" width="13.7109375" style="1958" customWidth="1"/>
    <col min="15118" max="15118" width="5.28515625" style="1958" customWidth="1"/>
    <col min="15119" max="15119" width="11" style="1958" customWidth="1"/>
    <col min="15120" max="15120" width="5.28515625" style="1958" customWidth="1"/>
    <col min="15121" max="15121" width="15.85546875" style="1958" customWidth="1"/>
    <col min="15122" max="15122" width="6.140625" style="1958" customWidth="1"/>
    <col min="15123" max="15123" width="13.85546875" style="1958" customWidth="1"/>
    <col min="15124" max="15360" width="16.7109375" style="1958"/>
    <col min="15361" max="15361" width="6.5703125" style="1958" customWidth="1"/>
    <col min="15362" max="15362" width="55" style="1958" customWidth="1"/>
    <col min="15363" max="15363" width="11" style="1958" customWidth="1"/>
    <col min="15364" max="15364" width="1.85546875" style="1958" customWidth="1"/>
    <col min="15365" max="15365" width="13.42578125" style="1958" customWidth="1"/>
    <col min="15366" max="15366" width="6.42578125" style="1958" customWidth="1"/>
    <col min="15367" max="15367" width="14" style="1958" customWidth="1"/>
    <col min="15368" max="15368" width="1.85546875" style="1958" customWidth="1"/>
    <col min="15369" max="15369" width="13.5703125" style="1958" customWidth="1"/>
    <col min="15370" max="15370" width="3.85546875" style="1958" customWidth="1"/>
    <col min="15371" max="15371" width="13.140625" style="1958" bestFit="1" customWidth="1"/>
    <col min="15372" max="15372" width="3.7109375" style="1958" customWidth="1"/>
    <col min="15373" max="15373" width="13.7109375" style="1958" customWidth="1"/>
    <col min="15374" max="15374" width="5.28515625" style="1958" customWidth="1"/>
    <col min="15375" max="15375" width="11" style="1958" customWidth="1"/>
    <col min="15376" max="15376" width="5.28515625" style="1958" customWidth="1"/>
    <col min="15377" max="15377" width="15.85546875" style="1958" customWidth="1"/>
    <col min="15378" max="15378" width="6.140625" style="1958" customWidth="1"/>
    <col min="15379" max="15379" width="13.85546875" style="1958" customWidth="1"/>
    <col min="15380" max="15616" width="16.7109375" style="1958"/>
    <col min="15617" max="15617" width="6.5703125" style="1958" customWidth="1"/>
    <col min="15618" max="15618" width="55" style="1958" customWidth="1"/>
    <col min="15619" max="15619" width="11" style="1958" customWidth="1"/>
    <col min="15620" max="15620" width="1.85546875" style="1958" customWidth="1"/>
    <col min="15621" max="15621" width="13.42578125" style="1958" customWidth="1"/>
    <col min="15622" max="15622" width="6.42578125" style="1958" customWidth="1"/>
    <col min="15623" max="15623" width="14" style="1958" customWidth="1"/>
    <col min="15624" max="15624" width="1.85546875" style="1958" customWidth="1"/>
    <col min="15625" max="15625" width="13.5703125" style="1958" customWidth="1"/>
    <col min="15626" max="15626" width="3.85546875" style="1958" customWidth="1"/>
    <col min="15627" max="15627" width="13.140625" style="1958" bestFit="1" customWidth="1"/>
    <col min="15628" max="15628" width="3.7109375" style="1958" customWidth="1"/>
    <col min="15629" max="15629" width="13.7109375" style="1958" customWidth="1"/>
    <col min="15630" max="15630" width="5.28515625" style="1958" customWidth="1"/>
    <col min="15631" max="15631" width="11" style="1958" customWidth="1"/>
    <col min="15632" max="15632" width="5.28515625" style="1958" customWidth="1"/>
    <col min="15633" max="15633" width="15.85546875" style="1958" customWidth="1"/>
    <col min="15634" max="15634" width="6.140625" style="1958" customWidth="1"/>
    <col min="15635" max="15635" width="13.85546875" style="1958" customWidth="1"/>
    <col min="15636" max="15872" width="16.7109375" style="1958"/>
    <col min="15873" max="15873" width="6.5703125" style="1958" customWidth="1"/>
    <col min="15874" max="15874" width="55" style="1958" customWidth="1"/>
    <col min="15875" max="15875" width="11" style="1958" customWidth="1"/>
    <col min="15876" max="15876" width="1.85546875" style="1958" customWidth="1"/>
    <col min="15877" max="15877" width="13.42578125" style="1958" customWidth="1"/>
    <col min="15878" max="15878" width="6.42578125" style="1958" customWidth="1"/>
    <col min="15879" max="15879" width="14" style="1958" customWidth="1"/>
    <col min="15880" max="15880" width="1.85546875" style="1958" customWidth="1"/>
    <col min="15881" max="15881" width="13.5703125" style="1958" customWidth="1"/>
    <col min="15882" max="15882" width="3.85546875" style="1958" customWidth="1"/>
    <col min="15883" max="15883" width="13.140625" style="1958" bestFit="1" customWidth="1"/>
    <col min="15884" max="15884" width="3.7109375" style="1958" customWidth="1"/>
    <col min="15885" max="15885" width="13.7109375" style="1958" customWidth="1"/>
    <col min="15886" max="15886" width="5.28515625" style="1958" customWidth="1"/>
    <col min="15887" max="15887" width="11" style="1958" customWidth="1"/>
    <col min="15888" max="15888" width="5.28515625" style="1958" customWidth="1"/>
    <col min="15889" max="15889" width="15.85546875" style="1958" customWidth="1"/>
    <col min="15890" max="15890" width="6.140625" style="1958" customWidth="1"/>
    <col min="15891" max="15891" width="13.85546875" style="1958" customWidth="1"/>
    <col min="15892" max="16128" width="16.7109375" style="1958"/>
    <col min="16129" max="16129" width="6.5703125" style="1958" customWidth="1"/>
    <col min="16130" max="16130" width="55" style="1958" customWidth="1"/>
    <col min="16131" max="16131" width="11" style="1958" customWidth="1"/>
    <col min="16132" max="16132" width="1.85546875" style="1958" customWidth="1"/>
    <col min="16133" max="16133" width="13.42578125" style="1958" customWidth="1"/>
    <col min="16134" max="16134" width="6.42578125" style="1958" customWidth="1"/>
    <col min="16135" max="16135" width="14" style="1958" customWidth="1"/>
    <col min="16136" max="16136" width="1.85546875" style="1958" customWidth="1"/>
    <col min="16137" max="16137" width="13.5703125" style="1958" customWidth="1"/>
    <col min="16138" max="16138" width="3.85546875" style="1958" customWidth="1"/>
    <col min="16139" max="16139" width="13.140625" style="1958" bestFit="1" customWidth="1"/>
    <col min="16140" max="16140" width="3.7109375" style="1958" customWidth="1"/>
    <col min="16141" max="16141" width="13.7109375" style="1958" customWidth="1"/>
    <col min="16142" max="16142" width="5.28515625" style="1958" customWidth="1"/>
    <col min="16143" max="16143" width="11" style="1958" customWidth="1"/>
    <col min="16144" max="16144" width="5.28515625" style="1958" customWidth="1"/>
    <col min="16145" max="16145" width="15.85546875" style="1958" customWidth="1"/>
    <col min="16146" max="16146" width="6.140625" style="1958" customWidth="1"/>
    <col min="16147" max="16147" width="13.85546875" style="1958" customWidth="1"/>
    <col min="16148" max="16384" width="16.7109375" style="1958"/>
  </cols>
  <sheetData>
    <row r="1" spans="1:25" s="1962" customFormat="1" hidden="1" x14ac:dyDescent="0.15">
      <c r="A1" s="1957"/>
      <c r="B1" s="1958"/>
      <c r="C1" s="1958"/>
      <c r="D1" s="1958"/>
      <c r="E1" s="1958"/>
      <c r="F1" s="1959"/>
      <c r="G1" s="1958"/>
      <c r="H1" s="1958"/>
      <c r="I1" s="1958"/>
      <c r="J1" s="1959"/>
      <c r="K1" s="1958"/>
      <c r="L1" s="1958"/>
      <c r="M1" s="1960"/>
      <c r="N1" s="1960"/>
      <c r="O1" s="1960"/>
      <c r="P1" s="1961"/>
      <c r="Q1" s="1960"/>
      <c r="R1" s="1960"/>
      <c r="T1" s="1963"/>
      <c r="U1" s="1963"/>
    </row>
    <row r="2" spans="1:25" hidden="1" x14ac:dyDescent="0.15">
      <c r="M2" s="1960"/>
      <c r="N2" s="1960"/>
      <c r="O2" s="1960"/>
      <c r="P2" s="1961"/>
      <c r="Q2" s="1960"/>
      <c r="R2" s="1960"/>
      <c r="S2" s="1964"/>
      <c r="T2" s="1963"/>
      <c r="U2" s="1963"/>
      <c r="V2" s="1962"/>
      <c r="W2" s="1962"/>
      <c r="X2" s="1962"/>
      <c r="Y2" s="1962"/>
    </row>
    <row r="3" spans="1:25" hidden="1" x14ac:dyDescent="0.15">
      <c r="M3" s="1960"/>
      <c r="N3" s="1960"/>
      <c r="O3" s="1960"/>
      <c r="P3" s="1961"/>
      <c r="Q3" s="1960"/>
      <c r="R3" s="1960"/>
      <c r="S3" s="1964"/>
      <c r="T3" s="1963"/>
      <c r="U3" s="1963"/>
      <c r="V3" s="1962"/>
      <c r="W3" s="1962"/>
      <c r="X3" s="1962"/>
      <c r="Y3" s="1962"/>
    </row>
    <row r="4" spans="1:25" ht="15.75" x14ac:dyDescent="0.2">
      <c r="A4" s="2573" t="s">
        <v>2083</v>
      </c>
      <c r="B4" s="2573"/>
      <c r="C4" s="2573"/>
      <c r="D4" s="2573"/>
      <c r="E4" s="2573"/>
      <c r="F4" s="2573"/>
      <c r="G4" s="2573"/>
      <c r="H4" s="2573"/>
      <c r="I4" s="2573"/>
      <c r="J4" s="2573"/>
      <c r="K4" s="2573"/>
      <c r="L4" s="2573"/>
      <c r="M4" s="2573"/>
      <c r="N4" s="2573"/>
      <c r="O4" s="2573"/>
      <c r="P4" s="2573"/>
      <c r="Q4" s="2573"/>
      <c r="R4" s="2573"/>
      <c r="S4" s="2573"/>
      <c r="T4" s="1965"/>
      <c r="U4" s="1965"/>
      <c r="V4" s="1966"/>
      <c r="W4" s="1966"/>
      <c r="X4" s="1966"/>
      <c r="Y4" s="1967"/>
    </row>
    <row r="5" spans="1:25" ht="15.75" x14ac:dyDescent="0.2">
      <c r="A5" s="2573" t="s">
        <v>2104</v>
      </c>
      <c r="B5" s="2573"/>
      <c r="C5" s="2573"/>
      <c r="D5" s="2573"/>
      <c r="E5" s="2573"/>
      <c r="F5" s="2573"/>
      <c r="G5" s="2573"/>
      <c r="H5" s="2573"/>
      <c r="I5" s="2573"/>
      <c r="J5" s="2573"/>
      <c r="K5" s="2573"/>
      <c r="L5" s="2573"/>
      <c r="M5" s="2573"/>
      <c r="N5" s="2573"/>
      <c r="O5" s="2573"/>
      <c r="P5" s="2573"/>
      <c r="Q5" s="2573"/>
      <c r="R5" s="2573"/>
      <c r="S5" s="2573"/>
      <c r="T5" s="1965"/>
      <c r="U5" s="1965"/>
      <c r="V5" s="1966"/>
      <c r="W5" s="1966"/>
      <c r="X5" s="1966"/>
      <c r="Y5" s="1967"/>
    </row>
    <row r="6" spans="1:25" ht="15.75" x14ac:dyDescent="0.2">
      <c r="A6" s="2573" t="s">
        <v>1281</v>
      </c>
      <c r="B6" s="2573"/>
      <c r="C6" s="2573"/>
      <c r="D6" s="2573"/>
      <c r="E6" s="2573"/>
      <c r="F6" s="2573"/>
      <c r="G6" s="2573"/>
      <c r="H6" s="2573"/>
      <c r="I6" s="2573"/>
      <c r="J6" s="2573"/>
      <c r="K6" s="2573"/>
      <c r="L6" s="2573"/>
      <c r="M6" s="2573"/>
      <c r="N6" s="2573"/>
      <c r="O6" s="2573"/>
      <c r="P6" s="2573"/>
      <c r="Q6" s="2573"/>
      <c r="R6" s="2573"/>
      <c r="S6" s="2573"/>
      <c r="T6" s="1965"/>
      <c r="U6" s="1965"/>
      <c r="V6" s="1966"/>
      <c r="W6" s="1966"/>
      <c r="X6" s="1966"/>
    </row>
    <row r="7" spans="1:25" ht="12.75" customHeight="1" x14ac:dyDescent="0.2">
      <c r="A7" s="2574" t="s">
        <v>2105</v>
      </c>
      <c r="B7" s="2574"/>
      <c r="C7" s="2574"/>
      <c r="D7" s="2574"/>
      <c r="E7" s="2574"/>
      <c r="F7" s="2574"/>
      <c r="G7" s="2574"/>
      <c r="H7" s="2574"/>
      <c r="I7" s="2574"/>
      <c r="J7" s="2574"/>
      <c r="K7" s="2574"/>
      <c r="L7" s="2574"/>
      <c r="M7" s="2574"/>
      <c r="N7" s="2574"/>
      <c r="O7" s="2574"/>
      <c r="P7" s="2574"/>
      <c r="Q7" s="2574"/>
      <c r="R7" s="2574"/>
      <c r="S7" s="2574"/>
      <c r="T7" s="1965"/>
      <c r="U7" s="1965"/>
      <c r="V7" s="1967"/>
      <c r="W7" s="1967"/>
      <c r="X7" s="1967"/>
    </row>
    <row r="8" spans="1:25" x14ac:dyDescent="0.2">
      <c r="A8" s="1968"/>
      <c r="B8" s="1968"/>
      <c r="C8" s="1968"/>
      <c r="D8" s="1968"/>
      <c r="E8" s="1968"/>
      <c r="F8" s="1968"/>
      <c r="G8" s="1969"/>
      <c r="H8" s="1967"/>
      <c r="I8" s="1969"/>
      <c r="J8" s="1970"/>
      <c r="K8" s="1969"/>
      <c r="L8" s="1967"/>
      <c r="M8" s="1960"/>
      <c r="N8" s="1960"/>
      <c r="O8" s="1960"/>
      <c r="P8" s="1961"/>
      <c r="Q8" s="1960"/>
      <c r="R8" s="1960"/>
      <c r="S8" s="1961"/>
      <c r="T8" s="1963"/>
      <c r="U8" s="1963"/>
      <c r="V8" s="1966"/>
      <c r="W8" s="1966"/>
      <c r="X8" s="1966"/>
    </row>
    <row r="9" spans="1:25" x14ac:dyDescent="0.2">
      <c r="A9" s="1968"/>
      <c r="B9" s="1968"/>
      <c r="C9" s="1968"/>
      <c r="D9" s="1968"/>
      <c r="E9" s="1968"/>
      <c r="F9" s="1968"/>
      <c r="G9" s="1969"/>
      <c r="H9" s="1967"/>
      <c r="I9" s="1969"/>
      <c r="J9" s="1970"/>
      <c r="K9" s="1969"/>
      <c r="L9" s="1967"/>
      <c r="M9" s="1967"/>
      <c r="N9" s="1967"/>
      <c r="O9" s="1967"/>
      <c r="P9" s="1970"/>
      <c r="Q9" s="1967"/>
      <c r="R9" s="1967"/>
      <c r="S9" s="1970"/>
      <c r="T9" s="1965"/>
      <c r="U9" s="1965"/>
      <c r="V9" s="1966"/>
      <c r="W9" s="1966"/>
      <c r="X9" s="1966"/>
      <c r="Y9" s="1971"/>
    </row>
    <row r="10" spans="1:25" s="1977" customFormat="1" ht="17.25" x14ac:dyDescent="0.35">
      <c r="A10" s="1972"/>
      <c r="B10" s="1973"/>
      <c r="C10" s="1974"/>
      <c r="D10" s="1974"/>
      <c r="E10" s="1972" t="s">
        <v>2106</v>
      </c>
      <c r="F10" s="1972"/>
      <c r="G10" s="1975" t="s">
        <v>2107</v>
      </c>
      <c r="H10" s="1975"/>
      <c r="I10" s="1975"/>
      <c r="J10" s="1972"/>
      <c r="K10" s="1975" t="s">
        <v>2108</v>
      </c>
      <c r="L10" s="1975"/>
      <c r="M10" s="1975"/>
      <c r="N10" s="1974"/>
      <c r="O10" s="1974"/>
      <c r="P10" s="1972"/>
      <c r="Q10" s="1974"/>
      <c r="R10" s="1974"/>
      <c r="S10" s="1972"/>
      <c r="T10" s="2570"/>
      <c r="U10" s="2570"/>
      <c r="V10" s="2570"/>
      <c r="W10" s="2570"/>
      <c r="X10" s="2570"/>
      <c r="Y10" s="1976"/>
    </row>
    <row r="11" spans="1:25" s="1977" customFormat="1" ht="17.25" x14ac:dyDescent="0.4">
      <c r="A11" s="1978"/>
      <c r="B11" s="1979"/>
      <c r="C11" s="1978" t="s">
        <v>1326</v>
      </c>
      <c r="D11" s="1980"/>
      <c r="E11" s="1978" t="s">
        <v>2109</v>
      </c>
      <c r="F11" s="1978"/>
      <c r="G11" s="1978" t="s">
        <v>2110</v>
      </c>
      <c r="H11" s="1980"/>
      <c r="I11" s="1981" t="s">
        <v>2111</v>
      </c>
      <c r="J11" s="1978"/>
      <c r="K11" s="1978" t="s">
        <v>2110</v>
      </c>
      <c r="L11" s="1980"/>
      <c r="M11" s="1981" t="str">
        <f>I11</f>
        <v>7/01/17-</v>
      </c>
      <c r="N11" s="1980"/>
      <c r="O11" s="1978" t="s">
        <v>1323</v>
      </c>
      <c r="P11" s="1978"/>
      <c r="Q11" s="1978" t="s">
        <v>2112</v>
      </c>
      <c r="R11" s="1980"/>
      <c r="S11" s="1978" t="s">
        <v>1231</v>
      </c>
      <c r="T11" s="2571"/>
      <c r="U11" s="2571"/>
      <c r="V11" s="2571"/>
      <c r="W11" s="1982"/>
      <c r="X11" s="1982"/>
      <c r="Y11" s="1983"/>
    </row>
    <row r="12" spans="1:25" s="1977" customFormat="1" ht="15" x14ac:dyDescent="0.25">
      <c r="A12" s="1979" t="s">
        <v>2113</v>
      </c>
      <c r="B12" s="1979"/>
      <c r="C12" s="1978" t="s">
        <v>2114</v>
      </c>
      <c r="D12" s="1980"/>
      <c r="E12" s="1978" t="s">
        <v>2114</v>
      </c>
      <c r="F12" s="1978"/>
      <c r="G12" s="1984" t="s">
        <v>2115</v>
      </c>
      <c r="H12" s="1980"/>
      <c r="I12" s="1984" t="s">
        <v>2116</v>
      </c>
      <c r="J12" s="1978"/>
      <c r="K12" s="1984" t="str">
        <f>G12</f>
        <v>6/30/17</v>
      </c>
      <c r="L12" s="1980"/>
      <c r="M12" s="1984" t="str">
        <f>I12</f>
        <v>6/30/18</v>
      </c>
      <c r="N12" s="1980"/>
      <c r="O12" s="1978" t="s">
        <v>2117</v>
      </c>
      <c r="P12" s="1978"/>
      <c r="Q12" s="1978" t="s">
        <v>1319</v>
      </c>
      <c r="R12" s="1980"/>
      <c r="S12" s="1978" t="s">
        <v>30</v>
      </c>
      <c r="T12" s="1985"/>
      <c r="U12" s="1985"/>
      <c r="V12" s="1986"/>
      <c r="W12" s="1986"/>
      <c r="X12" s="1986"/>
      <c r="Y12" s="1987"/>
    </row>
    <row r="13" spans="1:25" s="1977" customFormat="1" ht="17.25" x14ac:dyDescent="0.4">
      <c r="A13" s="1988" t="s">
        <v>2118</v>
      </c>
      <c r="B13" s="1980"/>
      <c r="C13" s="1989" t="s">
        <v>2119</v>
      </c>
      <c r="D13" s="1980"/>
      <c r="E13" s="1989" t="s">
        <v>2120</v>
      </c>
      <c r="F13" s="1978"/>
      <c r="G13" s="1990" t="s">
        <v>2121</v>
      </c>
      <c r="H13" s="1991"/>
      <c r="I13" s="1990" t="s">
        <v>2122</v>
      </c>
      <c r="J13" s="1992"/>
      <c r="K13" s="1990" t="s">
        <v>2123</v>
      </c>
      <c r="L13" s="1991"/>
      <c r="M13" s="1990" t="s">
        <v>2124</v>
      </c>
      <c r="N13" s="1991"/>
      <c r="O13" s="1990" t="s">
        <v>2125</v>
      </c>
      <c r="P13" s="1992"/>
      <c r="Q13" s="1990" t="s">
        <v>2126</v>
      </c>
      <c r="R13" s="1991"/>
      <c r="S13" s="1990" t="s">
        <v>2127</v>
      </c>
      <c r="T13" s="1993"/>
      <c r="U13" s="1993"/>
      <c r="V13" s="1994"/>
      <c r="W13" s="1994"/>
      <c r="X13" s="1994"/>
      <c r="Y13" s="1995"/>
    </row>
    <row r="14" spans="1:25" s="1977" customFormat="1" ht="9" customHeight="1" x14ac:dyDescent="0.2">
      <c r="A14" s="1996"/>
      <c r="B14" s="1980"/>
      <c r="C14" s="1989"/>
      <c r="D14" s="1980"/>
      <c r="E14" s="1989"/>
      <c r="F14" s="1978"/>
      <c r="G14" s="1990"/>
      <c r="H14" s="1991"/>
      <c r="I14" s="1990"/>
      <c r="J14" s="1992"/>
      <c r="K14" s="1990"/>
      <c r="L14" s="1991"/>
      <c r="M14" s="1990" t="s">
        <v>1231</v>
      </c>
      <c r="N14" s="1991"/>
      <c r="O14" s="1990"/>
      <c r="P14" s="1992"/>
      <c r="Q14" s="1990"/>
      <c r="R14" s="1991"/>
      <c r="S14" s="1990"/>
      <c r="T14" s="1993"/>
      <c r="U14" s="1993"/>
      <c r="V14" s="1980"/>
      <c r="W14" s="1980"/>
      <c r="X14" s="1980"/>
      <c r="Y14" s="1980"/>
    </row>
    <row r="15" spans="1:25" s="1977" customFormat="1" ht="15" x14ac:dyDescent="0.2">
      <c r="A15" s="1997" t="s">
        <v>2128</v>
      </c>
      <c r="B15" s="1980"/>
      <c r="C15" s="1989"/>
      <c r="D15" s="1980"/>
      <c r="E15" s="1989"/>
      <c r="F15" s="1978"/>
      <c r="G15" s="1990"/>
      <c r="H15" s="1991"/>
      <c r="I15" s="1990"/>
      <c r="J15" s="1992"/>
      <c r="K15" s="1990"/>
      <c r="L15" s="1991"/>
      <c r="M15" s="1990"/>
      <c r="N15" s="1991"/>
      <c r="O15" s="1990"/>
      <c r="P15" s="1992"/>
      <c r="Q15" s="1990"/>
      <c r="R15" s="1991"/>
      <c r="S15" s="1990"/>
      <c r="T15" s="1993"/>
      <c r="U15" s="1993"/>
      <c r="V15" s="1980"/>
      <c r="W15" s="1978"/>
      <c r="X15" s="1978"/>
      <c r="Y15" s="1980"/>
    </row>
    <row r="16" spans="1:25" s="1977" customFormat="1" ht="15" x14ac:dyDescent="0.2">
      <c r="A16" s="1997" t="s">
        <v>2129</v>
      </c>
      <c r="B16" s="1980"/>
      <c r="C16" s="1989"/>
      <c r="D16" s="1980"/>
      <c r="E16" s="1989"/>
      <c r="F16" s="1978"/>
      <c r="G16" s="1990"/>
      <c r="H16" s="1991"/>
      <c r="I16" s="1990"/>
      <c r="J16" s="1992"/>
      <c r="K16" s="1990"/>
      <c r="L16" s="1991"/>
      <c r="M16" s="1990"/>
      <c r="N16" s="1991"/>
      <c r="O16" s="1990"/>
      <c r="P16" s="1992"/>
      <c r="Q16" s="1990"/>
      <c r="R16" s="1991"/>
      <c r="S16" s="1990"/>
      <c r="T16" s="1993"/>
      <c r="U16" s="1993"/>
      <c r="V16" s="1980"/>
      <c r="W16" s="1978"/>
      <c r="X16" s="1978"/>
      <c r="Y16" s="1980"/>
    </row>
    <row r="17" spans="1:25" s="1977" customFormat="1" ht="15" x14ac:dyDescent="0.2">
      <c r="A17" s="1997" t="s">
        <v>2130</v>
      </c>
      <c r="B17" s="1980"/>
      <c r="C17" s="1989"/>
      <c r="D17" s="1980"/>
      <c r="E17" s="1989"/>
      <c r="F17" s="1978"/>
      <c r="G17" s="1990"/>
      <c r="H17" s="1991"/>
      <c r="I17" s="1990"/>
      <c r="J17" s="1992"/>
      <c r="K17" s="1990"/>
      <c r="L17" s="1991"/>
      <c r="M17" s="1990"/>
      <c r="N17" s="1991"/>
      <c r="O17" s="1990"/>
      <c r="P17" s="1992"/>
      <c r="Q17" s="1990"/>
      <c r="R17" s="1991"/>
      <c r="S17" s="1990"/>
      <c r="T17" s="1998"/>
      <c r="U17" s="1998"/>
      <c r="V17" s="1980"/>
      <c r="W17" s="1978"/>
      <c r="X17" s="1978"/>
      <c r="Y17" s="1980"/>
    </row>
    <row r="18" spans="1:25" s="1977" customFormat="1" ht="15" x14ac:dyDescent="0.2">
      <c r="A18" s="1997"/>
      <c r="B18" s="1980"/>
      <c r="C18" s="1989"/>
      <c r="D18" s="1980"/>
      <c r="E18" s="1989"/>
      <c r="F18" s="1978"/>
      <c r="G18" s="1990"/>
      <c r="H18" s="1991"/>
      <c r="I18" s="1990"/>
      <c r="J18" s="1992"/>
      <c r="K18" s="1990"/>
      <c r="L18" s="1991"/>
      <c r="M18" s="1990"/>
      <c r="N18" s="1991"/>
      <c r="O18" s="1990"/>
      <c r="P18" s="1992"/>
      <c r="Q18" s="1990"/>
      <c r="R18" s="1991"/>
      <c r="S18" s="1990"/>
      <c r="T18" s="1999"/>
      <c r="U18" s="1999"/>
      <c r="V18" s="1980"/>
      <c r="W18" s="1978"/>
      <c r="X18" s="1978"/>
      <c r="Y18" s="1980"/>
    </row>
    <row r="19" spans="1:25" s="1977" customFormat="1" ht="15" x14ac:dyDescent="0.25">
      <c r="A19" s="1997"/>
      <c r="B19" s="1980" t="s">
        <v>1118</v>
      </c>
      <c r="C19" s="2000" t="s">
        <v>2131</v>
      </c>
      <c r="D19" s="1980"/>
      <c r="E19" s="1978" t="s">
        <v>2132</v>
      </c>
      <c r="F19" s="1978"/>
      <c r="G19" s="2001">
        <v>15476</v>
      </c>
      <c r="H19" s="1991"/>
      <c r="I19" s="2002">
        <f>19137-15476</f>
        <v>3661</v>
      </c>
      <c r="J19" s="1992"/>
      <c r="K19" s="2001">
        <v>15476</v>
      </c>
      <c r="L19" s="1991"/>
      <c r="M19" s="2001">
        <v>3661</v>
      </c>
      <c r="N19" s="1991"/>
      <c r="O19" s="1990"/>
      <c r="P19" s="1992"/>
      <c r="Q19" s="2001">
        <f>+K19+M19</f>
        <v>19137</v>
      </c>
      <c r="R19" s="1991"/>
      <c r="S19" s="1992" t="s">
        <v>2133</v>
      </c>
      <c r="T19" s="2003"/>
      <c r="U19" s="2003"/>
      <c r="V19" s="2004"/>
      <c r="W19" s="1978"/>
      <c r="X19" s="1978"/>
      <c r="Y19" s="1980"/>
    </row>
    <row r="20" spans="1:25" s="1977" customFormat="1" ht="15" x14ac:dyDescent="0.2">
      <c r="A20" s="1997"/>
      <c r="B20" s="1980" t="s">
        <v>2134</v>
      </c>
      <c r="C20" s="2000" t="s">
        <v>2131</v>
      </c>
      <c r="D20" s="1980"/>
      <c r="E20" s="1978" t="s">
        <v>2135</v>
      </c>
      <c r="F20" s="1978"/>
      <c r="G20" s="2005"/>
      <c r="H20" s="1991"/>
      <c r="I20" s="2005">
        <v>16976</v>
      </c>
      <c r="J20" s="1992"/>
      <c r="K20" s="2005"/>
      <c r="L20" s="1991"/>
      <c r="M20" s="2002">
        <v>16976</v>
      </c>
      <c r="N20" s="1991"/>
      <c r="O20" s="1990"/>
      <c r="P20" s="2001">
        <v>-2</v>
      </c>
      <c r="Q20" s="2006">
        <f>+M20</f>
        <v>16976</v>
      </c>
      <c r="R20" s="1991"/>
      <c r="S20" s="1992" t="s">
        <v>2133</v>
      </c>
      <c r="T20" s="2007"/>
      <c r="U20" s="2007"/>
      <c r="V20" s="1980"/>
      <c r="W20" s="1978"/>
      <c r="X20" s="1978"/>
      <c r="Y20" s="1980"/>
    </row>
    <row r="21" spans="1:25" s="1977" customFormat="1" ht="15" x14ac:dyDescent="0.2">
      <c r="A21" s="1997"/>
      <c r="B21" s="1980"/>
      <c r="C21" s="2000"/>
      <c r="D21" s="1980"/>
      <c r="E21" s="1978"/>
      <c r="F21" s="1978"/>
      <c r="G21" s="2005"/>
      <c r="H21" s="1991"/>
      <c r="I21" s="2005"/>
      <c r="J21" s="1992"/>
      <c r="K21" s="2005"/>
      <c r="L21" s="1991"/>
      <c r="M21" s="2002"/>
      <c r="N21" s="1991"/>
      <c r="O21" s="1990"/>
      <c r="P21" s="2001"/>
      <c r="Q21" s="2006"/>
      <c r="R21" s="1991"/>
      <c r="S21" s="1992"/>
      <c r="T21" s="2007"/>
      <c r="U21" s="2007"/>
      <c r="V21" s="1980"/>
      <c r="W21" s="1978"/>
      <c r="X21" s="1978"/>
      <c r="Y21" s="1980"/>
    </row>
    <row r="22" spans="1:25" s="1977" customFormat="1" ht="15" x14ac:dyDescent="0.2">
      <c r="A22" s="1997"/>
      <c r="B22" s="1980" t="s">
        <v>2136</v>
      </c>
      <c r="C22" s="2000">
        <v>10.555</v>
      </c>
      <c r="D22" s="1980"/>
      <c r="E22" s="1978" t="s">
        <v>2137</v>
      </c>
      <c r="F22" s="1978"/>
      <c r="G22" s="2005"/>
      <c r="H22" s="1991"/>
      <c r="I22" s="2005"/>
      <c r="J22" s="1992"/>
      <c r="K22" s="2005">
        <v>1954</v>
      </c>
      <c r="L22" s="1991"/>
      <c r="M22" s="2002"/>
      <c r="N22" s="1991"/>
      <c r="O22" s="1990"/>
      <c r="P22" s="2001"/>
      <c r="Q22" s="2001">
        <f>+K22+M22</f>
        <v>1954</v>
      </c>
      <c r="R22" s="1991"/>
      <c r="S22" s="1992" t="s">
        <v>2133</v>
      </c>
      <c r="T22" s="2007"/>
      <c r="U22" s="2003"/>
      <c r="V22" s="1978"/>
      <c r="W22" s="1978"/>
      <c r="X22" s="1978"/>
      <c r="Y22" s="1980"/>
    </row>
    <row r="23" spans="1:25" s="1977" customFormat="1" ht="15" x14ac:dyDescent="0.2">
      <c r="A23" s="1997"/>
      <c r="B23" s="1980" t="s">
        <v>2136</v>
      </c>
      <c r="C23" s="2000">
        <v>10.555</v>
      </c>
      <c r="D23" s="1980"/>
      <c r="E23" s="1978" t="s">
        <v>2138</v>
      </c>
      <c r="F23" s="1978"/>
      <c r="G23" s="2008">
        <v>0</v>
      </c>
      <c r="H23" s="1991"/>
      <c r="I23" s="2008">
        <v>0</v>
      </c>
      <c r="J23" s="1992"/>
      <c r="K23" s="2008">
        <v>0</v>
      </c>
      <c r="L23" s="1991"/>
      <c r="M23" s="2008">
        <v>2335</v>
      </c>
      <c r="N23" s="1991"/>
      <c r="O23" s="2009"/>
      <c r="P23" s="1992"/>
      <c r="Q23" s="2010">
        <f>+M23</f>
        <v>2335</v>
      </c>
      <c r="R23" s="1991"/>
      <c r="S23" s="1992" t="s">
        <v>2133</v>
      </c>
      <c r="T23" s="2007"/>
      <c r="U23" s="2007"/>
      <c r="V23" s="1980"/>
      <c r="W23" s="1978"/>
      <c r="X23" s="1978"/>
      <c r="Y23" s="1980"/>
    </row>
    <row r="24" spans="1:25" s="1977" customFormat="1" ht="17.100000000000001" customHeight="1" x14ac:dyDescent="0.2">
      <c r="A24" s="1997" t="s">
        <v>2139</v>
      </c>
      <c r="B24" s="1980"/>
      <c r="C24" s="2000"/>
      <c r="D24" s="1980"/>
      <c r="E24" s="1978"/>
      <c r="F24" s="1978"/>
      <c r="G24" s="2008">
        <f>+G19+G20+G22+G23</f>
        <v>15476</v>
      </c>
      <c r="H24" s="1991"/>
      <c r="I24" s="2008">
        <f>+I19+I20+I22+I23</f>
        <v>20637</v>
      </c>
      <c r="J24" s="1992"/>
      <c r="K24" s="2008">
        <f>+K19+K20+K22+K23</f>
        <v>17430</v>
      </c>
      <c r="L24" s="1991"/>
      <c r="M24" s="2008">
        <f>+M19+M20+M22+M23</f>
        <v>22972</v>
      </c>
      <c r="N24" s="1991"/>
      <c r="O24" s="2011"/>
      <c r="P24" s="1992"/>
      <c r="Q24" s="2008">
        <f>+Q19+Q20+Q22+Q23</f>
        <v>40402</v>
      </c>
      <c r="R24" s="1991"/>
      <c r="S24" s="1992"/>
      <c r="T24" s="2007"/>
      <c r="U24" s="2007"/>
      <c r="V24" s="1980"/>
      <c r="W24" s="1978"/>
      <c r="X24" s="1978"/>
      <c r="Y24" s="1980"/>
    </row>
    <row r="25" spans="1:25" s="1977" customFormat="1" ht="15" x14ac:dyDescent="0.2">
      <c r="A25" s="1996"/>
      <c r="B25" s="1980"/>
      <c r="C25" s="1989"/>
      <c r="D25" s="1980"/>
      <c r="E25" s="1989"/>
      <c r="F25" s="1978"/>
      <c r="G25" s="1990"/>
      <c r="H25" s="1991"/>
      <c r="I25" s="1990"/>
      <c r="J25" s="1992"/>
      <c r="K25" s="1990"/>
      <c r="L25" s="1991"/>
      <c r="M25" s="1990"/>
      <c r="N25" s="1991"/>
      <c r="O25" s="1990"/>
      <c r="P25" s="1992"/>
      <c r="Q25" s="1990"/>
      <c r="R25" s="1991"/>
      <c r="S25" s="1990"/>
      <c r="T25" s="2007"/>
      <c r="U25" s="2007"/>
      <c r="V25" s="1980"/>
      <c r="W25" s="1978"/>
      <c r="X25" s="1978"/>
      <c r="Y25" s="1980"/>
    </row>
    <row r="26" spans="1:25" s="1977" customFormat="1" ht="15" x14ac:dyDescent="0.2">
      <c r="A26" s="2575" t="s">
        <v>2140</v>
      </c>
      <c r="B26" s="2575"/>
      <c r="C26" s="2000" t="s">
        <v>1231</v>
      </c>
      <c r="D26" s="1980"/>
      <c r="E26" s="1979" t="s">
        <v>1231</v>
      </c>
      <c r="F26" s="1978"/>
      <c r="G26" s="2012"/>
      <c r="H26" s="2012"/>
      <c r="I26" s="2012"/>
      <c r="J26" s="2013"/>
      <c r="K26" s="2012"/>
      <c r="L26" s="2012"/>
      <c r="M26" s="2012">
        <v>0</v>
      </c>
      <c r="N26" s="2012"/>
      <c r="O26" s="2012"/>
      <c r="P26" s="2013"/>
      <c r="Q26" s="2014"/>
      <c r="R26" s="2012"/>
      <c r="S26" s="2013"/>
      <c r="T26" s="2007"/>
      <c r="U26" s="2007"/>
      <c r="V26" s="1980"/>
      <c r="W26" s="1978"/>
      <c r="X26" s="1978"/>
      <c r="Y26" s="1980"/>
    </row>
    <row r="27" spans="1:25" s="1977" customFormat="1" ht="15" x14ac:dyDescent="0.2">
      <c r="A27" s="1997" t="s">
        <v>2141</v>
      </c>
      <c r="B27" s="1997"/>
      <c r="C27" s="2000"/>
      <c r="D27" s="1980"/>
      <c r="E27" s="1979"/>
      <c r="F27" s="1978"/>
      <c r="G27" s="2012"/>
      <c r="H27" s="2012"/>
      <c r="I27" s="2012"/>
      <c r="J27" s="2013"/>
      <c r="K27" s="2012"/>
      <c r="L27" s="2012"/>
      <c r="M27" s="2012"/>
      <c r="N27" s="2012"/>
      <c r="O27" s="2012"/>
      <c r="P27" s="2013"/>
      <c r="Q27" s="2014"/>
      <c r="R27" s="2012"/>
      <c r="S27" s="2013"/>
      <c r="T27" s="2003"/>
      <c r="U27" s="2003"/>
      <c r="V27" s="1980"/>
      <c r="W27" s="1978"/>
      <c r="X27" s="1978"/>
      <c r="Y27" s="1980"/>
    </row>
    <row r="28" spans="1:25" s="1977" customFormat="1" ht="15" x14ac:dyDescent="0.2">
      <c r="A28" s="1997" t="s">
        <v>2142</v>
      </c>
      <c r="B28" s="1997"/>
      <c r="C28" s="2000"/>
      <c r="D28" s="1980"/>
      <c r="E28" s="1979" t="s">
        <v>1231</v>
      </c>
      <c r="F28" s="1978"/>
      <c r="G28" s="2012"/>
      <c r="H28" s="2012"/>
      <c r="I28" s="2012"/>
      <c r="J28" s="2013"/>
      <c r="K28" s="2012"/>
      <c r="L28" s="2012"/>
      <c r="M28" s="2012"/>
      <c r="N28" s="2012"/>
      <c r="O28" s="2012"/>
      <c r="P28" s="2013"/>
      <c r="Q28" s="2014"/>
      <c r="R28" s="2012" t="s">
        <v>1231</v>
      </c>
      <c r="S28" s="2013"/>
      <c r="T28" s="2007"/>
      <c r="U28" s="2007"/>
      <c r="V28" s="1980"/>
      <c r="W28" s="1978"/>
      <c r="X28" s="1978"/>
      <c r="Y28" s="1980"/>
    </row>
    <row r="29" spans="1:25" s="1977" customFormat="1" ht="15" x14ac:dyDescent="0.2">
      <c r="A29" s="1997"/>
      <c r="F29" s="1978"/>
      <c r="G29" s="2012"/>
      <c r="H29" s="2012"/>
      <c r="I29" s="2012"/>
      <c r="J29" s="2013"/>
      <c r="K29" s="2012"/>
      <c r="L29" s="2012"/>
      <c r="M29" s="2012"/>
      <c r="N29" s="2012"/>
      <c r="O29" s="2012"/>
      <c r="P29" s="2013"/>
      <c r="Q29" s="2014"/>
      <c r="R29" s="2012"/>
      <c r="S29" s="2013"/>
      <c r="T29" s="2015"/>
      <c r="U29" s="2015"/>
      <c r="V29" s="1980"/>
      <c r="W29" s="1978"/>
      <c r="X29" s="1978"/>
      <c r="Y29" s="1980"/>
    </row>
    <row r="30" spans="1:25" s="1977" customFormat="1" ht="15" x14ac:dyDescent="0.2">
      <c r="A30" s="2016" t="s">
        <v>2143</v>
      </c>
      <c r="B30" s="1979" t="s">
        <v>2144</v>
      </c>
      <c r="C30" s="2000">
        <v>84.173000000000002</v>
      </c>
      <c r="D30" s="1980" t="s">
        <v>1231</v>
      </c>
      <c r="E30" s="1981" t="s">
        <v>2145</v>
      </c>
      <c r="F30" s="1978"/>
      <c r="G30" s="2012">
        <v>214123</v>
      </c>
      <c r="H30" s="2012"/>
      <c r="I30" s="2005">
        <f>298992-214123</f>
        <v>84869</v>
      </c>
      <c r="J30" s="2013"/>
      <c r="K30" s="2012">
        <v>280089</v>
      </c>
      <c r="L30" s="2012"/>
      <c r="M30" s="2012">
        <f>298992-280089</f>
        <v>18903</v>
      </c>
      <c r="N30" s="2012">
        <v>-1</v>
      </c>
      <c r="O30" s="2012">
        <v>0</v>
      </c>
      <c r="P30" s="2013"/>
      <c r="Q30" s="2014">
        <f>+K30+M30+O30</f>
        <v>298992</v>
      </c>
      <c r="R30" s="2012"/>
      <c r="S30" s="2013">
        <v>302950</v>
      </c>
      <c r="T30" s="2007"/>
      <c r="U30" s="2007"/>
      <c r="V30" s="1980"/>
      <c r="W30" s="1978"/>
      <c r="X30" s="1978"/>
      <c r="Y30" s="1980"/>
    </row>
    <row r="31" spans="1:25" s="1977" customFormat="1" ht="15" x14ac:dyDescent="0.2">
      <c r="A31" s="2016" t="s">
        <v>2143</v>
      </c>
      <c r="B31" s="1979" t="s">
        <v>2144</v>
      </c>
      <c r="C31" s="2000">
        <v>84.173000000000002</v>
      </c>
      <c r="D31" s="1980" t="s">
        <v>1231</v>
      </c>
      <c r="E31" s="1981" t="s">
        <v>2146</v>
      </c>
      <c r="F31" s="2016"/>
      <c r="G31" s="2005"/>
      <c r="H31" s="2005"/>
      <c r="I31" s="2005">
        <v>211925</v>
      </c>
      <c r="J31" s="2017"/>
      <c r="K31" s="2005">
        <v>0</v>
      </c>
      <c r="L31" s="2005"/>
      <c r="M31" s="2005">
        <v>255507</v>
      </c>
      <c r="N31" s="2012">
        <v>-1</v>
      </c>
      <c r="O31" s="2005">
        <v>27080</v>
      </c>
      <c r="P31" s="2018"/>
      <c r="Q31" s="2014">
        <f>+K31+M31+O31</f>
        <v>282587</v>
      </c>
      <c r="R31" s="2019"/>
      <c r="S31" s="2013">
        <v>282589</v>
      </c>
      <c r="T31" s="2007"/>
      <c r="U31" s="2007"/>
      <c r="V31" s="1980"/>
      <c r="W31" s="1978"/>
      <c r="X31" s="1978"/>
      <c r="Y31" s="1980"/>
    </row>
    <row r="32" spans="1:25" s="1977" customFormat="1" ht="15" hidden="1" x14ac:dyDescent="0.2">
      <c r="A32" s="2016"/>
      <c r="B32" s="1979"/>
      <c r="C32" s="2000"/>
      <c r="D32" s="1980"/>
      <c r="E32" s="1981"/>
      <c r="F32" s="2016"/>
      <c r="G32" s="2012"/>
      <c r="H32" s="2012"/>
      <c r="I32" s="2012"/>
      <c r="J32" s="2013"/>
      <c r="K32" s="2012"/>
      <c r="L32" s="2012"/>
      <c r="M32" s="2012"/>
      <c r="O32" s="2012"/>
      <c r="P32" s="2001"/>
      <c r="Q32" s="2014">
        <f>+K32+M32+O32</f>
        <v>0</v>
      </c>
      <c r="R32" s="2012"/>
      <c r="S32" s="2013"/>
      <c r="T32" s="2007"/>
      <c r="U32" s="2007"/>
      <c r="V32" s="1980"/>
      <c r="W32" s="1978"/>
      <c r="X32" s="1978"/>
      <c r="Y32" s="1980"/>
    </row>
    <row r="33" spans="1:25" s="1977" customFormat="1" ht="15" x14ac:dyDescent="0.2">
      <c r="A33" s="2016"/>
      <c r="B33" s="1979"/>
      <c r="C33" s="2000"/>
      <c r="D33" s="1980"/>
      <c r="E33" s="1981"/>
      <c r="F33" s="2016"/>
      <c r="G33" s="2012"/>
      <c r="H33" s="2012"/>
      <c r="I33" s="2012"/>
      <c r="J33" s="2013"/>
      <c r="K33" s="2012"/>
      <c r="L33" s="2012"/>
      <c r="M33" s="2012"/>
      <c r="O33" s="2012"/>
      <c r="P33" s="2001"/>
      <c r="Q33" s="2020"/>
      <c r="R33" s="2012"/>
      <c r="S33" s="2013"/>
      <c r="T33" s="2007"/>
      <c r="U33" s="2007"/>
      <c r="V33" s="1980"/>
      <c r="W33" s="1978"/>
      <c r="X33" s="1978"/>
      <c r="Y33" s="1980"/>
    </row>
    <row r="34" spans="1:25" s="1977" customFormat="1" ht="15" x14ac:dyDescent="0.2">
      <c r="A34" s="2016" t="s">
        <v>2143</v>
      </c>
      <c r="B34" s="1979" t="s">
        <v>2147</v>
      </c>
      <c r="C34" s="2000">
        <v>84.027000000000001</v>
      </c>
      <c r="D34" s="1980"/>
      <c r="E34" s="1981" t="s">
        <v>2148</v>
      </c>
      <c r="F34" s="2016"/>
      <c r="G34" s="2012">
        <v>2293610</v>
      </c>
      <c r="H34" s="2012"/>
      <c r="I34" s="2012">
        <f>2485818-2293610</f>
        <v>192208</v>
      </c>
      <c r="J34" s="2013"/>
      <c r="K34" s="2012">
        <v>2293610</v>
      </c>
      <c r="L34" s="2012"/>
      <c r="M34" s="2012">
        <v>192208</v>
      </c>
      <c r="N34" s="2012">
        <v>-1</v>
      </c>
      <c r="O34" s="2012"/>
      <c r="P34" s="2001"/>
      <c r="Q34" s="2020">
        <f>+K34+M34</f>
        <v>2485818</v>
      </c>
      <c r="R34" s="2012"/>
      <c r="S34" s="2013">
        <v>2510500</v>
      </c>
      <c r="T34" s="2007"/>
      <c r="U34" s="2007"/>
      <c r="V34" s="1980"/>
      <c r="W34" s="1978"/>
      <c r="X34" s="1978"/>
      <c r="Y34" s="1980"/>
    </row>
    <row r="35" spans="1:25" s="1977" customFormat="1" ht="15" x14ac:dyDescent="0.2">
      <c r="A35" s="2016" t="s">
        <v>2143</v>
      </c>
      <c r="B35" s="1979" t="s">
        <v>2149</v>
      </c>
      <c r="C35" s="2000">
        <v>84.027000000000001</v>
      </c>
      <c r="D35" s="1980"/>
      <c r="E35" s="1981" t="s">
        <v>2148</v>
      </c>
      <c r="F35" s="2016"/>
      <c r="G35" s="2012">
        <v>1481947</v>
      </c>
      <c r="H35" s="2012"/>
      <c r="I35" s="2012">
        <f>1131138-192208</f>
        <v>938930</v>
      </c>
      <c r="J35" s="2013"/>
      <c r="K35" s="2012">
        <v>2179939</v>
      </c>
      <c r="L35" s="2012"/>
      <c r="M35" s="2005">
        <v>240938</v>
      </c>
      <c r="N35" s="2012"/>
      <c r="O35" s="2012"/>
      <c r="P35" s="2001"/>
      <c r="Q35" s="2020">
        <f>+K35+M35</f>
        <v>2420877</v>
      </c>
      <c r="R35" s="2012"/>
      <c r="S35" s="2013">
        <v>2659614</v>
      </c>
      <c r="T35" s="2007"/>
      <c r="U35" s="2007"/>
      <c r="V35" s="1980"/>
      <c r="W35" s="1978"/>
      <c r="X35" s="1978"/>
      <c r="Y35" s="1980"/>
    </row>
    <row r="36" spans="1:25" s="1977" customFormat="1" ht="15" x14ac:dyDescent="0.2">
      <c r="A36" s="2016" t="s">
        <v>2143</v>
      </c>
      <c r="B36" s="1979" t="s">
        <v>2147</v>
      </c>
      <c r="C36" s="2000">
        <v>84.027000000000001</v>
      </c>
      <c r="D36" s="1980"/>
      <c r="E36" s="1981" t="s">
        <v>2150</v>
      </c>
      <c r="F36" s="2016"/>
      <c r="G36" s="2012"/>
      <c r="H36" s="2012"/>
      <c r="I36" s="2012">
        <v>2402899</v>
      </c>
      <c r="J36" s="2013"/>
      <c r="K36" s="2012"/>
      <c r="L36" s="2012"/>
      <c r="M36" s="2005">
        <v>2402899</v>
      </c>
      <c r="N36" s="2012">
        <v>-1</v>
      </c>
      <c r="O36" s="2012">
        <v>197102</v>
      </c>
      <c r="P36" s="2001"/>
      <c r="Q36" s="2021">
        <f>+K36+M36+O36</f>
        <v>2600001</v>
      </c>
      <c r="R36" s="2012"/>
      <c r="S36" s="2013">
        <v>2615001</v>
      </c>
      <c r="T36" s="2007"/>
      <c r="U36" s="2007"/>
      <c r="V36" s="1980"/>
      <c r="W36" s="1978"/>
      <c r="X36" s="1978"/>
      <c r="Y36" s="1980"/>
    </row>
    <row r="37" spans="1:25" s="1977" customFormat="1" ht="15" x14ac:dyDescent="0.2">
      <c r="A37" s="2016" t="s">
        <v>2143</v>
      </c>
      <c r="B37" s="2022" t="s">
        <v>2149</v>
      </c>
      <c r="C37" s="2000">
        <v>84.027000000000001</v>
      </c>
      <c r="D37" s="1980"/>
      <c r="E37" s="1981" t="s">
        <v>2150</v>
      </c>
      <c r="F37" s="1978"/>
      <c r="G37" s="2008">
        <v>0</v>
      </c>
      <c r="H37" s="2012"/>
      <c r="I37" s="2008">
        <v>1493980</v>
      </c>
      <c r="J37" s="2013"/>
      <c r="K37" s="2008">
        <v>0</v>
      </c>
      <c r="L37" s="2012"/>
      <c r="M37" s="2008">
        <f>4555624-2402899</f>
        <v>2152725</v>
      </c>
      <c r="N37" s="2012"/>
      <c r="O37" s="2008">
        <f>343450-197102</f>
        <v>146348</v>
      </c>
      <c r="P37" s="2023"/>
      <c r="Q37" s="2024">
        <f>+K37+M37+O37</f>
        <v>2299073</v>
      </c>
      <c r="R37" s="2012"/>
      <c r="S37" s="2013">
        <f>5235263-2615001</f>
        <v>2620262</v>
      </c>
      <c r="T37" s="2007"/>
      <c r="U37" s="2007"/>
      <c r="V37" s="1980"/>
      <c r="W37" s="1978"/>
      <c r="X37" s="1978"/>
      <c r="Y37" s="1980"/>
    </row>
    <row r="38" spans="1:25" s="1977" customFormat="1" ht="15" customHeight="1" x14ac:dyDescent="0.2">
      <c r="A38" s="2016"/>
      <c r="B38" s="1980"/>
      <c r="C38" s="2000"/>
      <c r="D38" s="1980"/>
      <c r="E38" s="1981"/>
      <c r="F38" s="1978"/>
      <c r="G38" s="2012">
        <f>SUM(G30:G37)</f>
        <v>3989680</v>
      </c>
      <c r="H38" s="2012"/>
      <c r="I38" s="2012">
        <f t="shared" ref="I38:Q38" si="0">SUM(I30:I37)</f>
        <v>5324811</v>
      </c>
      <c r="J38" s="2012">
        <f t="shared" si="0"/>
        <v>0</v>
      </c>
      <c r="K38" s="2012">
        <f t="shared" si="0"/>
        <v>4753638</v>
      </c>
      <c r="L38" s="2012">
        <f t="shared" si="0"/>
        <v>0</v>
      </c>
      <c r="M38" s="2012">
        <f t="shared" si="0"/>
        <v>5263180</v>
      </c>
      <c r="N38" s="2012" t="s">
        <v>1231</v>
      </c>
      <c r="O38" s="2012">
        <f t="shared" si="0"/>
        <v>370530</v>
      </c>
      <c r="P38" s="2012">
        <f t="shared" si="0"/>
        <v>0</v>
      </c>
      <c r="Q38" s="2012">
        <f t="shared" si="0"/>
        <v>10387348</v>
      </c>
      <c r="R38" s="2012"/>
      <c r="S38" s="2013"/>
      <c r="T38" s="2007"/>
      <c r="U38" s="2007"/>
      <c r="V38" s="1980"/>
      <c r="W38" s="1978"/>
      <c r="X38" s="1978"/>
      <c r="Y38" s="1980"/>
    </row>
    <row r="39" spans="1:25" s="1977" customFormat="1" ht="10.5" customHeight="1" x14ac:dyDescent="0.2">
      <c r="A39" s="2016"/>
      <c r="B39" s="1980"/>
      <c r="C39" s="2000"/>
      <c r="D39" s="1980"/>
      <c r="E39" s="1981"/>
      <c r="F39" s="1978"/>
      <c r="G39" s="2012"/>
      <c r="H39" s="2012"/>
      <c r="I39" s="2012"/>
      <c r="J39" s="2013"/>
      <c r="K39" s="2012"/>
      <c r="L39" s="2012"/>
      <c r="M39" s="2012"/>
      <c r="N39" s="2012"/>
      <c r="O39" s="2012"/>
      <c r="P39" s="2013"/>
      <c r="Q39" s="2014"/>
      <c r="R39" s="2012"/>
      <c r="S39" s="2013"/>
      <c r="T39" s="2007"/>
      <c r="U39" s="2007"/>
      <c r="V39" s="1980"/>
      <c r="W39" s="1978"/>
      <c r="X39" s="1978"/>
      <c r="Y39" s="1980"/>
    </row>
    <row r="40" spans="1:25" s="1977" customFormat="1" ht="15" customHeight="1" x14ac:dyDescent="0.2">
      <c r="A40" s="1997" t="s">
        <v>2141</v>
      </c>
      <c r="B40" s="1997"/>
      <c r="C40" s="2000"/>
      <c r="D40" s="1980"/>
      <c r="E40" s="1981"/>
      <c r="F40" s="1978"/>
      <c r="G40" s="2012"/>
      <c r="H40" s="2012"/>
      <c r="I40" s="2012" t="s">
        <v>1231</v>
      </c>
      <c r="J40" s="2013"/>
      <c r="K40" s="2012"/>
      <c r="L40" s="2012"/>
      <c r="M40" s="2012" t="s">
        <v>1231</v>
      </c>
      <c r="N40" s="2012"/>
      <c r="O40" s="2012"/>
      <c r="P40" s="2013"/>
      <c r="Q40" s="2014"/>
      <c r="R40" s="2012"/>
      <c r="S40" s="2013"/>
      <c r="T40" s="2007"/>
      <c r="U40" s="2007"/>
      <c r="V40" s="1980"/>
      <c r="W40" s="1978"/>
      <c r="X40" s="1978"/>
      <c r="Y40" s="1980"/>
    </row>
    <row r="41" spans="1:25" s="1977" customFormat="1" ht="15" customHeight="1" x14ac:dyDescent="0.2">
      <c r="A41" s="1997" t="s">
        <v>2151</v>
      </c>
      <c r="B41" s="1997"/>
      <c r="C41" s="2000"/>
      <c r="D41" s="1980"/>
      <c r="E41" s="1981"/>
      <c r="F41" s="1978"/>
      <c r="G41" s="2012"/>
      <c r="H41" s="2012"/>
      <c r="I41" s="2012"/>
      <c r="J41" s="2013"/>
      <c r="K41" s="2012"/>
      <c r="L41" s="2012"/>
      <c r="M41" s="2012"/>
      <c r="N41" s="2012"/>
      <c r="O41" s="2012"/>
      <c r="P41" s="2013"/>
      <c r="Q41" s="2014"/>
      <c r="R41" s="2012"/>
      <c r="S41" s="2013"/>
      <c r="T41" s="2007"/>
      <c r="U41" s="2007"/>
      <c r="V41" s="1980"/>
      <c r="W41" s="1978"/>
      <c r="X41" s="1978"/>
      <c r="Y41" s="1980"/>
    </row>
    <row r="42" spans="1:25" s="1977" customFormat="1" ht="10.5" customHeight="1" x14ac:dyDescent="0.2">
      <c r="A42" s="2016"/>
      <c r="B42" s="1980"/>
      <c r="C42" s="2000"/>
      <c r="D42" s="1980"/>
      <c r="E42" s="1981"/>
      <c r="F42" s="1978"/>
      <c r="G42" s="2012"/>
      <c r="H42" s="2012"/>
      <c r="I42" s="2012"/>
      <c r="J42" s="2013"/>
      <c r="K42" s="2012"/>
      <c r="L42" s="2012"/>
      <c r="M42" s="2012"/>
      <c r="N42" s="2012"/>
      <c r="O42" s="2012"/>
      <c r="P42" s="2013"/>
      <c r="Q42" s="2014"/>
      <c r="R42" s="2012"/>
      <c r="S42" s="2013"/>
      <c r="T42" s="2007"/>
      <c r="U42" s="2007"/>
      <c r="V42" s="1980"/>
      <c r="W42" s="1978"/>
      <c r="X42" s="1978"/>
      <c r="Y42" s="1980"/>
    </row>
    <row r="43" spans="1:25" s="1977" customFormat="1" ht="15" customHeight="1" x14ac:dyDescent="0.2">
      <c r="A43" s="2016"/>
      <c r="B43" s="1980" t="s">
        <v>2152</v>
      </c>
      <c r="C43" s="2000">
        <v>84.126000000000005</v>
      </c>
      <c r="D43" s="1980"/>
      <c r="E43" s="1981" t="s">
        <v>2153</v>
      </c>
      <c r="F43" s="1978"/>
      <c r="G43" s="2012">
        <v>79637</v>
      </c>
      <c r="H43" s="2012"/>
      <c r="I43" s="2012">
        <f>107510-79637</f>
        <v>27873</v>
      </c>
      <c r="J43" s="2013"/>
      <c r="K43" s="2012">
        <v>107510</v>
      </c>
      <c r="L43" s="2012"/>
      <c r="M43" s="2012"/>
      <c r="N43" s="2012"/>
      <c r="O43" s="2012"/>
      <c r="P43" s="2013"/>
      <c r="Q43" s="2014">
        <f>+K43+M43+O43</f>
        <v>107510</v>
      </c>
      <c r="R43" s="2012"/>
      <c r="S43" s="1992">
        <v>110607</v>
      </c>
      <c r="T43" s="2007"/>
      <c r="U43" s="2007"/>
      <c r="V43" s="1980"/>
      <c r="W43" s="1978"/>
      <c r="X43" s="1978"/>
      <c r="Y43" s="1980"/>
    </row>
    <row r="44" spans="1:25" s="1977" customFormat="1" ht="15" customHeight="1" x14ac:dyDescent="0.2">
      <c r="A44" s="2016"/>
      <c r="B44" s="1980" t="s">
        <v>2152</v>
      </c>
      <c r="C44" s="2000">
        <v>84.126000000000005</v>
      </c>
      <c r="D44" s="1980"/>
      <c r="E44" s="1981" t="s">
        <v>2154</v>
      </c>
      <c r="F44" s="1978"/>
      <c r="G44" s="2012"/>
      <c r="H44" s="2012"/>
      <c r="I44" s="2012">
        <f>104985-3097</f>
        <v>101888</v>
      </c>
      <c r="J44" s="2013"/>
      <c r="K44" s="2012"/>
      <c r="L44" s="2012"/>
      <c r="M44" s="2012">
        <v>108845</v>
      </c>
      <c r="N44" s="2012"/>
      <c r="O44" s="2012"/>
      <c r="P44" s="2013"/>
      <c r="Q44" s="2014">
        <f>+K44+M44+O44</f>
        <v>108845</v>
      </c>
      <c r="R44" s="2012"/>
      <c r="S44" s="1992">
        <v>110607</v>
      </c>
      <c r="T44" s="2007"/>
      <c r="U44" s="2003"/>
      <c r="V44" s="1980"/>
      <c r="W44" s="1978"/>
      <c r="X44" s="1978"/>
      <c r="Y44" s="1980"/>
    </row>
    <row r="45" spans="1:25" s="1977" customFormat="1" ht="15" customHeight="1" x14ac:dyDescent="0.2">
      <c r="A45" s="2016"/>
      <c r="B45" s="1980"/>
      <c r="C45" s="2000"/>
      <c r="D45" s="1980"/>
      <c r="E45" s="1981"/>
      <c r="F45" s="1978"/>
      <c r="G45" s="2012"/>
      <c r="H45" s="2012"/>
      <c r="I45" s="2012"/>
      <c r="J45" s="2013"/>
      <c r="K45" s="2012"/>
      <c r="L45" s="2012"/>
      <c r="M45" s="2012"/>
      <c r="N45" s="2012"/>
      <c r="O45" s="2012"/>
      <c r="P45" s="2013"/>
      <c r="Q45" s="2014"/>
      <c r="R45" s="2012"/>
      <c r="S45" s="1992" t="s">
        <v>2155</v>
      </c>
      <c r="T45" s="2007"/>
      <c r="U45" s="2007"/>
      <c r="V45" s="1980"/>
      <c r="W45" s="1978"/>
      <c r="X45" s="1978"/>
      <c r="Y45" s="1980"/>
    </row>
    <row r="46" spans="1:25" s="1977" customFormat="1" ht="15" customHeight="1" x14ac:dyDescent="0.2">
      <c r="A46" s="2016"/>
      <c r="B46" s="1980" t="s">
        <v>2156</v>
      </c>
      <c r="C46" s="2000">
        <v>84.126000000000005</v>
      </c>
      <c r="D46" s="1980"/>
      <c r="E46" s="1981" t="s">
        <v>2157</v>
      </c>
      <c r="F46" s="1978"/>
      <c r="G46" s="2012">
        <v>78065</v>
      </c>
      <c r="H46" s="2012"/>
      <c r="I46" s="2012">
        <v>7806</v>
      </c>
      <c r="J46" s="2013"/>
      <c r="K46" s="2012">
        <v>85871</v>
      </c>
      <c r="L46" s="2012"/>
      <c r="M46" s="2012"/>
      <c r="N46" s="2012"/>
      <c r="O46" s="2012"/>
      <c r="P46" s="2013"/>
      <c r="Q46" s="2014">
        <f>+K46+M46+O46</f>
        <v>85871</v>
      </c>
      <c r="R46" s="2012"/>
      <c r="S46" s="1992">
        <v>85871</v>
      </c>
      <c r="T46" s="2007"/>
      <c r="U46" s="2007"/>
      <c r="V46" s="1980"/>
      <c r="W46" s="1978"/>
      <c r="X46" s="1978"/>
      <c r="Y46" s="1980"/>
    </row>
    <row r="47" spans="1:25" s="1977" customFormat="1" ht="15" customHeight="1" x14ac:dyDescent="0.2">
      <c r="A47" s="2016"/>
      <c r="B47" s="1980" t="s">
        <v>2156</v>
      </c>
      <c r="C47" s="2000">
        <v>84.126000000000005</v>
      </c>
      <c r="D47" s="1980"/>
      <c r="E47" s="1981" t="s">
        <v>2158</v>
      </c>
      <c r="F47" s="1978"/>
      <c r="G47" s="2012"/>
      <c r="H47" s="2012"/>
      <c r="I47" s="2012">
        <f>192212.6-27873-101888-7806</f>
        <v>54645.600000000006</v>
      </c>
      <c r="J47" s="2013"/>
      <c r="K47" s="2012"/>
      <c r="L47" s="2012"/>
      <c r="M47" s="2019">
        <v>85871</v>
      </c>
      <c r="N47" s="2012"/>
      <c r="O47" s="2012"/>
      <c r="P47" s="2013"/>
      <c r="Q47" s="2014">
        <f>+K47+M47+O47</f>
        <v>85871</v>
      </c>
      <c r="R47" s="2012"/>
      <c r="S47" s="1992">
        <v>85871</v>
      </c>
      <c r="T47" s="2007"/>
      <c r="U47" s="2003"/>
      <c r="V47" s="1980"/>
      <c r="W47" s="1978"/>
      <c r="X47" s="1978"/>
      <c r="Y47" s="1980"/>
    </row>
    <row r="48" spans="1:25" s="1977" customFormat="1" ht="15" customHeight="1" x14ac:dyDescent="0.2">
      <c r="A48" s="2016"/>
      <c r="B48" s="1980"/>
      <c r="C48" s="2000"/>
      <c r="D48" s="1980"/>
      <c r="E48" s="1981"/>
      <c r="F48" s="1978"/>
      <c r="G48" s="2012"/>
      <c r="H48" s="2012"/>
      <c r="I48" s="2012"/>
      <c r="J48" s="2013"/>
      <c r="K48" s="2012"/>
      <c r="L48" s="2012"/>
      <c r="M48" s="2012"/>
      <c r="N48" s="2012"/>
      <c r="O48" s="2012"/>
      <c r="P48" s="2013"/>
      <c r="Q48" s="2014" t="s">
        <v>1231</v>
      </c>
      <c r="R48" s="2012"/>
      <c r="T48" s="2007"/>
      <c r="U48" s="2007"/>
      <c r="V48" s="1980"/>
      <c r="W48" s="1978"/>
      <c r="X48" s="1978"/>
      <c r="Y48" s="1980"/>
    </row>
    <row r="49" spans="1:25" s="1977" customFormat="1" ht="15" customHeight="1" x14ac:dyDescent="0.2">
      <c r="A49" s="1997" t="s">
        <v>2141</v>
      </c>
      <c r="B49" s="1980"/>
      <c r="C49" s="2000"/>
      <c r="D49" s="1980"/>
      <c r="E49" s="1981"/>
      <c r="F49" s="1978"/>
      <c r="G49" s="2012"/>
      <c r="H49" s="2012"/>
      <c r="I49" s="2012"/>
      <c r="J49" s="2013"/>
      <c r="K49" s="2012"/>
      <c r="L49" s="2012"/>
      <c r="M49" s="2012"/>
      <c r="N49" s="2012"/>
      <c r="O49" s="2012"/>
      <c r="P49" s="2013"/>
      <c r="Q49" s="2014"/>
      <c r="R49" s="2012"/>
      <c r="S49" s="1977" t="s">
        <v>1231</v>
      </c>
      <c r="T49" s="2007"/>
      <c r="U49" s="2007"/>
      <c r="V49" s="1980"/>
      <c r="W49" s="1978"/>
      <c r="X49" s="1978"/>
      <c r="Y49" s="1980"/>
    </row>
    <row r="50" spans="1:25" s="1977" customFormat="1" ht="15" customHeight="1" x14ac:dyDescent="0.2">
      <c r="A50" s="1997" t="s">
        <v>2159</v>
      </c>
      <c r="B50" s="1980"/>
      <c r="C50" s="2000"/>
      <c r="D50" s="1980"/>
      <c r="E50" s="1981"/>
      <c r="F50" s="1978"/>
      <c r="G50" s="2012"/>
      <c r="H50" s="2012"/>
      <c r="I50" s="2012"/>
      <c r="J50" s="2013"/>
      <c r="K50" s="2012"/>
      <c r="L50" s="2012"/>
      <c r="M50" s="2012"/>
      <c r="N50" s="2012"/>
      <c r="O50" s="2012"/>
      <c r="P50" s="2013"/>
      <c r="Q50" s="2014"/>
      <c r="R50" s="2012"/>
      <c r="S50" s="1977" t="s">
        <v>1231</v>
      </c>
      <c r="T50" s="2007"/>
      <c r="U50" s="2007"/>
      <c r="V50" s="1980"/>
      <c r="W50" s="1978"/>
      <c r="X50" s="1978"/>
      <c r="Y50" s="1980"/>
    </row>
    <row r="51" spans="1:25" s="1977" customFormat="1" ht="10.5" customHeight="1" x14ac:dyDescent="0.2">
      <c r="A51" s="1997"/>
      <c r="B51" s="1980"/>
      <c r="C51" s="2000"/>
      <c r="D51" s="1980"/>
      <c r="E51" s="1981"/>
      <c r="F51" s="1978"/>
      <c r="G51" s="2012"/>
      <c r="H51" s="2012"/>
      <c r="I51" s="2012"/>
      <c r="J51" s="2013"/>
      <c r="K51" s="2012"/>
      <c r="L51" s="2012"/>
      <c r="M51" s="2012"/>
      <c r="N51" s="2012"/>
      <c r="O51" s="2012"/>
      <c r="P51" s="2013"/>
      <c r="Q51" s="2014"/>
      <c r="R51" s="2012"/>
      <c r="S51" s="1977" t="s">
        <v>1231</v>
      </c>
      <c r="T51" s="2007"/>
      <c r="U51" s="2007"/>
      <c r="V51" s="1980"/>
      <c r="W51" s="1978"/>
      <c r="X51" s="1978"/>
      <c r="Y51" s="1980"/>
    </row>
    <row r="52" spans="1:25" s="1977" customFormat="1" ht="15" customHeight="1" x14ac:dyDescent="0.2">
      <c r="A52" s="1997"/>
      <c r="B52" s="1980" t="s">
        <v>2160</v>
      </c>
      <c r="C52" s="2000">
        <v>93.778000000000006</v>
      </c>
      <c r="D52" s="1980"/>
      <c r="E52" s="1981" t="s">
        <v>2161</v>
      </c>
      <c r="F52" s="1978"/>
      <c r="G52" s="2012">
        <v>18936</v>
      </c>
      <c r="H52" s="2012"/>
      <c r="I52" s="2012">
        <v>7630</v>
      </c>
      <c r="J52" s="2013"/>
      <c r="K52" s="2012">
        <v>27672</v>
      </c>
      <c r="L52" s="2012"/>
      <c r="M52" s="2012"/>
      <c r="N52" s="2012"/>
      <c r="O52" s="2012"/>
      <c r="P52" s="2013"/>
      <c r="Q52" s="2014">
        <f>+K52+M52</f>
        <v>27672</v>
      </c>
      <c r="R52" s="2012"/>
      <c r="S52" s="1992" t="s">
        <v>2133</v>
      </c>
      <c r="T52" s="2007"/>
      <c r="U52" s="2003"/>
      <c r="V52" s="1980"/>
      <c r="W52" s="1978"/>
      <c r="X52" s="1978"/>
      <c r="Y52" s="1980"/>
    </row>
    <row r="53" spans="1:25" s="1977" customFormat="1" ht="15" customHeight="1" x14ac:dyDescent="0.2">
      <c r="A53" s="1997"/>
      <c r="B53" s="1980" t="s">
        <v>2160</v>
      </c>
      <c r="C53" s="2000">
        <v>93.778000000000006</v>
      </c>
      <c r="D53" s="1980"/>
      <c r="E53" s="1981" t="s">
        <v>2162</v>
      </c>
      <c r="F53" s="1978"/>
      <c r="G53" s="2008"/>
      <c r="H53" s="2012"/>
      <c r="I53" s="2008">
        <v>28405</v>
      </c>
      <c r="J53" s="2013"/>
      <c r="K53" s="2008"/>
      <c r="L53" s="2012"/>
      <c r="M53" s="2008">
        <v>40671</v>
      </c>
      <c r="N53" s="2012"/>
      <c r="O53" s="2008">
        <v>0</v>
      </c>
      <c r="P53" s="2013"/>
      <c r="Q53" s="2010">
        <f>+K53+M53</f>
        <v>40671</v>
      </c>
      <c r="R53" s="2012"/>
      <c r="S53" s="1992" t="s">
        <v>2133</v>
      </c>
      <c r="T53" s="2007"/>
      <c r="U53" s="2007"/>
      <c r="V53" s="1980"/>
      <c r="W53" s="1978"/>
      <c r="X53" s="1978"/>
      <c r="Y53" s="1980"/>
    </row>
    <row r="54" spans="1:25" s="1977" customFormat="1" ht="15" customHeight="1" x14ac:dyDescent="0.2">
      <c r="A54" s="1997" t="s">
        <v>2163</v>
      </c>
      <c r="B54" s="1980"/>
      <c r="C54" s="2000"/>
      <c r="D54" s="1980"/>
      <c r="E54" s="1980"/>
      <c r="F54" s="1978"/>
      <c r="G54" s="2025">
        <f>SUM(G38:G53)</f>
        <v>4166318</v>
      </c>
      <c r="H54" s="2026"/>
      <c r="I54" s="2025">
        <f>SUM(I38:I53)</f>
        <v>5553058.5999999996</v>
      </c>
      <c r="J54" s="2026"/>
      <c r="K54" s="2025">
        <f>SUM(K38:K53)</f>
        <v>4974691</v>
      </c>
      <c r="L54" s="2026"/>
      <c r="M54" s="2025">
        <f>SUM(M38:M53)</f>
        <v>5498567</v>
      </c>
      <c r="N54" s="2026"/>
      <c r="O54" s="2025">
        <f>SUM(O38:O53)</f>
        <v>370530</v>
      </c>
      <c r="P54" s="2026"/>
      <c r="Q54" s="2025">
        <f>SUM(Q38:Q53)</f>
        <v>10843788</v>
      </c>
      <c r="R54" s="2026"/>
      <c r="S54" s="2026"/>
      <c r="T54" s="2007"/>
      <c r="U54" s="2007"/>
      <c r="V54" s="1980"/>
      <c r="W54" s="1978"/>
      <c r="X54" s="1978"/>
      <c r="Y54" s="1980"/>
    </row>
    <row r="55" spans="1:25" s="1977" customFormat="1" ht="9.75" customHeight="1" x14ac:dyDescent="0.2">
      <c r="A55" s="1997"/>
      <c r="B55" s="1980"/>
      <c r="C55" s="2000"/>
      <c r="D55" s="1980"/>
      <c r="E55" s="1980"/>
      <c r="F55" s="1978"/>
      <c r="G55" s="2026"/>
      <c r="H55" s="2027"/>
      <c r="I55" s="2026"/>
      <c r="J55" s="2027"/>
      <c r="K55" s="2026"/>
      <c r="L55" s="2027"/>
      <c r="M55" s="2026"/>
      <c r="N55" s="2027"/>
      <c r="O55" s="2026"/>
      <c r="P55" s="2027"/>
      <c r="Q55" s="2026"/>
      <c r="R55" s="2028"/>
      <c r="S55" s="2029"/>
      <c r="T55" s="2007"/>
      <c r="U55" s="2007"/>
      <c r="V55" s="1980"/>
      <c r="W55" s="1978"/>
      <c r="X55" s="1978"/>
      <c r="Y55" s="1980"/>
    </row>
    <row r="56" spans="1:25" s="1977" customFormat="1" ht="15" customHeight="1" thickBot="1" x14ac:dyDescent="0.25">
      <c r="A56" s="2030" t="s">
        <v>2164</v>
      </c>
      <c r="B56" s="1980"/>
      <c r="C56" s="2000"/>
      <c r="D56" s="1980"/>
      <c r="E56" s="1980"/>
      <c r="F56" s="1978"/>
      <c r="G56" s="2031">
        <f>+G54+G24</f>
        <v>4181794</v>
      </c>
      <c r="H56" s="2027"/>
      <c r="I56" s="2031">
        <f>+I54+I24</f>
        <v>5573695.5999999996</v>
      </c>
      <c r="J56" s="2027"/>
      <c r="K56" s="2031">
        <f>+K54+K24</f>
        <v>4992121</v>
      </c>
      <c r="L56" s="2027"/>
      <c r="M56" s="2031">
        <f>+M54+M24</f>
        <v>5521539</v>
      </c>
      <c r="N56" s="2027"/>
      <c r="O56" s="2031">
        <f>+O54+O24</f>
        <v>370530</v>
      </c>
      <c r="P56" s="2027"/>
      <c r="Q56" s="2031">
        <f>+Q54+Q24</f>
        <v>10884190</v>
      </c>
      <c r="R56" s="2028"/>
      <c r="S56" s="2029"/>
      <c r="T56" s="2003"/>
      <c r="U56" s="2003"/>
      <c r="V56" s="1980"/>
      <c r="W56" s="1978"/>
      <c r="X56" s="1978"/>
      <c r="Y56" s="1980"/>
    </row>
    <row r="57" spans="1:25" s="1977" customFormat="1" ht="18" thickTop="1" x14ac:dyDescent="0.2">
      <c r="A57" s="2016"/>
      <c r="B57" s="1980"/>
      <c r="C57" s="2000"/>
      <c r="D57" s="1980"/>
      <c r="E57" s="1980"/>
      <c r="F57" s="1978"/>
      <c r="G57" s="2026"/>
      <c r="H57" s="2027"/>
      <c r="I57" s="2026"/>
      <c r="J57" s="2027"/>
      <c r="K57" s="2026"/>
      <c r="L57" s="2027"/>
      <c r="M57" s="2026"/>
      <c r="N57" s="2027"/>
      <c r="P57" s="2027"/>
      <c r="Q57" s="2026"/>
      <c r="R57" s="2028"/>
      <c r="S57" s="2029"/>
      <c r="T57" s="2003"/>
      <c r="U57" s="2003"/>
      <c r="V57" s="1980"/>
      <c r="W57" s="1978"/>
      <c r="X57" s="1978"/>
      <c r="Y57" s="1980"/>
    </row>
    <row r="58" spans="1:25" s="1977" customFormat="1" ht="17.25" x14ac:dyDescent="0.2">
      <c r="A58" s="1979" t="s">
        <v>2165</v>
      </c>
      <c r="B58" s="1980"/>
      <c r="C58" s="2000"/>
      <c r="D58" s="1980"/>
      <c r="E58" s="1980"/>
      <c r="F58" s="1978"/>
      <c r="G58" s="2028">
        <f>+G38+G24</f>
        <v>4005156</v>
      </c>
      <c r="H58" s="2020"/>
      <c r="I58" s="2028">
        <f>+I38+I24</f>
        <v>5345448</v>
      </c>
      <c r="J58" s="2020"/>
      <c r="K58" s="2028">
        <f>+K38+K24</f>
        <v>4771068</v>
      </c>
      <c r="L58" s="2020"/>
      <c r="M58" s="2028">
        <f>+M38+M24</f>
        <v>5286152</v>
      </c>
      <c r="N58" s="2020"/>
      <c r="O58" s="2028">
        <f>+O38+O24</f>
        <v>370530</v>
      </c>
      <c r="P58" s="2020"/>
      <c r="Q58" s="2028">
        <f>+Q38+Q24</f>
        <v>10427750</v>
      </c>
      <c r="R58" s="2028"/>
      <c r="S58" s="2029"/>
      <c r="T58" s="2003"/>
      <c r="U58" s="2003"/>
      <c r="V58" s="1980"/>
      <c r="W58" s="1978"/>
      <c r="X58" s="1978"/>
      <c r="Y58" s="1980"/>
    </row>
    <row r="59" spans="1:25" s="1977" customFormat="1" ht="17.25" x14ac:dyDescent="0.2">
      <c r="A59" s="1979" t="s">
        <v>2166</v>
      </c>
      <c r="B59" s="1980"/>
      <c r="C59" s="2000"/>
      <c r="D59" s="1980"/>
      <c r="E59" s="1980"/>
      <c r="F59" s="1978"/>
      <c r="G59" s="2028">
        <f>+G43+G44</f>
        <v>79637</v>
      </c>
      <c r="H59" s="2020"/>
      <c r="I59" s="2028">
        <f>+I43+I44</f>
        <v>129761</v>
      </c>
      <c r="J59" s="2020"/>
      <c r="K59" s="2028">
        <f>+K43+K44</f>
        <v>107510</v>
      </c>
      <c r="L59" s="2020"/>
      <c r="M59" s="2028">
        <f>+M43+M44</f>
        <v>108845</v>
      </c>
      <c r="N59" s="2020"/>
      <c r="O59" s="2028">
        <f>+O43+O44</f>
        <v>0</v>
      </c>
      <c r="P59" s="2020"/>
      <c r="Q59" s="2028">
        <f>+Q43+Q44</f>
        <v>216355</v>
      </c>
      <c r="R59" s="2028"/>
      <c r="S59" s="2029"/>
      <c r="T59" s="2003"/>
      <c r="U59" s="2003"/>
      <c r="V59" s="1980"/>
      <c r="W59" s="1978"/>
      <c r="X59" s="1978"/>
      <c r="Y59" s="1980"/>
    </row>
    <row r="60" spans="1:25" s="1977" customFormat="1" ht="15" x14ac:dyDescent="0.2">
      <c r="A60" s="1979" t="s">
        <v>2167</v>
      </c>
      <c r="D60" s="1980"/>
      <c r="E60" s="1980"/>
      <c r="F60" s="1978"/>
      <c r="G60" s="2008">
        <f>+G52+G53</f>
        <v>18936</v>
      </c>
      <c r="H60" s="2012"/>
      <c r="I60" s="2008">
        <f>+I52+I53</f>
        <v>36035</v>
      </c>
      <c r="J60" s="2013"/>
      <c r="K60" s="2008">
        <f>+K52+K53</f>
        <v>27672</v>
      </c>
      <c r="L60" s="2012"/>
      <c r="M60" s="2008">
        <f>+M52+M53</f>
        <v>40671</v>
      </c>
      <c r="N60" s="2012"/>
      <c r="O60" s="2008">
        <f>+O52+O53</f>
        <v>0</v>
      </c>
      <c r="P60" s="2013"/>
      <c r="Q60" s="2008">
        <f>+Q52+Q53</f>
        <v>68343</v>
      </c>
      <c r="R60" s="2012"/>
      <c r="S60" s="2013"/>
      <c r="T60" s="2007"/>
      <c r="U60" s="2007"/>
      <c r="V60" s="1973"/>
      <c r="W60" s="1978"/>
      <c r="X60" s="1978"/>
    </row>
    <row r="61" spans="1:25" s="1977" customFormat="1" ht="18" thickBot="1" x14ac:dyDescent="0.25">
      <c r="A61" s="2030" t="s">
        <v>2164</v>
      </c>
      <c r="C61" s="2032"/>
      <c r="D61" s="1980"/>
      <c r="E61" s="1980"/>
      <c r="F61" s="1978"/>
      <c r="G61" s="2033">
        <f>+G56</f>
        <v>4181794</v>
      </c>
      <c r="H61" s="2034"/>
      <c r="I61" s="2033">
        <f>+I56</f>
        <v>5573695.5999999996</v>
      </c>
      <c r="J61" s="2034"/>
      <c r="K61" s="2033">
        <f>+K56</f>
        <v>4992121</v>
      </c>
      <c r="L61" s="2034"/>
      <c r="M61" s="2033">
        <f>+M56</f>
        <v>5521539</v>
      </c>
      <c r="N61" s="2034"/>
      <c r="O61" s="2033">
        <f>+O56</f>
        <v>370530</v>
      </c>
      <c r="P61" s="2033"/>
      <c r="Q61" s="2033">
        <f>+Q56</f>
        <v>10884190</v>
      </c>
      <c r="R61" s="2035" t="s">
        <v>1231</v>
      </c>
      <c r="S61" s="2036"/>
      <c r="T61" s="2007"/>
      <c r="U61" s="2007"/>
      <c r="V61" s="1974"/>
      <c r="W61" s="1978"/>
      <c r="X61" s="1978"/>
      <c r="Y61" s="1974"/>
    </row>
    <row r="62" spans="1:25" s="1977" customFormat="1" ht="18" thickTop="1" x14ac:dyDescent="0.2">
      <c r="A62" s="2030"/>
      <c r="C62" s="2032"/>
      <c r="D62" s="1980"/>
      <c r="E62" s="1980"/>
      <c r="F62" s="1978"/>
      <c r="G62" s="2034"/>
      <c r="H62" s="2034"/>
      <c r="I62" s="2034"/>
      <c r="J62" s="2034"/>
      <c r="K62" s="2034"/>
      <c r="L62" s="2034"/>
      <c r="M62" s="2034"/>
      <c r="N62" s="2034"/>
      <c r="O62" s="2034"/>
      <c r="P62" s="2034"/>
      <c r="Q62" s="2034"/>
      <c r="R62" s="2035"/>
      <c r="S62" s="2036"/>
      <c r="T62" s="2007"/>
      <c r="U62" s="2007"/>
      <c r="V62" s="2073"/>
      <c r="W62" s="1978"/>
      <c r="X62" s="1978"/>
      <c r="Y62" s="1974"/>
    </row>
    <row r="63" spans="1:25" s="1977" customFormat="1" ht="17.25" x14ac:dyDescent="0.2">
      <c r="A63" s="2030"/>
      <c r="C63" s="2032"/>
      <c r="D63" s="1980"/>
      <c r="E63" s="1980"/>
      <c r="F63" s="1978"/>
      <c r="G63" s="2034"/>
      <c r="H63" s="2034"/>
      <c r="I63" s="2034"/>
      <c r="J63" s="2034"/>
      <c r="K63" s="2034"/>
      <c r="L63" s="2034"/>
      <c r="M63" s="2034"/>
      <c r="N63" s="2034"/>
      <c r="O63" s="2034"/>
      <c r="P63" s="2034"/>
      <c r="Q63" s="2034"/>
      <c r="R63" s="2035"/>
      <c r="S63" s="2036"/>
      <c r="T63" s="2007"/>
      <c r="U63" s="2007"/>
      <c r="V63" s="1972"/>
      <c r="W63" s="1978"/>
      <c r="X63" s="1978"/>
      <c r="Y63" s="1974"/>
    </row>
    <row r="64" spans="1:25" s="1977" customFormat="1" ht="17.25" x14ac:dyDescent="0.2">
      <c r="A64" s="1980" t="s">
        <v>2168</v>
      </c>
      <c r="B64" s="1980"/>
      <c r="C64" s="2576" t="s">
        <v>2169</v>
      </c>
      <c r="D64" s="2577"/>
      <c r="E64" s="2577"/>
      <c r="F64" s="1978"/>
      <c r="G64" s="2578" t="s">
        <v>2170</v>
      </c>
      <c r="H64" s="2579"/>
      <c r="I64" s="2579"/>
      <c r="J64" s="2013"/>
      <c r="K64" s="2012"/>
      <c r="L64" s="2012"/>
      <c r="M64" s="2012"/>
      <c r="N64" s="2012"/>
      <c r="O64" s="2012"/>
      <c r="P64" s="2013"/>
      <c r="Q64" s="2012"/>
      <c r="R64" s="2012"/>
      <c r="S64" s="2013"/>
      <c r="T64" s="2037"/>
      <c r="U64" s="2037"/>
      <c r="V64" s="2038"/>
      <c r="W64" s="1978"/>
      <c r="X64" s="1978"/>
      <c r="Y64" s="1978"/>
    </row>
    <row r="65" spans="1:25" s="1977" customFormat="1" ht="15" hidden="1" x14ac:dyDescent="0.2">
      <c r="A65" s="1980"/>
      <c r="B65" s="1980"/>
      <c r="C65" s="1980"/>
      <c r="D65" s="1980"/>
      <c r="E65" s="1980"/>
      <c r="F65" s="1978"/>
      <c r="G65" s="2012"/>
      <c r="H65" s="2012"/>
      <c r="I65" s="2012"/>
      <c r="J65" s="2013"/>
      <c r="K65" s="2012"/>
      <c r="L65" s="2012"/>
      <c r="M65" s="2012"/>
      <c r="N65" s="2012"/>
      <c r="O65" s="2012"/>
      <c r="P65" s="2013"/>
      <c r="Q65" s="2012"/>
      <c r="R65" s="2012"/>
      <c r="S65" s="2013"/>
      <c r="T65" s="2037"/>
      <c r="U65" s="2037"/>
      <c r="V65" s="1980"/>
      <c r="W65" s="1978"/>
      <c r="X65" s="1978"/>
      <c r="Y65" s="1978"/>
    </row>
    <row r="66" spans="1:25" s="1977" customFormat="1" ht="15" x14ac:dyDescent="0.2">
      <c r="A66" s="1979" t="s">
        <v>2171</v>
      </c>
      <c r="C66" s="2039" t="s">
        <v>2172</v>
      </c>
      <c r="D66" s="2016"/>
      <c r="E66" s="2039" t="s">
        <v>2173</v>
      </c>
      <c r="F66" s="1978"/>
      <c r="G66" s="2039" t="s">
        <v>2172</v>
      </c>
      <c r="H66" s="1978"/>
      <c r="I66" s="2039" t="s">
        <v>2173</v>
      </c>
      <c r="J66" s="2013"/>
      <c r="K66" s="2013"/>
      <c r="L66" s="2013"/>
      <c r="M66" s="2036" t="s">
        <v>1231</v>
      </c>
      <c r="N66" s="2013"/>
      <c r="O66" s="2040" t="s">
        <v>1231</v>
      </c>
      <c r="P66" s="2041"/>
      <c r="Q66" s="2040"/>
      <c r="R66" s="2040"/>
      <c r="S66" s="2041"/>
      <c r="T66" s="2007"/>
      <c r="U66" s="2007"/>
      <c r="W66" s="2042"/>
      <c r="X66" s="2042"/>
      <c r="Y66" s="1980"/>
    </row>
    <row r="67" spans="1:25" s="1977" customFormat="1" ht="15" x14ac:dyDescent="0.2">
      <c r="A67" s="1978"/>
      <c r="B67" s="1980" t="s">
        <v>2174</v>
      </c>
      <c r="C67" s="2043">
        <v>1352</v>
      </c>
      <c r="D67" s="2044"/>
      <c r="E67" s="2044">
        <v>16148</v>
      </c>
      <c r="F67" s="2045"/>
      <c r="G67" s="2044">
        <v>12695</v>
      </c>
      <c r="H67" s="2044"/>
      <c r="I67" s="2044">
        <v>89253</v>
      </c>
      <c r="J67" s="2045"/>
      <c r="K67" s="2044" t="s">
        <v>1231</v>
      </c>
      <c r="L67" s="2044"/>
      <c r="M67" s="2044" t="s">
        <v>1231</v>
      </c>
      <c r="N67" s="2044"/>
      <c r="O67" s="2044"/>
      <c r="P67" s="2045"/>
      <c r="Q67" s="2044"/>
      <c r="R67" s="2044"/>
      <c r="S67" s="2045"/>
      <c r="T67" s="2046"/>
      <c r="U67" s="2046"/>
      <c r="V67" s="2044"/>
      <c r="W67" s="2045"/>
      <c r="X67" s="2045"/>
      <c r="Y67" s="2044"/>
    </row>
    <row r="68" spans="1:25" s="1977" customFormat="1" ht="13.5" customHeight="1" x14ac:dyDescent="0.2">
      <c r="A68" s="1978"/>
      <c r="B68" s="1980" t="s">
        <v>2175</v>
      </c>
      <c r="C68" s="2043"/>
      <c r="D68" s="2044"/>
      <c r="E68" s="2044">
        <v>14353</v>
      </c>
      <c r="F68" s="2045"/>
      <c r="G68" s="2044"/>
      <c r="H68" s="2044"/>
      <c r="I68" s="2044">
        <v>98345</v>
      </c>
      <c r="J68" s="2045"/>
      <c r="K68" s="2044" t="s">
        <v>1231</v>
      </c>
      <c r="L68" s="2044"/>
      <c r="M68" s="2044"/>
      <c r="N68" s="2044"/>
      <c r="O68" s="2044"/>
      <c r="P68" s="2045"/>
      <c r="Q68" s="2044"/>
      <c r="R68" s="2044"/>
      <c r="S68" s="2045"/>
      <c r="T68" s="2046"/>
      <c r="U68" s="2046"/>
      <c r="V68" s="2044"/>
      <c r="W68" s="2045"/>
      <c r="X68" s="2045"/>
      <c r="Y68" s="2044"/>
    </row>
    <row r="69" spans="1:25" s="1977" customFormat="1" ht="13.5" customHeight="1" x14ac:dyDescent="0.2">
      <c r="A69" s="1978"/>
      <c r="B69" s="1980" t="s">
        <v>2176</v>
      </c>
      <c r="C69" s="2043"/>
      <c r="D69" s="2044"/>
      <c r="E69" s="2044">
        <v>12029</v>
      </c>
      <c r="F69" s="2045"/>
      <c r="G69" s="2044">
        <v>653</v>
      </c>
      <c r="H69" s="2044"/>
      <c r="I69" s="2044">
        <v>83910</v>
      </c>
      <c r="J69" s="2045"/>
      <c r="K69" s="2044" t="s">
        <v>1231</v>
      </c>
      <c r="L69" s="2044"/>
      <c r="M69" s="2044"/>
      <c r="N69" s="2044"/>
      <c r="O69" s="2044"/>
      <c r="P69" s="2045"/>
      <c r="Q69" s="2044"/>
      <c r="R69" s="2044"/>
      <c r="S69" s="2045"/>
      <c r="T69" s="2046"/>
      <c r="U69" s="2046"/>
      <c r="V69" s="2044"/>
      <c r="W69" s="2045"/>
      <c r="X69" s="2045"/>
      <c r="Y69" s="2044"/>
    </row>
    <row r="70" spans="1:25" s="1977" customFormat="1" ht="13.5" customHeight="1" x14ac:dyDescent="0.2">
      <c r="A70" s="1978"/>
      <c r="B70" s="1980" t="s">
        <v>2177</v>
      </c>
      <c r="C70" s="2043"/>
      <c r="D70" s="2044"/>
      <c r="E70" s="2044">
        <v>16148</v>
      </c>
      <c r="F70" s="2045"/>
      <c r="G70" s="2044"/>
      <c r="H70" s="2044"/>
      <c r="I70" s="2044">
        <v>101760</v>
      </c>
      <c r="J70" s="2045"/>
      <c r="K70" s="2044" t="s">
        <v>1231</v>
      </c>
      <c r="L70" s="2044"/>
      <c r="M70" s="2044"/>
      <c r="N70" s="2044"/>
      <c r="O70" s="2044"/>
      <c r="P70" s="2045"/>
      <c r="Q70" s="2044"/>
      <c r="R70" s="2044"/>
      <c r="S70" s="2045"/>
      <c r="T70" s="2046"/>
      <c r="U70" s="2046"/>
      <c r="V70" s="2044"/>
      <c r="W70" s="2045"/>
      <c r="X70" s="2045"/>
      <c r="Y70" s="2044"/>
    </row>
    <row r="71" spans="1:25" s="1977" customFormat="1" ht="13.5" customHeight="1" x14ac:dyDescent="0.2">
      <c r="A71" s="1978"/>
      <c r="B71" s="1980" t="s">
        <v>2178</v>
      </c>
      <c r="C71" s="2043"/>
      <c r="D71" s="2044"/>
      <c r="E71" s="2044"/>
      <c r="F71" s="2045"/>
      <c r="G71" s="2044"/>
      <c r="H71" s="2044"/>
      <c r="I71" s="2044">
        <v>18923</v>
      </c>
      <c r="J71" s="2045"/>
      <c r="K71" s="2044" t="s">
        <v>1231</v>
      </c>
      <c r="L71" s="2044"/>
      <c r="M71" s="2044"/>
      <c r="N71" s="2044"/>
      <c r="O71" s="2044"/>
      <c r="P71" s="2045"/>
      <c r="Q71" s="2044"/>
      <c r="R71" s="2044"/>
      <c r="S71" s="2045"/>
      <c r="T71" s="2046"/>
      <c r="U71" s="2046"/>
      <c r="V71" s="2044"/>
      <c r="W71" s="2045"/>
      <c r="X71" s="2045"/>
      <c r="Y71" s="2044"/>
    </row>
    <row r="72" spans="1:25" s="1977" customFormat="1" ht="13.5" customHeight="1" x14ac:dyDescent="0.2">
      <c r="A72" s="1978"/>
      <c r="B72" s="1980" t="s">
        <v>2179</v>
      </c>
      <c r="C72" s="2043">
        <v>4930</v>
      </c>
      <c r="D72" s="2044"/>
      <c r="E72" s="2044">
        <v>23060</v>
      </c>
      <c r="F72" s="2045"/>
      <c r="G72" s="2044">
        <v>37550</v>
      </c>
      <c r="H72" s="2044"/>
      <c r="I72" s="2044">
        <v>207373</v>
      </c>
      <c r="J72" s="2045"/>
      <c r="K72" s="2044" t="s">
        <v>1231</v>
      </c>
      <c r="L72" s="2044"/>
      <c r="M72" s="2044"/>
      <c r="N72" s="2044"/>
      <c r="O72" s="2044"/>
      <c r="P72" s="2045"/>
      <c r="Q72" s="2044"/>
      <c r="R72" s="2044"/>
      <c r="S72" s="2045"/>
      <c r="T72" s="2046"/>
      <c r="U72" s="2046"/>
      <c r="V72" s="2044"/>
      <c r="W72" s="2045"/>
      <c r="X72" s="2045"/>
      <c r="Y72" s="2044"/>
    </row>
    <row r="73" spans="1:25" s="1977" customFormat="1" ht="13.5" customHeight="1" x14ac:dyDescent="0.2">
      <c r="A73" s="1978"/>
      <c r="B73" s="1980" t="s">
        <v>2180</v>
      </c>
      <c r="C73" s="2043"/>
      <c r="D73" s="2044"/>
      <c r="E73" s="2044"/>
      <c r="F73" s="2045"/>
      <c r="G73" s="2044"/>
      <c r="H73" s="2044"/>
      <c r="I73" s="2044">
        <v>19806</v>
      </c>
      <c r="J73" s="2045"/>
      <c r="K73" s="2044" t="s">
        <v>1231</v>
      </c>
      <c r="L73" s="2044"/>
      <c r="M73" s="2044"/>
      <c r="N73" s="2044"/>
      <c r="O73" s="2044"/>
      <c r="P73" s="2045"/>
      <c r="Q73" s="2044"/>
      <c r="R73" s="2044"/>
      <c r="S73" s="2045"/>
      <c r="T73" s="2046"/>
      <c r="U73" s="2046"/>
      <c r="V73" s="2044"/>
      <c r="W73" s="2045"/>
      <c r="X73" s="2045"/>
      <c r="Y73" s="2044"/>
    </row>
    <row r="74" spans="1:25" s="1977" customFormat="1" ht="13.5" customHeight="1" x14ac:dyDescent="0.2">
      <c r="A74" s="1978"/>
      <c r="B74" s="1980" t="s">
        <v>2181</v>
      </c>
      <c r="C74" s="2043">
        <v>999</v>
      </c>
      <c r="D74" s="2044"/>
      <c r="E74" s="2044">
        <v>7143</v>
      </c>
      <c r="F74" s="2045"/>
      <c r="G74" s="2044">
        <v>7994</v>
      </c>
      <c r="H74" s="2044"/>
      <c r="I74" s="2044">
        <v>64683</v>
      </c>
      <c r="J74" s="2045"/>
      <c r="K74" s="2044" t="s">
        <v>1231</v>
      </c>
      <c r="L74" s="2044"/>
      <c r="M74" s="2044"/>
      <c r="N74" s="2044"/>
      <c r="O74" s="2044"/>
      <c r="P74" s="2045"/>
      <c r="Q74" s="2044"/>
      <c r="R74" s="2044"/>
      <c r="S74" s="2045"/>
      <c r="T74" s="2046"/>
      <c r="U74" s="2046"/>
      <c r="V74" s="2044"/>
      <c r="W74" s="2045"/>
      <c r="X74" s="2045"/>
      <c r="Y74" s="2044"/>
    </row>
    <row r="75" spans="1:25" s="1977" customFormat="1" ht="13.5" customHeight="1" x14ac:dyDescent="0.2">
      <c r="A75" s="1978"/>
      <c r="B75" s="1980" t="s">
        <v>2182</v>
      </c>
      <c r="C75" s="2043">
        <v>8235</v>
      </c>
      <c r="D75" s="2044"/>
      <c r="E75" s="2044">
        <v>54867</v>
      </c>
      <c r="F75" s="2045"/>
      <c r="G75" s="2044">
        <v>57728</v>
      </c>
      <c r="H75" s="2044"/>
      <c r="I75" s="2044">
        <v>454934</v>
      </c>
      <c r="J75" s="2045"/>
      <c r="K75" s="2044" t="s">
        <v>1231</v>
      </c>
      <c r="L75" s="2044"/>
      <c r="M75" s="2044"/>
      <c r="N75" s="2044"/>
      <c r="O75" s="2044"/>
      <c r="P75" s="2045"/>
      <c r="Q75" s="2044"/>
      <c r="R75" s="2044"/>
      <c r="S75" s="2045"/>
      <c r="T75" s="2046"/>
      <c r="U75" s="2046"/>
      <c r="V75" s="2044"/>
      <c r="W75" s="2045"/>
      <c r="X75" s="2045"/>
      <c r="Y75" s="2044"/>
    </row>
    <row r="76" spans="1:25" s="1977" customFormat="1" ht="13.5" customHeight="1" x14ac:dyDescent="0.2">
      <c r="A76" s="1978"/>
      <c r="B76" s="1980" t="s">
        <v>2183</v>
      </c>
      <c r="C76" s="2043">
        <v>1902</v>
      </c>
      <c r="D76" s="2044"/>
      <c r="E76" s="2044">
        <v>7008</v>
      </c>
      <c r="F76" s="2045"/>
      <c r="G76" s="2044">
        <v>14700</v>
      </c>
      <c r="H76" s="2044"/>
      <c r="I76" s="2044">
        <v>94585</v>
      </c>
      <c r="J76" s="2045"/>
      <c r="K76" s="2044" t="s">
        <v>1231</v>
      </c>
      <c r="L76" s="2044"/>
      <c r="M76" s="2044"/>
      <c r="N76" s="2044"/>
      <c r="O76" s="2044"/>
      <c r="P76" s="2045"/>
      <c r="Q76" s="2044"/>
      <c r="R76" s="2044"/>
      <c r="S76" s="2045"/>
      <c r="T76" s="2046"/>
      <c r="U76" s="2046"/>
      <c r="V76" s="2044"/>
      <c r="W76" s="2045"/>
      <c r="X76" s="2045"/>
      <c r="Y76" s="2044"/>
    </row>
    <row r="77" spans="1:25" s="1977" customFormat="1" ht="13.5" customHeight="1" x14ac:dyDescent="0.2">
      <c r="A77" s="1978"/>
      <c r="B77" s="1980" t="s">
        <v>2184</v>
      </c>
      <c r="C77" s="2043"/>
      <c r="D77" s="2044"/>
      <c r="E77" s="2044">
        <f>12110+66</f>
        <v>12176</v>
      </c>
      <c r="F77" s="2045"/>
      <c r="G77" s="2044"/>
      <c r="H77" s="2044"/>
      <c r="I77" s="2044">
        <v>34831</v>
      </c>
      <c r="J77" s="2045"/>
      <c r="K77" s="2044" t="s">
        <v>1231</v>
      </c>
      <c r="L77" s="2044"/>
      <c r="M77" s="2044"/>
      <c r="N77" s="2044"/>
      <c r="O77" s="2044"/>
      <c r="P77" s="2045"/>
      <c r="Q77" s="2044"/>
      <c r="R77" s="2044"/>
      <c r="S77" s="2045"/>
      <c r="T77" s="2046"/>
      <c r="U77" s="2046"/>
      <c r="V77" s="2044"/>
      <c r="W77" s="2045"/>
      <c r="X77" s="2045"/>
      <c r="Y77" s="2044"/>
    </row>
    <row r="78" spans="1:25" s="1977" customFormat="1" ht="13.5" customHeight="1" x14ac:dyDescent="0.2">
      <c r="A78" s="1978"/>
      <c r="B78" s="1980" t="s">
        <v>2185</v>
      </c>
      <c r="C78" s="2043"/>
      <c r="D78" s="2044"/>
      <c r="E78" s="2044">
        <v>16148</v>
      </c>
      <c r="F78" s="2045"/>
      <c r="G78" s="2044"/>
      <c r="H78" s="2044"/>
      <c r="I78" s="2044">
        <v>107906</v>
      </c>
      <c r="J78" s="2045"/>
      <c r="K78" s="2044" t="s">
        <v>1231</v>
      </c>
      <c r="L78" s="2044"/>
      <c r="M78" s="2044"/>
      <c r="N78" s="2044"/>
      <c r="O78" s="2044"/>
      <c r="P78" s="2045"/>
      <c r="Q78" s="2044"/>
      <c r="R78" s="2044"/>
      <c r="S78" s="2045"/>
      <c r="T78" s="2046"/>
      <c r="U78" s="2046"/>
      <c r="V78" s="2044"/>
      <c r="W78" s="2045"/>
      <c r="X78" s="2045"/>
      <c r="Y78" s="2044"/>
    </row>
    <row r="79" spans="1:25" s="1977" customFormat="1" ht="13.5" customHeight="1" x14ac:dyDescent="0.2">
      <c r="A79" s="1978"/>
      <c r="B79" s="1980" t="s">
        <v>2186</v>
      </c>
      <c r="C79" s="2043"/>
      <c r="D79" s="2044"/>
      <c r="E79" s="2044">
        <v>12744</v>
      </c>
      <c r="F79" s="2045"/>
      <c r="G79" s="2044">
        <v>16193</v>
      </c>
      <c r="H79" s="2044"/>
      <c r="I79" s="2044">
        <v>90725</v>
      </c>
      <c r="J79" s="2045"/>
      <c r="K79" s="2044" t="s">
        <v>1231</v>
      </c>
      <c r="L79" s="2044"/>
      <c r="M79" s="2044"/>
      <c r="N79" s="2044"/>
      <c r="O79" s="2044"/>
      <c r="P79" s="2045"/>
      <c r="Q79" s="2044"/>
      <c r="R79" s="2044"/>
      <c r="S79" s="2045"/>
      <c r="T79" s="2046"/>
      <c r="U79" s="2046"/>
      <c r="V79" s="2044"/>
      <c r="W79" s="2045"/>
      <c r="X79" s="2045"/>
      <c r="Y79" s="2044"/>
    </row>
    <row r="80" spans="1:25" s="1977" customFormat="1" ht="13.5" customHeight="1" x14ac:dyDescent="0.2">
      <c r="A80" s="1978"/>
      <c r="B80" s="1980" t="s">
        <v>2187</v>
      </c>
      <c r="C80" s="2043"/>
      <c r="D80" s="2044"/>
      <c r="E80" s="2044"/>
      <c r="F80" s="2045"/>
      <c r="G80" s="2044">
        <v>31449</v>
      </c>
      <c r="H80" s="2044"/>
      <c r="I80" s="2044">
        <v>147053</v>
      </c>
      <c r="J80" s="2045"/>
      <c r="K80" s="2044" t="s">
        <v>1231</v>
      </c>
      <c r="L80" s="2044"/>
      <c r="M80" s="2044"/>
      <c r="N80" s="2044"/>
      <c r="O80" s="2044"/>
      <c r="P80" s="2045"/>
      <c r="Q80" s="2044"/>
      <c r="R80" s="2044"/>
      <c r="S80" s="2045"/>
      <c r="T80" s="2046"/>
      <c r="U80" s="2046"/>
      <c r="V80" s="2044"/>
      <c r="W80" s="2045"/>
      <c r="X80" s="2045"/>
      <c r="Y80" s="2044"/>
    </row>
    <row r="81" spans="1:39" s="1977" customFormat="1" ht="13.5" customHeight="1" x14ac:dyDescent="0.2">
      <c r="A81" s="1978"/>
      <c r="B81" s="1980" t="s">
        <v>2188</v>
      </c>
      <c r="C81" s="2043"/>
      <c r="D81" s="2044"/>
      <c r="E81" s="2044"/>
      <c r="F81" s="2045"/>
      <c r="G81" s="2044"/>
      <c r="H81" s="2044"/>
      <c r="I81" s="2044">
        <v>88101</v>
      </c>
      <c r="J81" s="2045"/>
      <c r="K81" s="2044"/>
      <c r="L81" s="2044"/>
      <c r="M81" s="2044"/>
      <c r="N81" s="2044"/>
      <c r="O81" s="2044"/>
      <c r="P81" s="2045"/>
      <c r="Q81" s="2044"/>
      <c r="R81" s="2044"/>
      <c r="S81" s="2045"/>
      <c r="T81" s="2046"/>
      <c r="U81" s="2046"/>
      <c r="V81" s="2044"/>
      <c r="W81" s="2045"/>
      <c r="X81" s="2045"/>
      <c r="Y81" s="2044"/>
    </row>
    <row r="82" spans="1:39" s="1977" customFormat="1" ht="13.5" customHeight="1" x14ac:dyDescent="0.2">
      <c r="A82" s="1978"/>
      <c r="B82" s="1980" t="s">
        <v>2189</v>
      </c>
      <c r="C82" s="2043"/>
      <c r="D82" s="2044"/>
      <c r="E82" s="2044"/>
      <c r="F82" s="2045"/>
      <c r="G82" s="2044"/>
      <c r="H82" s="2044"/>
      <c r="I82" s="2044">
        <v>121539</v>
      </c>
      <c r="J82" s="2045"/>
      <c r="K82" s="2044"/>
      <c r="L82" s="2044"/>
      <c r="M82" s="2044"/>
      <c r="N82" s="2044"/>
      <c r="O82" s="2044"/>
      <c r="P82" s="2045"/>
      <c r="Q82" s="2044"/>
      <c r="R82" s="2044"/>
      <c r="S82" s="2045"/>
      <c r="T82" s="2046"/>
      <c r="U82" s="2046"/>
      <c r="V82" s="2044"/>
      <c r="W82" s="2045"/>
      <c r="X82" s="2045"/>
      <c r="Y82" s="2044"/>
    </row>
    <row r="83" spans="1:39" s="1977" customFormat="1" ht="13.5" customHeight="1" x14ac:dyDescent="0.2">
      <c r="A83" s="1978"/>
      <c r="B83" s="1980" t="s">
        <v>2190</v>
      </c>
      <c r="C83" s="2043"/>
      <c r="D83" s="2044"/>
      <c r="E83" s="2044"/>
      <c r="F83" s="2045"/>
      <c r="G83" s="2044"/>
      <c r="H83" s="2044"/>
      <c r="I83" s="2044">
        <v>10939</v>
      </c>
      <c r="J83" s="2045"/>
      <c r="K83" s="2044"/>
      <c r="L83" s="2044"/>
      <c r="M83" s="2044"/>
      <c r="N83" s="2044"/>
      <c r="O83" s="2044"/>
      <c r="P83" s="2045"/>
      <c r="Q83" s="2044"/>
      <c r="R83" s="2044"/>
      <c r="S83" s="2045"/>
      <c r="T83" s="2046"/>
      <c r="U83" s="2046"/>
      <c r="V83" s="2044"/>
      <c r="W83" s="2045"/>
      <c r="X83" s="2045"/>
      <c r="Y83" s="2044"/>
    </row>
    <row r="84" spans="1:39" s="1977" customFormat="1" ht="13.5" customHeight="1" x14ac:dyDescent="0.2">
      <c r="A84" s="1978"/>
      <c r="B84" s="1980" t="s">
        <v>2191</v>
      </c>
      <c r="C84" s="2043">
        <v>1485</v>
      </c>
      <c r="D84" s="2044"/>
      <c r="E84" s="2044">
        <v>7165</v>
      </c>
      <c r="F84" s="2045"/>
      <c r="G84" s="2044"/>
      <c r="H84" s="2044"/>
      <c r="I84" s="2044">
        <v>103809</v>
      </c>
      <c r="J84" s="2045"/>
      <c r="K84" s="2044"/>
      <c r="L84" s="2044"/>
      <c r="M84" s="2044"/>
      <c r="N84" s="2044"/>
      <c r="O84" s="2044"/>
      <c r="P84" s="2045"/>
      <c r="Q84" s="2044"/>
      <c r="R84" s="2044"/>
      <c r="S84" s="2045"/>
      <c r="T84" s="2046"/>
      <c r="U84" s="2046"/>
      <c r="V84" s="2044"/>
      <c r="W84" s="2045"/>
      <c r="X84" s="2045"/>
      <c r="Y84" s="2044"/>
    </row>
    <row r="85" spans="1:39" s="1977" customFormat="1" ht="13.5" customHeight="1" x14ac:dyDescent="0.2">
      <c r="A85" s="1978"/>
      <c r="B85" s="1980" t="s">
        <v>2192</v>
      </c>
      <c r="C85" s="2043"/>
      <c r="D85" s="2044"/>
      <c r="E85" s="2044">
        <v>8074</v>
      </c>
      <c r="F85" s="2045"/>
      <c r="G85" s="2044">
        <v>13246</v>
      </c>
      <c r="H85" s="2044"/>
      <c r="I85" s="2044">
        <v>70263</v>
      </c>
      <c r="J85" s="2045"/>
      <c r="K85" s="2044"/>
      <c r="L85" s="2044"/>
      <c r="M85" s="2044"/>
      <c r="N85" s="2044"/>
      <c r="O85" s="2044"/>
      <c r="P85" s="2045"/>
      <c r="Q85" s="2044"/>
      <c r="R85" s="2044"/>
      <c r="S85" s="2045"/>
      <c r="T85" s="2046"/>
      <c r="U85" s="2046"/>
      <c r="V85" s="2044"/>
      <c r="W85" s="2045"/>
      <c r="X85" s="2045"/>
      <c r="Y85" s="2044"/>
    </row>
    <row r="86" spans="1:39" s="1977" customFormat="1" ht="13.5" customHeight="1" x14ac:dyDescent="0.2">
      <c r="A86" s="1978"/>
      <c r="B86" s="1980" t="s">
        <v>2193</v>
      </c>
      <c r="C86" s="2043"/>
      <c r="D86" s="2044"/>
      <c r="E86" s="2044">
        <v>16148</v>
      </c>
      <c r="F86" s="2045"/>
      <c r="G86" s="2044"/>
      <c r="H86" s="2044"/>
      <c r="I86" s="2044">
        <v>67611</v>
      </c>
      <c r="J86" s="2045"/>
      <c r="K86" s="2044"/>
      <c r="L86" s="2044"/>
      <c r="M86" s="2044"/>
      <c r="N86" s="2044"/>
      <c r="O86" s="2044"/>
      <c r="P86" s="2045"/>
      <c r="Q86" s="2044"/>
      <c r="R86" s="2044"/>
      <c r="S86" s="2045"/>
      <c r="T86" s="2046"/>
      <c r="U86" s="2046"/>
      <c r="V86" s="2044"/>
      <c r="W86" s="2045"/>
      <c r="X86" s="2045"/>
      <c r="Y86" s="2044"/>
    </row>
    <row r="87" spans="1:39" s="1977" customFormat="1" ht="13.5" customHeight="1" x14ac:dyDescent="0.2">
      <c r="A87" s="1978"/>
      <c r="B87" s="1980" t="s">
        <v>2194</v>
      </c>
      <c r="C87" s="2047">
        <v>0</v>
      </c>
      <c r="D87" s="2044"/>
      <c r="E87" s="2048">
        <v>32296</v>
      </c>
      <c r="F87" s="2045"/>
      <c r="G87" s="2048">
        <v>0</v>
      </c>
      <c r="H87" s="2044"/>
      <c r="I87" s="2048">
        <v>326550</v>
      </c>
      <c r="J87" s="2045"/>
      <c r="K87" s="2044"/>
      <c r="L87" s="2044"/>
      <c r="M87" s="2044"/>
      <c r="N87" s="2044"/>
      <c r="O87" s="2044"/>
      <c r="P87" s="2045"/>
      <c r="Q87" s="2044"/>
      <c r="R87" s="2044"/>
      <c r="S87" s="2045"/>
      <c r="T87" s="2046"/>
      <c r="U87" s="2046"/>
      <c r="V87" s="2044"/>
      <c r="W87" s="2045"/>
      <c r="X87" s="2045"/>
      <c r="Y87" s="2044"/>
    </row>
    <row r="88" spans="1:39" s="1977" customFormat="1" ht="13.5" customHeight="1" x14ac:dyDescent="0.2">
      <c r="A88" s="1978"/>
      <c r="B88" s="1980"/>
      <c r="C88" s="2047">
        <f>SUM(C67:C87)</f>
        <v>18903</v>
      </c>
      <c r="D88" s="2044"/>
      <c r="E88" s="2048">
        <f>SUM(E67:E87)</f>
        <v>255507</v>
      </c>
      <c r="F88" s="2045"/>
      <c r="G88" s="2048">
        <f>SUM(G67:G87)</f>
        <v>192208</v>
      </c>
      <c r="H88" s="2044"/>
      <c r="I88" s="2048">
        <f>SUM(I67:I87)</f>
        <v>2402899</v>
      </c>
      <c r="J88" s="2045"/>
      <c r="K88" s="2044"/>
      <c r="L88" s="2044"/>
      <c r="M88" s="2044"/>
      <c r="N88" s="2044"/>
      <c r="O88" s="2044"/>
      <c r="P88" s="2045"/>
      <c r="Q88" s="2044"/>
      <c r="R88" s="2044"/>
      <c r="S88" s="2045"/>
      <c r="T88" s="2046"/>
      <c r="U88" s="2046"/>
      <c r="V88" s="2044"/>
      <c r="W88" s="2045"/>
      <c r="X88" s="2045"/>
      <c r="Y88" s="2044"/>
    </row>
    <row r="89" spans="1:39" s="1977" customFormat="1" ht="13.5" customHeight="1" x14ac:dyDescent="0.2">
      <c r="A89" s="1978"/>
      <c r="B89" s="1980"/>
      <c r="C89" s="2049"/>
      <c r="E89" s="1977" t="s">
        <v>1231</v>
      </c>
      <c r="F89" s="2042"/>
      <c r="G89" s="2040"/>
      <c r="H89" s="2040"/>
      <c r="I89" s="2040"/>
      <c r="J89" s="2041"/>
      <c r="K89" s="2040"/>
      <c r="L89" s="2040"/>
      <c r="M89" s="2040"/>
      <c r="N89" s="2040"/>
      <c r="O89" s="2040"/>
      <c r="P89" s="2041"/>
      <c r="Q89" s="2040"/>
      <c r="R89" s="2040"/>
      <c r="S89" s="2041"/>
      <c r="T89" s="2037"/>
      <c r="U89" s="2037"/>
      <c r="W89" s="2042"/>
      <c r="X89" s="2042"/>
      <c r="Y89" s="1980"/>
    </row>
    <row r="90" spans="1:39" s="1977" customFormat="1" ht="15" x14ac:dyDescent="0.2">
      <c r="A90" s="2022" t="s">
        <v>2195</v>
      </c>
      <c r="C90" s="2049"/>
      <c r="F90" s="2042"/>
      <c r="G90" s="2040" t="s">
        <v>1231</v>
      </c>
      <c r="H90" s="2040"/>
      <c r="I90" s="2040"/>
      <c r="J90" s="2041"/>
      <c r="K90" s="2040"/>
      <c r="L90" s="2040"/>
      <c r="M90" s="2040"/>
      <c r="N90" s="2040"/>
      <c r="O90" s="2040"/>
      <c r="P90" s="2041"/>
      <c r="Q90" s="2040"/>
      <c r="R90" s="2040"/>
      <c r="S90" s="2041"/>
    </row>
    <row r="91" spans="1:39" x14ac:dyDescent="0.2">
      <c r="C91" s="2050"/>
      <c r="G91" s="2051" t="s">
        <v>1231</v>
      </c>
      <c r="H91" s="2051"/>
      <c r="I91" s="2051"/>
      <c r="J91" s="2052"/>
      <c r="K91" s="2051"/>
      <c r="L91" s="2051"/>
      <c r="M91" s="2051"/>
      <c r="N91" s="2051"/>
      <c r="O91" s="2051"/>
      <c r="P91" s="2052"/>
      <c r="Q91" s="2051"/>
      <c r="R91" s="2051"/>
      <c r="S91" s="2052"/>
    </row>
    <row r="92" spans="1:39" x14ac:dyDescent="0.2">
      <c r="C92" s="2050"/>
      <c r="G92" s="2051" t="s">
        <v>1231</v>
      </c>
      <c r="H92" s="2051"/>
      <c r="I92" s="2051"/>
      <c r="J92" s="2052"/>
      <c r="K92" s="2051"/>
      <c r="L92" s="2051"/>
      <c r="M92" s="2051"/>
      <c r="N92" s="2051"/>
      <c r="O92" s="2051"/>
      <c r="P92" s="2052"/>
      <c r="Q92" s="2051"/>
      <c r="R92" s="2051"/>
      <c r="S92" s="2052"/>
    </row>
    <row r="93" spans="1:39" x14ac:dyDescent="0.2">
      <c r="C93" s="2050"/>
      <c r="G93" s="2051"/>
      <c r="H93" s="2051"/>
      <c r="I93" s="2051"/>
      <c r="J93" s="2052"/>
      <c r="K93" s="2051"/>
      <c r="L93" s="2051"/>
      <c r="M93" s="2051"/>
      <c r="N93" s="2051"/>
      <c r="O93" s="2051"/>
      <c r="P93" s="2052"/>
      <c r="Q93" s="2051"/>
      <c r="R93" s="2051"/>
      <c r="S93" s="2052"/>
    </row>
    <row r="94" spans="1:39" s="2054" customFormat="1" x14ac:dyDescent="0.2">
      <c r="A94" s="2053"/>
      <c r="C94" s="2055"/>
      <c r="F94" s="2056"/>
      <c r="G94" s="2057"/>
      <c r="H94" s="2057"/>
      <c r="I94" s="2057"/>
      <c r="J94" s="2058"/>
      <c r="K94" s="2057"/>
      <c r="L94" s="2057"/>
      <c r="M94" s="2057"/>
      <c r="N94" s="2057"/>
      <c r="O94" s="2057"/>
      <c r="P94" s="2058"/>
      <c r="Q94" s="2057"/>
      <c r="R94" s="2057"/>
      <c r="S94" s="2058"/>
      <c r="T94" s="1958"/>
      <c r="U94" s="1958"/>
      <c r="V94" s="1958"/>
      <c r="W94" s="1958"/>
      <c r="X94" s="1958"/>
      <c r="Y94" s="1958"/>
      <c r="Z94" s="1960"/>
      <c r="AA94" s="1960"/>
      <c r="AB94" s="1960"/>
      <c r="AC94" s="1960"/>
      <c r="AD94" s="1960"/>
      <c r="AE94" s="1960"/>
      <c r="AF94" s="1960"/>
      <c r="AG94" s="1960"/>
      <c r="AH94" s="1960"/>
      <c r="AI94" s="1960"/>
      <c r="AJ94" s="1960"/>
      <c r="AK94" s="1960"/>
      <c r="AL94" s="1960"/>
      <c r="AM94" s="1960"/>
    </row>
    <row r="95" spans="1:39" s="2059" customFormat="1" ht="13.5" customHeight="1" x14ac:dyDescent="0.2">
      <c r="A95" s="2572" t="s">
        <v>2196</v>
      </c>
      <c r="B95" s="2572"/>
      <c r="C95" s="2572"/>
      <c r="D95" s="2572"/>
      <c r="E95" s="2572"/>
      <c r="F95" s="2572"/>
      <c r="G95" s="2572"/>
      <c r="H95" s="2572"/>
      <c r="I95" s="2572"/>
      <c r="J95" s="2572"/>
      <c r="K95" s="2572"/>
      <c r="L95" s="2572"/>
      <c r="M95" s="2572"/>
      <c r="S95" s="2060"/>
      <c r="T95" s="1958"/>
      <c r="U95" s="1958"/>
      <c r="V95" s="1958"/>
      <c r="W95" s="1958"/>
      <c r="X95" s="1958"/>
      <c r="Y95" s="1958"/>
    </row>
    <row r="96" spans="1:39" s="2059" customFormat="1" ht="13.5" customHeight="1" x14ac:dyDescent="0.2">
      <c r="A96" s="2580" t="s">
        <v>2197</v>
      </c>
      <c r="B96" s="2580"/>
      <c r="C96" s="2580"/>
      <c r="D96" s="2580"/>
      <c r="E96" s="2580"/>
      <c r="F96" s="2580"/>
      <c r="G96" s="2580"/>
      <c r="H96" s="2580"/>
      <c r="I96" s="2580"/>
      <c r="J96" s="2580"/>
      <c r="K96" s="2580"/>
      <c r="L96" s="2580"/>
      <c r="M96" s="2580"/>
      <c r="S96" s="2060"/>
      <c r="T96" s="1958"/>
      <c r="U96" s="1958"/>
      <c r="V96" s="1958"/>
      <c r="W96" s="1958"/>
      <c r="X96" s="1958"/>
      <c r="Y96" s="1958"/>
    </row>
    <row r="97" spans="1:25" s="2059" customFormat="1" ht="13.5" customHeight="1" x14ac:dyDescent="0.2">
      <c r="A97" s="2572" t="s">
        <v>2198</v>
      </c>
      <c r="B97" s="2572"/>
      <c r="C97" s="2572"/>
      <c r="D97" s="2572"/>
      <c r="E97" s="2572"/>
      <c r="F97" s="2572"/>
      <c r="G97" s="2572"/>
      <c r="H97" s="2572"/>
      <c r="I97" s="2572"/>
      <c r="J97" s="2572"/>
      <c r="K97" s="2572"/>
      <c r="L97" s="2572"/>
      <c r="M97" s="2572"/>
      <c r="S97" s="2060"/>
      <c r="T97" s="1958"/>
      <c r="U97" s="1958"/>
      <c r="V97" s="1958"/>
      <c r="W97" s="1958"/>
      <c r="X97" s="1958"/>
      <c r="Y97" s="1958"/>
    </row>
    <row r="98" spans="1:25" s="2059" customFormat="1" ht="13.5" customHeight="1" x14ac:dyDescent="0.2">
      <c r="A98" s="2061" t="s">
        <v>2199</v>
      </c>
      <c r="B98" s="2061"/>
      <c r="C98" s="2061"/>
      <c r="D98" s="2061"/>
      <c r="E98" s="2061"/>
      <c r="F98" s="2061"/>
      <c r="G98" s="2061"/>
      <c r="H98" s="2061"/>
      <c r="I98" s="2061"/>
      <c r="J98" s="2061"/>
      <c r="K98" s="2061"/>
      <c r="L98" s="2061"/>
      <c r="M98" s="2061"/>
      <c r="S98" s="2060"/>
      <c r="T98" s="1958"/>
      <c r="U98" s="1958"/>
      <c r="V98" s="1958"/>
      <c r="W98" s="1958"/>
      <c r="X98" s="1958"/>
      <c r="Y98" s="1958"/>
    </row>
    <row r="99" spans="1:25" s="2059" customFormat="1" ht="13.5" customHeight="1" x14ac:dyDescent="0.2">
      <c r="A99" s="2062" t="s">
        <v>2200</v>
      </c>
      <c r="B99" s="2063"/>
      <c r="C99" s="2064"/>
      <c r="D99" s="2065"/>
      <c r="E99" s="2065"/>
      <c r="F99" s="2065"/>
      <c r="G99" s="2065"/>
      <c r="H99" s="2065"/>
      <c r="I99" s="2065"/>
      <c r="J99" s="2065"/>
      <c r="S99" s="2060"/>
      <c r="T99" s="1958"/>
      <c r="U99" s="1958"/>
      <c r="V99" s="1958"/>
      <c r="W99" s="1958"/>
      <c r="X99" s="1958"/>
      <c r="Y99" s="1958"/>
    </row>
    <row r="100" spans="1:25" s="2059" customFormat="1" ht="13.5" customHeight="1" x14ac:dyDescent="0.2">
      <c r="A100" s="2062" t="s">
        <v>2201</v>
      </c>
      <c r="B100" s="2063"/>
      <c r="C100" s="2064"/>
      <c r="D100" s="2065"/>
      <c r="E100" s="2065"/>
      <c r="F100" s="2065"/>
      <c r="G100" s="2065"/>
      <c r="H100" s="2065"/>
      <c r="I100" s="2065"/>
      <c r="J100" s="2065"/>
      <c r="S100" s="2060"/>
      <c r="T100" s="1958"/>
      <c r="U100" s="1958"/>
      <c r="V100" s="1958"/>
      <c r="W100" s="1958"/>
      <c r="X100" s="1958"/>
      <c r="Y100" s="1958"/>
    </row>
    <row r="101" spans="1:25" s="2059" customFormat="1" ht="13.5" customHeight="1" x14ac:dyDescent="0.2">
      <c r="A101" s="2065" t="s">
        <v>2202</v>
      </c>
      <c r="B101" s="2066"/>
      <c r="C101" s="2067"/>
      <c r="S101" s="2060"/>
      <c r="T101" s="1958"/>
      <c r="U101" s="1958"/>
      <c r="V101" s="1958"/>
      <c r="W101" s="1958"/>
      <c r="X101" s="1958"/>
      <c r="Y101" s="1958"/>
    </row>
    <row r="102" spans="1:25" s="2059" customFormat="1" ht="13.5" customHeight="1" x14ac:dyDescent="0.2">
      <c r="A102" s="2065" t="s">
        <v>2203</v>
      </c>
      <c r="B102" s="2066"/>
      <c r="C102" s="2067"/>
      <c r="S102" s="2060"/>
      <c r="T102" s="1958"/>
      <c r="U102" s="1958"/>
      <c r="V102" s="1958"/>
      <c r="W102" s="1958"/>
      <c r="X102" s="1958"/>
      <c r="Y102" s="1958"/>
    </row>
    <row r="103" spans="1:25" s="2059" customFormat="1" ht="13.5" customHeight="1" x14ac:dyDescent="0.2">
      <c r="A103" s="2065" t="s">
        <v>2204</v>
      </c>
      <c r="B103" s="2066"/>
      <c r="C103" s="2067"/>
      <c r="S103" s="2060"/>
      <c r="T103" s="1958"/>
      <c r="U103" s="1958"/>
      <c r="V103" s="1958"/>
      <c r="W103" s="1958"/>
      <c r="X103" s="1958"/>
      <c r="Y103" s="1958"/>
    </row>
    <row r="104" spans="1:25" s="2068" customFormat="1" ht="13.5" customHeight="1" x14ac:dyDescent="0.15">
      <c r="B104" s="2069"/>
      <c r="C104" s="2070"/>
      <c r="F104" s="2071"/>
      <c r="G104" s="2071"/>
      <c r="H104" s="2071"/>
      <c r="I104" s="2071"/>
      <c r="J104" s="2072"/>
      <c r="S104" s="2071"/>
      <c r="T104" s="1958"/>
      <c r="U104" s="1958"/>
      <c r="V104" s="1958"/>
      <c r="W104" s="1958"/>
      <c r="X104" s="1958"/>
      <c r="Y104" s="1958"/>
    </row>
  </sheetData>
  <mergeCells count="12">
    <mergeCell ref="T10:X10"/>
    <mergeCell ref="T11:V11"/>
    <mergeCell ref="A97:M97"/>
    <mergeCell ref="A4:S4"/>
    <mergeCell ref="A5:S5"/>
    <mergeCell ref="A6:S6"/>
    <mergeCell ref="A7:S7"/>
    <mergeCell ref="A26:B26"/>
    <mergeCell ref="C64:E64"/>
    <mergeCell ref="G64:I64"/>
    <mergeCell ref="A95:M95"/>
    <mergeCell ref="A96:M96"/>
  </mergeCells>
  <printOptions gridLinesSet="0"/>
  <pageMargins left="0.25" right="0.25" top="0.5" bottom="0" header="0.5" footer="0"/>
  <pageSetup scale="63" fitToHeight="5" orientation="landscape" r:id="rId1"/>
  <headerFooter alignWithMargins="0">
    <oddFooter xml:space="preserve">&amp;L&amp;"Times New Roman,Regular"See accompanying notes to the Schedule of Expenditures of Federal Awards
</oddFooter>
  </headerFooter>
  <rowBreaks count="1" manualBreakCount="1">
    <brk id="63"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6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87" t="s">
        <v>1230</v>
      </c>
      <c r="B2" s="2187"/>
      <c r="C2" s="2187"/>
      <c r="D2" s="2187"/>
      <c r="E2" s="2187"/>
      <c r="F2" s="2187"/>
      <c r="G2" s="2187"/>
      <c r="H2" s="2187"/>
      <c r="I2" s="2187"/>
      <c r="J2" s="218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201" t="s">
        <v>1731</v>
      </c>
      <c r="B35" s="2202"/>
      <c r="C35" s="2202"/>
      <c r="D35" s="2202"/>
      <c r="E35" s="2203"/>
      <c r="F35" s="2203"/>
      <c r="G35" s="2203"/>
      <c r="H35" s="2203"/>
      <c r="I35" s="220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201" t="s">
        <v>331</v>
      </c>
      <c r="B47" s="2204"/>
      <c r="C47" s="2204"/>
      <c r="D47" s="2204"/>
      <c r="E47" s="2205"/>
      <c r="F47" s="2205"/>
      <c r="G47" s="2205"/>
      <c r="H47" s="2205"/>
      <c r="I47" s="220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2074</v>
      </c>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08" t="s">
        <v>2090</v>
      </c>
      <c r="C57" s="2209"/>
      <c r="D57" s="2209"/>
      <c r="E57" s="2209"/>
      <c r="F57" s="2209"/>
      <c r="G57" s="2209"/>
      <c r="H57" s="2209"/>
      <c r="I57" s="2209"/>
      <c r="J57" s="2210"/>
    </row>
    <row r="58" spans="1:10" s="181" customFormat="1" x14ac:dyDescent="0.2">
      <c r="A58" s="253"/>
      <c r="B58" s="2211"/>
      <c r="C58" s="2212"/>
      <c r="D58" s="2212"/>
      <c r="E58" s="2212"/>
      <c r="F58" s="2212"/>
      <c r="G58" s="2212"/>
      <c r="H58" s="2212"/>
      <c r="I58" s="2212"/>
      <c r="J58" s="2213"/>
    </row>
    <row r="59" spans="1:10" s="181" customFormat="1" x14ac:dyDescent="0.2">
      <c r="A59" s="253"/>
      <c r="B59" s="2211"/>
      <c r="C59" s="2212"/>
      <c r="D59" s="2212"/>
      <c r="E59" s="2212"/>
      <c r="F59" s="2212"/>
      <c r="G59" s="2212"/>
      <c r="H59" s="2212"/>
      <c r="I59" s="2212"/>
      <c r="J59" s="2213"/>
    </row>
    <row r="60" spans="1:10" s="181" customFormat="1" x14ac:dyDescent="0.2">
      <c r="A60" s="253"/>
      <c r="B60" s="2211"/>
      <c r="C60" s="2212"/>
      <c r="D60" s="2212"/>
      <c r="E60" s="2212"/>
      <c r="F60" s="2212"/>
      <c r="G60" s="2212"/>
      <c r="H60" s="2212"/>
      <c r="I60" s="2212"/>
      <c r="J60" s="2213"/>
    </row>
    <row r="61" spans="1:10" s="181" customFormat="1" x14ac:dyDescent="0.2">
      <c r="A61" s="253"/>
      <c r="B61" s="2211"/>
      <c r="C61" s="2212"/>
      <c r="D61" s="2212"/>
      <c r="E61" s="2212"/>
      <c r="F61" s="2212"/>
      <c r="G61" s="2212"/>
      <c r="H61" s="2212"/>
      <c r="I61" s="2212"/>
      <c r="J61" s="2213"/>
    </row>
    <row r="62" spans="1:10" s="181" customFormat="1" x14ac:dyDescent="0.2">
      <c r="A62" s="253"/>
      <c r="B62" s="2211"/>
      <c r="C62" s="2212"/>
      <c r="D62" s="2212"/>
      <c r="E62" s="2212"/>
      <c r="F62" s="2212"/>
      <c r="G62" s="2212"/>
      <c r="H62" s="2212"/>
      <c r="I62" s="2212"/>
      <c r="J62" s="2213"/>
    </row>
    <row r="63" spans="1:10" s="181" customFormat="1" x14ac:dyDescent="0.2">
      <c r="A63" s="253"/>
      <c r="B63" s="2211"/>
      <c r="C63" s="2212"/>
      <c r="D63" s="2212"/>
      <c r="E63" s="2212"/>
      <c r="F63" s="2212"/>
      <c r="G63" s="2212"/>
      <c r="H63" s="2212"/>
      <c r="I63" s="2212"/>
      <c r="J63" s="2213"/>
    </row>
    <row r="64" spans="1:10" s="181" customFormat="1" x14ac:dyDescent="0.2">
      <c r="A64" s="253"/>
      <c r="B64" s="2211"/>
      <c r="C64" s="2212"/>
      <c r="D64" s="2212"/>
      <c r="E64" s="2212"/>
      <c r="F64" s="2212"/>
      <c r="G64" s="2212"/>
      <c r="H64" s="2212"/>
      <c r="I64" s="2212"/>
      <c r="J64" s="2213"/>
    </row>
    <row r="65" spans="1:10" s="181" customFormat="1" x14ac:dyDescent="0.2">
      <c r="A65" s="253"/>
      <c r="B65" s="2211"/>
      <c r="C65" s="2212"/>
      <c r="D65" s="2212"/>
      <c r="E65" s="2212"/>
      <c r="F65" s="2212"/>
      <c r="G65" s="2212"/>
      <c r="H65" s="2212"/>
      <c r="I65" s="2212"/>
      <c r="J65" s="2213"/>
    </row>
    <row r="66" spans="1:10" s="181" customFormat="1" x14ac:dyDescent="0.2">
      <c r="A66" s="253"/>
      <c r="B66" s="2211"/>
      <c r="C66" s="2212"/>
      <c r="D66" s="2212"/>
      <c r="E66" s="2212"/>
      <c r="F66" s="2212"/>
      <c r="G66" s="2212"/>
      <c r="H66" s="2212"/>
      <c r="I66" s="2212"/>
      <c r="J66" s="2213"/>
    </row>
    <row r="67" spans="1:10" s="181" customFormat="1" ht="9" customHeight="1" x14ac:dyDescent="0.2">
      <c r="A67" s="254"/>
      <c r="B67" s="2214"/>
      <c r="C67" s="2215"/>
      <c r="D67" s="2215"/>
      <c r="E67" s="2215"/>
      <c r="F67" s="2215"/>
      <c r="G67" s="2215"/>
      <c r="H67" s="2215"/>
      <c r="I67" s="2215"/>
      <c r="J67" s="221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01" t="s">
        <v>1390</v>
      </c>
      <c r="B70" s="2204"/>
      <c r="C70" s="2204"/>
      <c r="D70" s="2204"/>
      <c r="E70" s="2205"/>
      <c r="F70" s="2205"/>
      <c r="G70" s="2205"/>
      <c r="H70" s="2205"/>
      <c r="I70" s="220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06" t="s">
        <v>1387</v>
      </c>
      <c r="B83" s="2206"/>
      <c r="C83" s="2206"/>
      <c r="D83" s="220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88"/>
      <c r="C102" s="2189"/>
      <c r="D102" s="2189"/>
      <c r="E102" s="2189"/>
      <c r="F102" s="2189"/>
      <c r="G102" s="2189"/>
      <c r="H102" s="2189"/>
      <c r="I102" s="2190"/>
    </row>
    <row r="103" spans="1:9" s="181" customFormat="1" ht="11.25" customHeight="1" x14ac:dyDescent="0.2">
      <c r="A103" s="316"/>
      <c r="B103" s="2191"/>
      <c r="C103" s="2192"/>
      <c r="D103" s="2192"/>
      <c r="E103" s="2192"/>
      <c r="F103" s="2192"/>
      <c r="G103" s="2192"/>
      <c r="H103" s="2192"/>
      <c r="I103" s="2193"/>
    </row>
    <row r="104" spans="1:9" s="181" customFormat="1" ht="11.25" customHeight="1" x14ac:dyDescent="0.2">
      <c r="A104" s="316"/>
      <c r="B104" s="2191"/>
      <c r="C104" s="2192"/>
      <c r="D104" s="2192"/>
      <c r="E104" s="2192"/>
      <c r="F104" s="2192"/>
      <c r="G104" s="2192"/>
      <c r="H104" s="2192"/>
      <c r="I104" s="2193"/>
    </row>
    <row r="105" spans="1:9" s="181" customFormat="1" x14ac:dyDescent="0.2">
      <c r="A105" s="316"/>
      <c r="B105" s="2191"/>
      <c r="C105" s="2192"/>
      <c r="D105" s="2192"/>
      <c r="E105" s="2192"/>
      <c r="F105" s="2192"/>
      <c r="G105" s="2192"/>
      <c r="H105" s="2192"/>
      <c r="I105" s="2193"/>
    </row>
    <row r="106" spans="1:9" s="181" customFormat="1" ht="11.25" customHeight="1" x14ac:dyDescent="0.2">
      <c r="A106" s="316"/>
      <c r="B106" s="2191"/>
      <c r="C106" s="2192"/>
      <c r="D106" s="2192"/>
      <c r="E106" s="2192"/>
      <c r="F106" s="2192"/>
      <c r="G106" s="2192"/>
      <c r="H106" s="2192"/>
      <c r="I106" s="2193"/>
    </row>
    <row r="107" spans="1:9" s="181" customFormat="1" ht="11.25" customHeight="1" x14ac:dyDescent="0.2">
      <c r="A107" s="316"/>
      <c r="B107" s="2191"/>
      <c r="C107" s="2192"/>
      <c r="D107" s="2192"/>
      <c r="E107" s="2192"/>
      <c r="F107" s="2192"/>
      <c r="G107" s="2192"/>
      <c r="H107" s="2192"/>
      <c r="I107" s="2193"/>
    </row>
    <row r="108" spans="1:9" s="181" customFormat="1" ht="11.25" customHeight="1" x14ac:dyDescent="0.2">
      <c r="A108" s="316"/>
      <c r="B108" s="2191"/>
      <c r="C108" s="2192"/>
      <c r="D108" s="2192"/>
      <c r="E108" s="2192"/>
      <c r="F108" s="2192"/>
      <c r="G108" s="2192"/>
      <c r="H108" s="2192"/>
      <c r="I108" s="2193"/>
    </row>
    <row r="109" spans="1:9" s="181" customFormat="1" ht="11.25" customHeight="1" x14ac:dyDescent="0.2">
      <c r="A109" s="316"/>
      <c r="B109" s="2191"/>
      <c r="C109" s="2192"/>
      <c r="D109" s="2192"/>
      <c r="E109" s="2192"/>
      <c r="F109" s="2192"/>
      <c r="G109" s="2192"/>
      <c r="H109" s="2192"/>
      <c r="I109" s="2193"/>
    </row>
    <row r="110" spans="1:9" s="181" customFormat="1" ht="11.25" customHeight="1" x14ac:dyDescent="0.2">
      <c r="A110" s="316"/>
      <c r="B110" s="2191"/>
      <c r="C110" s="2192"/>
      <c r="D110" s="2192"/>
      <c r="E110" s="2192"/>
      <c r="F110" s="2192"/>
      <c r="G110" s="2192"/>
      <c r="H110" s="2192"/>
      <c r="I110" s="2193"/>
    </row>
    <row r="111" spans="1:9" s="181" customFormat="1" ht="11.25" customHeight="1" x14ac:dyDescent="0.2">
      <c r="A111" s="316"/>
      <c r="B111" s="2191"/>
      <c r="C111" s="2192"/>
      <c r="D111" s="2192"/>
      <c r="E111" s="2192"/>
      <c r="F111" s="2192"/>
      <c r="G111" s="2192"/>
      <c r="H111" s="2192"/>
      <c r="I111" s="2193"/>
    </row>
    <row r="112" spans="1:9" s="181" customFormat="1" ht="11.25" customHeight="1" x14ac:dyDescent="0.2">
      <c r="A112" s="316"/>
      <c r="B112" s="2194"/>
      <c r="C112" s="2195"/>
      <c r="D112" s="2195"/>
      <c r="E112" s="2195"/>
      <c r="F112" s="2195"/>
      <c r="G112" s="2195"/>
      <c r="H112" s="2195"/>
      <c r="I112" s="219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97" t="s">
        <v>2081</v>
      </c>
      <c r="D114" s="219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98" t="s">
        <v>1397</v>
      </c>
      <c r="D117" s="2199"/>
      <c r="E117" s="2200"/>
      <c r="F117" s="2200"/>
      <c r="G117" s="2200"/>
      <c r="H117" s="2200"/>
      <c r="I117" s="304"/>
    </row>
    <row r="118" spans="1:9" s="181" customFormat="1" ht="24" customHeight="1" x14ac:dyDescent="0.2">
      <c r="A118" s="316"/>
      <c r="B118" s="316"/>
      <c r="C118" s="316"/>
      <c r="D118" s="323" t="s">
        <v>2228</v>
      </c>
      <c r="E118" s="322"/>
      <c r="F118" s="324"/>
      <c r="G118" s="1861"/>
      <c r="H118" s="322"/>
      <c r="I118" s="304"/>
    </row>
    <row r="119" spans="1:9" s="181" customFormat="1" ht="11.25" customHeight="1" x14ac:dyDescent="0.2">
      <c r="A119" s="325"/>
      <c r="B119" s="325"/>
      <c r="C119" s="326"/>
      <c r="D119" s="327" t="s">
        <v>379</v>
      </c>
      <c r="E119" s="310"/>
      <c r="F119" s="1860" t="s">
        <v>2019</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9"/>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582" t="str">
        <f>'Single Audit Cover'!A7</f>
        <v>Tazewell-Mason Co Sp Ed Assoc</v>
      </c>
      <c r="B1" s="2582"/>
      <c r="C1" s="2582"/>
      <c r="D1" s="2582"/>
      <c r="E1" s="2582"/>
      <c r="F1" s="2582"/>
    </row>
    <row r="2" spans="1:7" ht="13.5" customHeight="1" x14ac:dyDescent="0.2">
      <c r="A2" s="2567">
        <f>'Single Audit Cover'!E7</f>
        <v>53090309061</v>
      </c>
      <c r="B2" s="2567"/>
      <c r="C2" s="2567"/>
      <c r="D2" s="2567"/>
      <c r="E2" s="2567"/>
      <c r="F2" s="2567"/>
      <c r="G2" s="1273"/>
    </row>
    <row r="3" spans="1:7" ht="15.75" customHeight="1" x14ac:dyDescent="0.2">
      <c r="A3" s="2583" t="s">
        <v>1333</v>
      </c>
      <c r="B3" s="2583"/>
      <c r="C3" s="2583"/>
      <c r="D3" s="2583"/>
      <c r="E3" s="2583"/>
      <c r="F3" s="2583"/>
    </row>
    <row r="4" spans="1:7" ht="13.5" customHeight="1" x14ac:dyDescent="0.2">
      <c r="A4" s="2584" t="str">
        <f>'Single Audit Cover'!A4</f>
        <v>Year Ending June 30, 2018</v>
      </c>
      <c r="B4" s="2584"/>
      <c r="C4" s="2584"/>
      <c r="D4" s="2584"/>
      <c r="E4" s="2584"/>
      <c r="F4" s="2584"/>
    </row>
    <row r="5" spans="1:7" ht="8.25" customHeight="1" x14ac:dyDescent="0.2">
      <c r="C5" s="317"/>
      <c r="D5" s="317"/>
    </row>
    <row r="6" spans="1:7" ht="13.5" customHeight="1" x14ac:dyDescent="0.2">
      <c r="A6" s="1274" t="s">
        <v>1831</v>
      </c>
      <c r="C6" s="317"/>
      <c r="D6" s="317"/>
    </row>
    <row r="7" spans="1:7" ht="60.95" customHeight="1" x14ac:dyDescent="0.2">
      <c r="A7" s="2581" t="s">
        <v>2205</v>
      </c>
      <c r="B7" s="2581"/>
      <c r="C7" s="2581"/>
      <c r="D7" s="2581"/>
      <c r="E7" s="2581"/>
      <c r="F7" s="2581"/>
    </row>
    <row r="8" spans="1:7" ht="12" customHeight="1" x14ac:dyDescent="0.2">
      <c r="A8" s="1274"/>
      <c r="B8" s="1280"/>
      <c r="C8" s="1280"/>
      <c r="D8" s="1280"/>
    </row>
    <row r="9" spans="1:7" ht="15" customHeight="1" x14ac:dyDescent="0.2">
      <c r="A9" s="1275" t="s">
        <v>1832</v>
      </c>
      <c r="B9" s="1278"/>
      <c r="C9" s="1278"/>
      <c r="D9" s="1278"/>
      <c r="E9" s="1276"/>
      <c r="F9" s="1276"/>
      <c r="G9" s="1276"/>
    </row>
    <row r="10" spans="1:7" ht="15" customHeight="1" x14ac:dyDescent="0.2">
      <c r="A10" s="1277" t="s">
        <v>1628</v>
      </c>
      <c r="B10" s="1278"/>
      <c r="C10" s="1279"/>
      <c r="D10" s="1278" t="s">
        <v>1629</v>
      </c>
      <c r="E10" s="1279" t="s">
        <v>2101</v>
      </c>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581" t="s">
        <v>2206</v>
      </c>
      <c r="B13" s="2581"/>
      <c r="C13" s="2581"/>
      <c r="D13" s="2581"/>
      <c r="E13" s="2581"/>
      <c r="F13" s="2581"/>
    </row>
    <row r="14" spans="1:7" ht="9.75" customHeight="1" x14ac:dyDescent="0.2">
      <c r="C14" s="1258"/>
      <c r="D14" s="1258"/>
    </row>
    <row r="15" spans="1:7" ht="13.5" customHeight="1" x14ac:dyDescent="0.2">
      <c r="C15" s="1869" t="s">
        <v>1332</v>
      </c>
      <c r="D15" s="2586" t="s">
        <v>1331</v>
      </c>
      <c r="E15" s="2586"/>
      <c r="F15" s="2586"/>
    </row>
    <row r="16" spans="1:7" ht="13.5" customHeight="1" x14ac:dyDescent="0.2">
      <c r="A16" s="1280"/>
      <c r="B16" s="1274" t="s">
        <v>1330</v>
      </c>
      <c r="C16" s="1869" t="s">
        <v>1329</v>
      </c>
      <c r="D16" s="2587" t="s">
        <v>1670</v>
      </c>
      <c r="E16" s="2587"/>
      <c r="F16" s="2587"/>
    </row>
    <row r="17" spans="1:6" ht="20.45" customHeight="1" x14ac:dyDescent="0.2">
      <c r="A17" s="1281"/>
      <c r="B17" s="1282" t="s">
        <v>2207</v>
      </c>
      <c r="C17" s="1283">
        <v>84.173000000000002</v>
      </c>
      <c r="D17" s="2585" t="s">
        <v>2208</v>
      </c>
      <c r="E17" s="2585"/>
      <c r="F17" s="2585"/>
    </row>
    <row r="18" spans="1:6" ht="20.65" customHeight="1" x14ac:dyDescent="0.2">
      <c r="A18" s="1281"/>
      <c r="B18" s="1282" t="s">
        <v>2209</v>
      </c>
      <c r="C18" s="1283">
        <v>84.173000000000002</v>
      </c>
      <c r="D18" s="2585" t="s">
        <v>2210</v>
      </c>
      <c r="E18" s="2585"/>
      <c r="F18" s="2585"/>
    </row>
    <row r="19" spans="1:6" ht="20.65" customHeight="1" x14ac:dyDescent="0.2">
      <c r="A19" s="1281"/>
      <c r="B19" s="1282" t="s">
        <v>2211</v>
      </c>
      <c r="C19" s="1283">
        <v>84.027000000000001</v>
      </c>
      <c r="D19" s="2585" t="s">
        <v>2212</v>
      </c>
      <c r="E19" s="2585"/>
      <c r="F19" s="2585"/>
    </row>
    <row r="20" spans="1:6" ht="20.65" customHeight="1" x14ac:dyDescent="0.2">
      <c r="A20" s="1281"/>
      <c r="B20" s="1282" t="s">
        <v>2213</v>
      </c>
      <c r="C20" s="1283">
        <v>84.027000000000001</v>
      </c>
      <c r="D20" s="2585" t="s">
        <v>2214</v>
      </c>
      <c r="E20" s="2585"/>
      <c r="F20" s="2585"/>
    </row>
    <row r="21" spans="1:6" ht="20.65" customHeight="1" x14ac:dyDescent="0.2">
      <c r="A21" s="1281"/>
      <c r="B21" s="1282"/>
      <c r="C21" s="1283"/>
      <c r="D21" s="2585"/>
      <c r="E21" s="2585"/>
      <c r="F21" s="2585"/>
    </row>
    <row r="22" spans="1:6" ht="20.65" hidden="1" customHeight="1" x14ac:dyDescent="0.2">
      <c r="A22" s="1281"/>
      <c r="B22" s="1282"/>
      <c r="C22" s="1283"/>
      <c r="D22" s="2585"/>
      <c r="E22" s="2585"/>
      <c r="F22" s="2585"/>
    </row>
    <row r="23" spans="1:6" ht="20.65" hidden="1" customHeight="1" x14ac:dyDescent="0.2">
      <c r="A23" s="1281"/>
      <c r="B23" s="1282"/>
      <c r="C23" s="1283"/>
      <c r="D23" s="2585"/>
      <c r="E23" s="2585"/>
      <c r="F23" s="2585"/>
    </row>
    <row r="24" spans="1:6" ht="20.65" hidden="1" customHeight="1" x14ac:dyDescent="0.2">
      <c r="A24" s="1281"/>
      <c r="B24" s="1282"/>
      <c r="C24" s="1283"/>
      <c r="D24" s="2585"/>
      <c r="E24" s="2585"/>
      <c r="F24" s="2585"/>
    </row>
    <row r="25" spans="1:6" ht="20.65" hidden="1" customHeight="1" x14ac:dyDescent="0.2">
      <c r="A25" s="1281"/>
      <c r="B25" s="1282"/>
      <c r="C25" s="1283"/>
      <c r="D25" s="2585"/>
      <c r="E25" s="2585"/>
      <c r="F25" s="2585"/>
    </row>
    <row r="26" spans="1:6" ht="20.65" hidden="1" customHeight="1" x14ac:dyDescent="0.2">
      <c r="A26" s="1281"/>
      <c r="B26" s="1282"/>
      <c r="C26" s="1283"/>
      <c r="D26" s="2585"/>
      <c r="E26" s="2585"/>
      <c r="F26" s="2585"/>
    </row>
    <row r="27" spans="1:6" ht="20.65" hidden="1" customHeight="1" x14ac:dyDescent="0.2">
      <c r="A27" s="1281"/>
      <c r="B27" s="1282"/>
      <c r="C27" s="1283"/>
      <c r="D27" s="2585"/>
      <c r="E27" s="2585"/>
      <c r="F27" s="2585"/>
    </row>
    <row r="28" spans="1:6" ht="20.65" customHeight="1" x14ac:dyDescent="0.2">
      <c r="A28" s="1281"/>
      <c r="B28" s="1282" t="s">
        <v>2215</v>
      </c>
      <c r="C28" s="1283"/>
      <c r="D28" s="2585"/>
      <c r="E28" s="2585"/>
      <c r="F28" s="2585"/>
    </row>
    <row r="29" spans="1:6" ht="20.65" customHeight="1" x14ac:dyDescent="0.2">
      <c r="A29" s="1281"/>
      <c r="B29" s="1282"/>
      <c r="C29" s="1283"/>
      <c r="D29" s="2585"/>
      <c r="E29" s="2585"/>
      <c r="F29" s="2585"/>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589" t="s">
        <v>2227</v>
      </c>
      <c r="B32" s="2589"/>
      <c r="C32" s="2589"/>
      <c r="D32" s="2589"/>
      <c r="E32" s="2589"/>
      <c r="F32" s="2589"/>
    </row>
    <row r="33" spans="1:7" ht="13.5" customHeight="1" x14ac:dyDescent="0.2">
      <c r="A33" s="328" t="s">
        <v>1509</v>
      </c>
      <c r="B33" s="328"/>
      <c r="C33" s="1286">
        <v>2335</v>
      </c>
      <c r="D33" s="1926"/>
      <c r="E33" s="1284"/>
    </row>
    <row r="34" spans="1:7" ht="13.5" customHeight="1" x14ac:dyDescent="0.2">
      <c r="A34" s="328" t="s">
        <v>1946</v>
      </c>
      <c r="B34" s="328"/>
      <c r="C34" s="1287">
        <v>0</v>
      </c>
      <c r="D34" s="1926" t="s">
        <v>1671</v>
      </c>
      <c r="E34" s="2590">
        <f>+C33+C34</f>
        <v>2335</v>
      </c>
      <c r="F34" s="2591"/>
    </row>
    <row r="35" spans="1:7" ht="12" customHeight="1" x14ac:dyDescent="0.2">
      <c r="A35" s="328"/>
      <c r="B35" s="328"/>
      <c r="C35" s="1927"/>
      <c r="D35" s="1926"/>
      <c r="E35" s="1288"/>
      <c r="F35" s="1289"/>
    </row>
    <row r="36" spans="1:7" ht="13.5" customHeight="1" x14ac:dyDescent="0.2">
      <c r="A36" s="1285" t="s">
        <v>1631</v>
      </c>
      <c r="B36" s="328"/>
      <c r="C36" s="1476"/>
      <c r="D36" s="1926"/>
      <c r="E36" s="1284"/>
    </row>
    <row r="37" spans="1:7" ht="14.25" customHeight="1" x14ac:dyDescent="0.2">
      <c r="A37" s="328" t="s">
        <v>1563</v>
      </c>
      <c r="B37" s="328"/>
      <c r="C37" s="1928"/>
      <c r="D37" s="1926"/>
      <c r="E37" s="1284"/>
    </row>
    <row r="38" spans="1:7" ht="14.25" customHeight="1" x14ac:dyDescent="0.2">
      <c r="A38" s="328"/>
      <c r="B38" s="328" t="s">
        <v>1510</v>
      </c>
      <c r="C38" s="1290">
        <v>0</v>
      </c>
      <c r="D38" s="1926"/>
      <c r="E38" s="1284"/>
    </row>
    <row r="39" spans="1:7" ht="14.25" customHeight="1" x14ac:dyDescent="0.2">
      <c r="A39" s="328"/>
      <c r="B39" s="328" t="s">
        <v>1511</v>
      </c>
      <c r="C39" s="1290">
        <v>0</v>
      </c>
      <c r="D39" s="1926"/>
      <c r="E39" s="1284"/>
    </row>
    <row r="40" spans="1:7" ht="14.25" customHeight="1" x14ac:dyDescent="0.2">
      <c r="A40" s="328"/>
      <c r="B40" s="328" t="s">
        <v>1512</v>
      </c>
      <c r="C40" s="1290">
        <v>0</v>
      </c>
      <c r="D40" s="1926"/>
      <c r="E40" s="1284"/>
    </row>
    <row r="41" spans="1:7" ht="14.25" customHeight="1" x14ac:dyDescent="0.2">
      <c r="A41" s="328"/>
      <c r="B41" s="328" t="s">
        <v>1513</v>
      </c>
      <c r="C41" s="1290">
        <v>0</v>
      </c>
      <c r="D41" s="1926"/>
      <c r="E41" s="1284"/>
    </row>
    <row r="42" spans="1:7" ht="14.25" customHeight="1" x14ac:dyDescent="0.2">
      <c r="A42" s="328" t="s">
        <v>1514</v>
      </c>
      <c r="B42" s="328"/>
      <c r="C42" s="1924">
        <v>0</v>
      </c>
      <c r="D42" s="1926"/>
      <c r="E42" s="1284"/>
    </row>
    <row r="43" spans="1:7" ht="14.25" customHeight="1" x14ac:dyDescent="0.2">
      <c r="A43" s="328" t="s">
        <v>1515</v>
      </c>
      <c r="B43" s="328"/>
      <c r="C43" s="1291" t="s">
        <v>593</v>
      </c>
      <c r="D43" s="1926"/>
      <c r="E43" s="1284"/>
    </row>
    <row r="44" spans="1:7" ht="14.25" customHeight="1" x14ac:dyDescent="0.2">
      <c r="A44" s="328"/>
      <c r="B44" s="328"/>
      <c r="C44" s="1928" t="s">
        <v>1516</v>
      </c>
      <c r="D44" s="1926"/>
      <c r="E44" s="1284"/>
    </row>
    <row r="45" spans="1:7" ht="14.25" customHeight="1" x14ac:dyDescent="0.2">
      <c r="A45" s="1285" t="s">
        <v>2216</v>
      </c>
      <c r="B45" s="328"/>
      <c r="C45" s="1928"/>
      <c r="D45" s="1926"/>
      <c r="E45" s="1284"/>
    </row>
    <row r="46" spans="1:7" ht="14.25" customHeight="1" x14ac:dyDescent="0.2">
      <c r="A46" s="328"/>
      <c r="B46" s="2593" t="s">
        <v>2217</v>
      </c>
      <c r="C46" s="2594"/>
      <c r="D46" s="2594"/>
      <c r="E46" s="2594"/>
      <c r="F46" s="2594"/>
      <c r="G46" s="2594"/>
    </row>
    <row r="47" spans="1:7" ht="14.25" customHeight="1" x14ac:dyDescent="0.2">
      <c r="A47" s="328"/>
      <c r="B47" s="2594"/>
      <c r="C47" s="2594"/>
      <c r="D47" s="2594"/>
      <c r="E47" s="2594"/>
      <c r="F47" s="2594"/>
      <c r="G47" s="2594"/>
    </row>
    <row r="48" spans="1:7" ht="14.25" customHeight="1" x14ac:dyDescent="0.2">
      <c r="A48" s="328"/>
      <c r="B48" s="2594"/>
      <c r="C48" s="2594"/>
      <c r="D48" s="2594"/>
      <c r="E48" s="2594"/>
      <c r="F48" s="2594"/>
      <c r="G48" s="2594"/>
    </row>
    <row r="49" spans="1:6" ht="14.25" customHeight="1" x14ac:dyDescent="0.2">
      <c r="A49" s="1285" t="s">
        <v>2218</v>
      </c>
      <c r="B49" s="328"/>
      <c r="C49" s="1928"/>
      <c r="D49" s="1926"/>
      <c r="E49" s="1284"/>
    </row>
    <row r="50" spans="1:6" ht="14.25" customHeight="1" x14ac:dyDescent="0.2">
      <c r="A50" s="1285"/>
      <c r="B50" s="2595" t="s">
        <v>2219</v>
      </c>
      <c r="C50" s="2596"/>
      <c r="D50" s="2596"/>
      <c r="E50" s="2596"/>
      <c r="F50" s="2596"/>
    </row>
    <row r="51" spans="1:6" ht="14.25" customHeight="1" x14ac:dyDescent="0.2">
      <c r="A51" s="328"/>
      <c r="B51" s="2596"/>
      <c r="C51" s="2596"/>
      <c r="D51" s="2596"/>
      <c r="E51" s="2596"/>
      <c r="F51" s="2596"/>
    </row>
    <row r="52" spans="1:6" ht="13.5" customHeight="1" x14ac:dyDescent="0.2">
      <c r="B52" s="2596"/>
      <c r="C52" s="2596"/>
      <c r="D52" s="2596"/>
      <c r="E52" s="2596"/>
      <c r="F52" s="2596"/>
    </row>
    <row r="53" spans="1:6" x14ac:dyDescent="0.2">
      <c r="A53" s="1293" t="s">
        <v>1833</v>
      </c>
      <c r="C53" s="317"/>
      <c r="D53" s="317"/>
    </row>
    <row r="54" spans="1:6" s="322" customFormat="1" ht="11.25" customHeight="1" x14ac:dyDescent="0.2">
      <c r="A54" s="1294"/>
      <c r="B54" s="1295"/>
      <c r="C54" s="1295"/>
      <c r="D54" s="1295"/>
      <c r="E54" s="1295"/>
      <c r="F54" s="1295"/>
    </row>
    <row r="55" spans="1:6" s="322" customFormat="1" ht="6" customHeight="1" x14ac:dyDescent="0.2">
      <c r="A55" s="1296"/>
    </row>
    <row r="56" spans="1:6" s="1298" customFormat="1" ht="23.25" customHeight="1" x14ac:dyDescent="0.2">
      <c r="A56" s="1297">
        <v>5</v>
      </c>
      <c r="B56" s="2592" t="s">
        <v>1672</v>
      </c>
      <c r="C56" s="2592"/>
      <c r="D56" s="2592"/>
      <c r="E56" s="1397"/>
    </row>
    <row r="57" spans="1:6" s="1298" customFormat="1" ht="3.75" customHeight="1" x14ac:dyDescent="0.2">
      <c r="A57" s="1297"/>
      <c r="B57" s="1868"/>
      <c r="C57" s="1868"/>
      <c r="D57" s="1868"/>
      <c r="E57" s="1397"/>
    </row>
    <row r="58" spans="1:6" s="1298" customFormat="1" ht="20.25" customHeight="1" x14ac:dyDescent="0.2">
      <c r="A58" s="1299">
        <v>6</v>
      </c>
      <c r="B58" s="2588" t="s">
        <v>1632</v>
      </c>
      <c r="C58" s="2588"/>
      <c r="D58" s="2588"/>
    </row>
    <row r="59" spans="1:6" ht="14.25" customHeight="1" x14ac:dyDescent="0.2">
      <c r="A59" s="1299"/>
      <c r="B59" s="2588"/>
      <c r="C59" s="2588"/>
      <c r="D59" s="2588"/>
    </row>
  </sheetData>
  <mergeCells count="28">
    <mergeCell ref="B58:D58"/>
    <mergeCell ref="B59:D59"/>
    <mergeCell ref="D27:F27"/>
    <mergeCell ref="D28:F28"/>
    <mergeCell ref="D29:F29"/>
    <mergeCell ref="A32:F32"/>
    <mergeCell ref="E34:F34"/>
    <mergeCell ref="B56:D56"/>
    <mergeCell ref="B46:G48"/>
    <mergeCell ref="B50:F52"/>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601" t="str">
        <f>'Single Audit Cover'!A7</f>
        <v>Tazewell-Mason Co Sp Ed Assoc</v>
      </c>
      <c r="C1" s="2602"/>
      <c r="D1" s="2602"/>
      <c r="E1" s="2602"/>
      <c r="F1" s="2602"/>
      <c r="G1" s="2602"/>
      <c r="H1" s="2602"/>
      <c r="I1" s="2602"/>
      <c r="J1" s="1420"/>
    </row>
    <row r="2" spans="2:10" s="317" customFormat="1" ht="12.75" customHeight="1" x14ac:dyDescent="0.2">
      <c r="B2" s="2603">
        <f>'Single Audit Cover'!E7</f>
        <v>53090309061</v>
      </c>
      <c r="C2" s="2604"/>
      <c r="D2" s="2604"/>
      <c r="E2" s="2604"/>
      <c r="F2" s="2604"/>
      <c r="G2" s="2604"/>
      <c r="H2" s="2604"/>
      <c r="I2" s="2604"/>
      <c r="J2" s="1420"/>
    </row>
    <row r="3" spans="2:10" s="317" customFormat="1" ht="12.75" customHeight="1" x14ac:dyDescent="0.2">
      <c r="B3" s="2605" t="s">
        <v>1347</v>
      </c>
      <c r="C3" s="2606"/>
      <c r="D3" s="2606"/>
      <c r="E3" s="2606"/>
      <c r="F3" s="2606"/>
      <c r="G3" s="2606"/>
      <c r="H3" s="2606"/>
      <c r="I3" s="2606"/>
      <c r="J3" s="1421"/>
    </row>
    <row r="4" spans="2:10" s="317" customFormat="1" ht="12.75" customHeight="1" x14ac:dyDescent="0.2">
      <c r="B4" s="2605" t="str">
        <f>'Single Audit Cover'!A4</f>
        <v>Year Ending June 30, 2018</v>
      </c>
      <c r="C4" s="2606"/>
      <c r="D4" s="2606"/>
      <c r="E4" s="2606"/>
      <c r="F4" s="2606"/>
      <c r="G4" s="2606"/>
      <c r="H4" s="2606"/>
      <c r="I4" s="2606"/>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605" t="s">
        <v>1346</v>
      </c>
      <c r="C7" s="2606"/>
      <c r="D7" s="2606"/>
      <c r="E7" s="2606"/>
      <c r="F7" s="2606"/>
      <c r="G7" s="2606"/>
      <c r="H7" s="2606"/>
      <c r="I7" s="2606"/>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607" t="s">
        <v>1226</v>
      </c>
      <c r="D11" s="2607"/>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t="s">
        <v>2101</v>
      </c>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t="s">
        <v>2101</v>
      </c>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t="s">
        <v>2101</v>
      </c>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t="s">
        <v>2101</v>
      </c>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t="s">
        <v>2101</v>
      </c>
      <c r="H27" s="1298" t="s">
        <v>1338</v>
      </c>
      <c r="I27" s="1298"/>
    </row>
    <row r="28" spans="2:9" s="317" customFormat="1" ht="12.75" customHeight="1" x14ac:dyDescent="0.2">
      <c r="B28" s="1366"/>
      <c r="C28" s="1280"/>
      <c r="E28" s="1256"/>
    </row>
    <row r="29" spans="2:9" s="317" customFormat="1" ht="12.75" customHeight="1" x14ac:dyDescent="0.2">
      <c r="B29" s="1366" t="s">
        <v>1337</v>
      </c>
      <c r="C29" s="1280"/>
      <c r="D29" s="2608" t="s">
        <v>2220</v>
      </c>
      <c r="E29" s="2608"/>
      <c r="F29" s="2608"/>
      <c r="G29" s="2608"/>
      <c r="H29" s="2608"/>
      <c r="I29" s="2608"/>
    </row>
    <row r="30" spans="2:9" s="317" customFormat="1" x14ac:dyDescent="0.2">
      <c r="B30" s="1366"/>
      <c r="C30" s="322"/>
      <c r="D30" s="1431" t="s">
        <v>1848</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t="s">
        <v>2101</v>
      </c>
      <c r="H33" s="1298" t="s">
        <v>101</v>
      </c>
    </row>
    <row r="35" spans="2:9" x14ac:dyDescent="0.2">
      <c r="B35" s="1439" t="s">
        <v>1849</v>
      </c>
      <c r="C35" s="1440"/>
      <c r="D35" s="1265"/>
    </row>
    <row r="36" spans="2:9" ht="6" customHeight="1" x14ac:dyDescent="0.2">
      <c r="B36" s="1439"/>
      <c r="C36" s="1440"/>
      <c r="D36" s="1265"/>
    </row>
    <row r="37" spans="2:9" ht="17.25" customHeight="1" x14ac:dyDescent="0.2">
      <c r="B37" s="1441" t="s">
        <v>1850</v>
      </c>
      <c r="C37" s="2609" t="s">
        <v>1851</v>
      </c>
      <c r="D37" s="2610"/>
      <c r="E37" s="2610"/>
      <c r="F37" s="2611"/>
      <c r="G37" s="2609" t="s">
        <v>1674</v>
      </c>
      <c r="H37" s="2610"/>
      <c r="I37" s="2611"/>
    </row>
    <row r="38" spans="2:9" ht="16.5" customHeight="1" x14ac:dyDescent="0.2">
      <c r="B38" s="1442">
        <v>84.173000000000002</v>
      </c>
      <c r="C38" s="2597" t="s">
        <v>2221</v>
      </c>
      <c r="D38" s="2598"/>
      <c r="E38" s="2598"/>
      <c r="F38" s="2599"/>
      <c r="G38" s="2612">
        <v>274410</v>
      </c>
      <c r="H38" s="2613"/>
      <c r="I38" s="2614"/>
    </row>
    <row r="39" spans="2:9" ht="16.5" customHeight="1" x14ac:dyDescent="0.2">
      <c r="B39" s="1442">
        <v>84.027000000000001</v>
      </c>
      <c r="C39" s="2597" t="s">
        <v>2222</v>
      </c>
      <c r="D39" s="2598"/>
      <c r="E39" s="2598"/>
      <c r="F39" s="2599"/>
      <c r="G39" s="2600">
        <v>4988770</v>
      </c>
      <c r="H39" s="2600"/>
      <c r="I39" s="2600"/>
    </row>
    <row r="40" spans="2:9" ht="16.5" customHeight="1" x14ac:dyDescent="0.2">
      <c r="B40" s="1442"/>
      <c r="C40" s="2597"/>
      <c r="D40" s="2598"/>
      <c r="E40" s="2598"/>
      <c r="F40" s="2599"/>
      <c r="G40" s="2600"/>
      <c r="H40" s="2600"/>
      <c r="I40" s="2600"/>
    </row>
    <row r="41" spans="2:9" ht="16.5" customHeight="1" x14ac:dyDescent="0.2">
      <c r="B41" s="1442"/>
      <c r="C41" s="2597"/>
      <c r="D41" s="2598"/>
      <c r="E41" s="2598"/>
      <c r="F41" s="2599"/>
      <c r="G41" s="2600"/>
      <c r="H41" s="2600"/>
      <c r="I41" s="2600"/>
    </row>
    <row r="42" spans="2:9" ht="16.5" customHeight="1" x14ac:dyDescent="0.2">
      <c r="B42" s="1442"/>
      <c r="C42" s="2597"/>
      <c r="D42" s="2598"/>
      <c r="E42" s="2598"/>
      <c r="F42" s="2599"/>
      <c r="G42" s="2600"/>
      <c r="H42" s="2600"/>
      <c r="I42" s="2600"/>
    </row>
    <row r="43" spans="2:9" ht="16.5" customHeight="1" x14ac:dyDescent="0.2">
      <c r="B43" s="1442"/>
      <c r="C43" s="2615" t="s">
        <v>1675</v>
      </c>
      <c r="D43" s="2616"/>
      <c r="E43" s="2616"/>
      <c r="F43" s="2617"/>
      <c r="G43" s="2618">
        <f>SUM(G38:I42)</f>
        <v>5263180</v>
      </c>
      <c r="H43" s="2618"/>
      <c r="I43" s="2618"/>
    </row>
    <row r="44" spans="2:9" ht="12.75" customHeight="1" x14ac:dyDescent="0.2"/>
    <row r="45" spans="2:9" ht="12.75" customHeight="1" x14ac:dyDescent="0.2">
      <c r="B45" s="1433" t="s">
        <v>1949</v>
      </c>
      <c r="D45" s="2619">
        <v>5521539</v>
      </c>
      <c r="E45" s="2620"/>
    </row>
    <row r="46" spans="2:9" ht="5.25" customHeight="1" x14ac:dyDescent="0.2">
      <c r="B46" s="1443"/>
      <c r="D46" s="1444"/>
      <c r="E46" s="1445"/>
    </row>
    <row r="47" spans="2:9" ht="12.75" customHeight="1" x14ac:dyDescent="0.2">
      <c r="B47" s="1298" t="s">
        <v>1676</v>
      </c>
      <c r="C47" s="1298"/>
      <c r="D47" s="1446">
        <f>+G43/D45</f>
        <v>0.95320887890133532</v>
      </c>
      <c r="E47" s="1447"/>
      <c r="F47" s="1448"/>
      <c r="I47" s="1449"/>
    </row>
    <row r="48" spans="2:9" ht="9.9499999999999993" customHeight="1" x14ac:dyDescent="0.2"/>
    <row r="49" spans="1:9" x14ac:dyDescent="0.2">
      <c r="B49" s="1366" t="s">
        <v>1335</v>
      </c>
      <c r="C49" s="1280"/>
      <c r="D49" s="1280"/>
      <c r="E49" s="2621">
        <v>750000</v>
      </c>
      <c r="F49" s="2621"/>
      <c r="G49" s="2621"/>
      <c r="H49" s="322"/>
    </row>
    <row r="51" spans="1:9" ht="13.5" customHeight="1" x14ac:dyDescent="0.2">
      <c r="B51" s="1366" t="s">
        <v>1334</v>
      </c>
      <c r="C51" s="1280"/>
      <c r="E51" s="1436"/>
      <c r="F51" s="1298" t="s">
        <v>940</v>
      </c>
      <c r="G51" s="1436" t="s">
        <v>2101</v>
      </c>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1852</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1853</v>
      </c>
      <c r="C58" s="1462"/>
      <c r="D58" s="1462"/>
    </row>
    <row r="59" spans="1:9" s="1459" customFormat="1" ht="3.95" customHeight="1" x14ac:dyDescent="0.2">
      <c r="A59" s="1456"/>
      <c r="B59" s="1461"/>
      <c r="C59" s="1462"/>
      <c r="D59" s="1462"/>
    </row>
    <row r="60" spans="1:9" s="1459" customFormat="1" ht="13.5" customHeight="1" x14ac:dyDescent="0.2">
      <c r="A60" s="1456"/>
      <c r="B60" s="1461" t="s">
        <v>1854</v>
      </c>
      <c r="C60" s="1462"/>
      <c r="D60" s="1462"/>
    </row>
    <row r="61" spans="1:9" s="1459" customFormat="1" ht="3.95" customHeight="1" x14ac:dyDescent="0.2">
      <c r="A61" s="1456"/>
      <c r="B61" s="1461"/>
      <c r="C61" s="1462"/>
      <c r="D61" s="1462"/>
    </row>
    <row r="62" spans="1:9" s="1459" customFormat="1" ht="12.75" customHeight="1" x14ac:dyDescent="0.2">
      <c r="A62" s="1456"/>
      <c r="B62" s="1461" t="s">
        <v>1855</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01" t="str">
        <f>'Single Audit Cover'!A7</f>
        <v>Tazewell-Mason Co Sp Ed Assoc</v>
      </c>
      <c r="C1" s="2601"/>
      <c r="D1" s="2601"/>
      <c r="E1" s="2601"/>
      <c r="F1" s="2601"/>
      <c r="G1" s="2601"/>
      <c r="H1" s="2601"/>
      <c r="I1" s="2601"/>
      <c r="J1" s="2601"/>
      <c r="K1" s="2601"/>
      <c r="L1" s="1372"/>
      <c r="M1" s="1372"/>
    </row>
    <row r="2" spans="1:13" ht="12" customHeight="1" x14ac:dyDescent="0.2">
      <c r="B2" s="2603">
        <f>'Single Audit Cover'!E7</f>
        <v>53090309061</v>
      </c>
      <c r="C2" s="2603"/>
      <c r="D2" s="2603"/>
      <c r="E2" s="2603"/>
      <c r="F2" s="2603"/>
      <c r="G2" s="2603"/>
      <c r="H2" s="2603"/>
      <c r="I2" s="2603"/>
      <c r="J2" s="2603"/>
      <c r="K2" s="2603"/>
      <c r="L2" s="1373"/>
      <c r="M2" s="1374"/>
    </row>
    <row r="3" spans="1:13" ht="10.35" customHeight="1" x14ac:dyDescent="0.2">
      <c r="B3" s="2624" t="s">
        <v>1347</v>
      </c>
      <c r="C3" s="2624"/>
      <c r="D3" s="2624"/>
      <c r="E3" s="2624"/>
      <c r="F3" s="2624"/>
      <c r="G3" s="2624"/>
      <c r="H3" s="2624"/>
      <c r="I3" s="2624"/>
      <c r="J3" s="2624"/>
      <c r="K3" s="2624"/>
      <c r="L3" s="1375"/>
      <c r="M3" s="1375"/>
    </row>
    <row r="4" spans="1:13" ht="14.25" customHeight="1" x14ac:dyDescent="0.2">
      <c r="B4" s="2625" t="str">
        <f>'Single Audit Cover'!A4</f>
        <v>Year Ending June 30, 2018</v>
      </c>
      <c r="C4" s="2625"/>
      <c r="D4" s="2625"/>
      <c r="E4" s="2625"/>
      <c r="F4" s="2625"/>
      <c r="G4" s="2625"/>
      <c r="H4" s="2625"/>
      <c r="I4" s="2625"/>
      <c r="J4" s="2625"/>
      <c r="K4" s="2625"/>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625" t="s">
        <v>1363</v>
      </c>
      <c r="C7" s="2625"/>
      <c r="D7" s="2626"/>
      <c r="E7" s="2626"/>
      <c r="F7" s="2626"/>
      <c r="G7" s="2626"/>
      <c r="H7" s="2626"/>
      <c r="I7" s="2626"/>
      <c r="J7" s="2626"/>
      <c r="K7" s="2626"/>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1842</v>
      </c>
      <c r="C10" s="1383" t="s">
        <v>1950</v>
      </c>
      <c r="D10" s="1384" t="s">
        <v>2223</v>
      </c>
      <c r="E10" s="322"/>
      <c r="F10" s="1385" t="s">
        <v>1362</v>
      </c>
      <c r="G10" s="1386"/>
      <c r="H10" s="1387" t="s">
        <v>1361</v>
      </c>
      <c r="I10" s="1386"/>
      <c r="J10" s="1388" t="s">
        <v>1360</v>
      </c>
      <c r="K10" s="322"/>
      <c r="L10" s="1379"/>
    </row>
    <row r="11" spans="1:13" ht="13.5" customHeight="1" x14ac:dyDescent="0.2">
      <c r="B11" s="322"/>
      <c r="C11" s="322"/>
      <c r="D11" s="1292" t="s">
        <v>2224</v>
      </c>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623"/>
      <c r="C14" s="2623"/>
      <c r="D14" s="2623"/>
      <c r="E14" s="2623"/>
      <c r="F14" s="2623"/>
      <c r="G14" s="2623"/>
      <c r="H14" s="2623"/>
      <c r="I14" s="2623"/>
      <c r="J14" s="2623"/>
      <c r="K14" s="2623"/>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623"/>
      <c r="C17" s="2623"/>
      <c r="D17" s="2623"/>
      <c r="E17" s="2623"/>
      <c r="F17" s="2623"/>
      <c r="G17" s="2623"/>
      <c r="H17" s="2623"/>
      <c r="I17" s="2623"/>
      <c r="J17" s="2623"/>
      <c r="K17" s="2623"/>
      <c r="L17" s="1379"/>
    </row>
    <row r="18" spans="2:12" ht="4.5" customHeight="1" x14ac:dyDescent="0.2">
      <c r="B18" s="1396"/>
      <c r="C18" s="1396"/>
      <c r="L18" s="1379"/>
    </row>
    <row r="19" spans="2:12" s="1280" customFormat="1" ht="13.5" customHeight="1" x14ac:dyDescent="0.2">
      <c r="B19" s="1391" t="s">
        <v>1843</v>
      </c>
      <c r="C19" s="1391"/>
      <c r="D19" s="1392"/>
      <c r="E19" s="1392"/>
      <c r="F19" s="1392"/>
      <c r="G19" s="1393"/>
      <c r="H19" s="1392"/>
      <c r="I19" s="1393"/>
      <c r="J19" s="1392"/>
      <c r="K19" s="1392"/>
      <c r="L19" s="1394"/>
    </row>
    <row r="20" spans="2:12" ht="45.75" customHeight="1" x14ac:dyDescent="0.2">
      <c r="B20" s="2627"/>
      <c r="C20" s="2627"/>
      <c r="D20" s="2623"/>
      <c r="E20" s="2623"/>
      <c r="F20" s="2623"/>
      <c r="G20" s="2623"/>
      <c r="H20" s="2623"/>
      <c r="I20" s="2623"/>
      <c r="J20" s="2623"/>
      <c r="K20" s="2623"/>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623"/>
      <c r="C23" s="2623"/>
      <c r="D23" s="2623"/>
      <c r="E23" s="2623"/>
      <c r="F23" s="2623"/>
      <c r="G23" s="2623"/>
      <c r="H23" s="2623"/>
      <c r="I23" s="2623"/>
      <c r="J23" s="2623"/>
      <c r="K23" s="2623"/>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623"/>
      <c r="C26" s="2623"/>
      <c r="D26" s="2623"/>
      <c r="E26" s="2623"/>
      <c r="F26" s="2623"/>
      <c r="G26" s="2623"/>
      <c r="H26" s="2623"/>
      <c r="I26" s="2623"/>
      <c r="J26" s="2623"/>
      <c r="K26" s="2623"/>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622"/>
      <c r="C29" s="2622"/>
      <c r="D29" s="2623"/>
      <c r="E29" s="2623"/>
      <c r="F29" s="2623"/>
      <c r="G29" s="2623"/>
      <c r="H29" s="2623"/>
      <c r="I29" s="2623"/>
      <c r="J29" s="2623"/>
      <c r="K29" s="2623"/>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1844</v>
      </c>
      <c r="C31" s="1401"/>
      <c r="D31" s="1376"/>
      <c r="E31" s="1377"/>
      <c r="F31" s="1377"/>
      <c r="G31" s="1378"/>
      <c r="H31" s="1377"/>
      <c r="I31" s="1378"/>
      <c r="J31" s="1377"/>
      <c r="K31" s="1377"/>
      <c r="L31" s="1379"/>
    </row>
    <row r="32" spans="2:12" s="322" customFormat="1" ht="44.25" customHeight="1" x14ac:dyDescent="0.2">
      <c r="B32" s="2622"/>
      <c r="C32" s="2622"/>
      <c r="D32" s="2623"/>
      <c r="E32" s="2623"/>
      <c r="F32" s="2623"/>
      <c r="G32" s="2623"/>
      <c r="H32" s="2623"/>
      <c r="I32" s="2623"/>
      <c r="J32" s="2623"/>
      <c r="K32" s="2623"/>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1845</v>
      </c>
      <c r="C35" s="1417"/>
      <c r="D35" s="322"/>
      <c r="E35" s="322"/>
      <c r="F35" s="322"/>
      <c r="L35" s="1379"/>
    </row>
    <row r="36" spans="1:13" ht="9.6" customHeight="1" x14ac:dyDescent="0.2">
      <c r="B36" s="1298" t="s">
        <v>1951</v>
      </c>
      <c r="C36" s="1298"/>
      <c r="L36" s="1379"/>
    </row>
    <row r="37" spans="1:13" ht="9.6" customHeight="1" x14ac:dyDescent="0.2">
      <c r="B37" s="1298" t="s">
        <v>1952</v>
      </c>
      <c r="C37" s="1298"/>
    </row>
    <row r="38" spans="1:13" ht="11.85" customHeight="1" x14ac:dyDescent="0.2">
      <c r="B38" s="1418" t="s">
        <v>1846</v>
      </c>
      <c r="C38" s="1418"/>
    </row>
    <row r="39" spans="1:13" ht="9.6" customHeight="1" x14ac:dyDescent="0.2">
      <c r="B39" s="1298" t="s">
        <v>1348</v>
      </c>
      <c r="C39" s="1298"/>
      <c r="M39" s="1419"/>
    </row>
    <row r="40" spans="1:13" ht="12.6" customHeight="1" x14ac:dyDescent="0.2">
      <c r="B40" s="1418" t="s">
        <v>1847</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28" t="str">
        <f>'Single Audit Cover'!A7</f>
        <v>Tazewell-Mason Co Sp Ed Assoc</v>
      </c>
      <c r="C1" s="2628"/>
      <c r="D1" s="2628"/>
      <c r="E1" s="2628"/>
      <c r="F1" s="2628"/>
      <c r="G1" s="2628"/>
      <c r="H1" s="2628"/>
      <c r="I1" s="2628"/>
      <c r="J1" s="2628"/>
      <c r="K1" s="2628"/>
      <c r="L1" s="1463"/>
    </row>
    <row r="2" spans="1:12" ht="12.75" customHeight="1" x14ac:dyDescent="0.2">
      <c r="B2" s="2629">
        <f>'Single Audit Cover'!E7</f>
        <v>53090309061</v>
      </c>
      <c r="C2" s="2629"/>
      <c r="D2" s="2629"/>
      <c r="E2" s="2629"/>
      <c r="F2" s="2629"/>
      <c r="G2" s="2629"/>
      <c r="H2" s="2629"/>
      <c r="I2" s="2629"/>
      <c r="J2" s="2629"/>
      <c r="K2" s="2629"/>
      <c r="L2" s="1464"/>
    </row>
    <row r="3" spans="1:12" ht="12.75" customHeight="1" x14ac:dyDescent="0.2">
      <c r="B3" s="2624" t="s">
        <v>1347</v>
      </c>
      <c r="C3" s="2624"/>
      <c r="D3" s="2624"/>
      <c r="E3" s="2624"/>
      <c r="F3" s="2624"/>
      <c r="G3" s="2624"/>
      <c r="H3" s="2624"/>
      <c r="I3" s="2624"/>
      <c r="J3" s="2624"/>
      <c r="K3" s="2624"/>
      <c r="L3" s="1375"/>
    </row>
    <row r="4" spans="1:12" ht="12.75" customHeight="1" x14ac:dyDescent="0.2">
      <c r="B4" s="2624" t="str">
        <f>'Single Audit Cover'!A4</f>
        <v>Year Ending June 30, 2018</v>
      </c>
      <c r="C4" s="2624"/>
      <c r="D4" s="2624"/>
      <c r="E4" s="2624"/>
      <c r="F4" s="2624"/>
      <c r="G4" s="2624"/>
      <c r="H4" s="2624"/>
      <c r="I4" s="2624"/>
      <c r="J4" s="2624"/>
      <c r="K4" s="2624"/>
      <c r="L4" s="1375"/>
    </row>
    <row r="5" spans="1:12" ht="5.25" customHeight="1" x14ac:dyDescent="0.2">
      <c r="B5" s="1258" t="s">
        <v>1231</v>
      </c>
      <c r="C5" s="1258"/>
      <c r="L5" s="322"/>
    </row>
    <row r="6" spans="1:12" ht="30.75" customHeight="1" x14ac:dyDescent="0.2">
      <c r="A6" s="322"/>
      <c r="B6" s="2630" t="s">
        <v>1375</v>
      </c>
      <c r="C6" s="2630"/>
      <c r="D6" s="2630"/>
      <c r="E6" s="2630"/>
      <c r="F6" s="2630"/>
      <c r="G6" s="2630"/>
      <c r="H6" s="2630"/>
      <c r="I6" s="2630"/>
      <c r="J6" s="2630"/>
      <c r="K6" s="2630"/>
      <c r="L6" s="322"/>
    </row>
    <row r="7" spans="1:12" ht="4.5" customHeight="1" x14ac:dyDescent="0.2">
      <c r="B7" s="1377"/>
      <c r="C7" s="1377"/>
      <c r="D7" s="1377"/>
      <c r="E7" s="1377"/>
      <c r="F7" s="1377"/>
      <c r="G7" s="1378"/>
      <c r="H7" s="1377"/>
      <c r="I7" s="1378"/>
      <c r="J7" s="1377"/>
      <c r="K7" s="1377"/>
      <c r="L7" s="322"/>
    </row>
    <row r="8" spans="1:12" ht="13.5" customHeight="1" x14ac:dyDescent="0.2">
      <c r="B8" s="1385" t="s">
        <v>1856</v>
      </c>
      <c r="C8" s="1465" t="s">
        <v>1950</v>
      </c>
      <c r="D8" s="1466" t="s">
        <v>2223</v>
      </c>
      <c r="E8" s="322"/>
      <c r="F8" s="1382" t="s">
        <v>1362</v>
      </c>
      <c r="G8" s="1467"/>
      <c r="H8" s="1468" t="s">
        <v>1374</v>
      </c>
      <c r="I8" s="1467"/>
      <c r="J8" s="1469" t="s">
        <v>1373</v>
      </c>
      <c r="L8" s="322"/>
    </row>
    <row r="9" spans="1:12" ht="13.5" customHeight="1" x14ac:dyDescent="0.2">
      <c r="D9" s="1292" t="s">
        <v>2224</v>
      </c>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608"/>
      <c r="G12" s="2608"/>
      <c r="H12" s="2608"/>
      <c r="I12" s="2608"/>
      <c r="J12" s="2608"/>
      <c r="K12" s="2608"/>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631"/>
      <c r="E14" s="2631"/>
      <c r="F14" s="2631"/>
      <c r="H14" s="1473" t="s">
        <v>1370</v>
      </c>
      <c r="I14" s="2632"/>
      <c r="J14" s="2632"/>
      <c r="K14" s="2632"/>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632"/>
      <c r="E16" s="2632"/>
      <c r="F16" s="2632"/>
      <c r="G16" s="2632"/>
      <c r="H16" s="2632"/>
      <c r="I16" s="2632"/>
      <c r="J16" s="2632"/>
      <c r="K16" s="2632"/>
      <c r="L16" s="322"/>
    </row>
    <row r="17" spans="2:12" ht="13.5" customHeight="1" x14ac:dyDescent="0.2">
      <c r="B17" s="1385" t="s">
        <v>1368</v>
      </c>
      <c r="C17" s="1385"/>
      <c r="D17" s="2633"/>
      <c r="E17" s="2633"/>
      <c r="F17" s="2633"/>
      <c r="G17" s="2633"/>
      <c r="H17" s="2633"/>
      <c r="I17" s="2633"/>
      <c r="J17" s="2633"/>
      <c r="K17" s="2633"/>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623"/>
      <c r="C20" s="2623"/>
      <c r="D20" s="2623"/>
      <c r="E20" s="2623"/>
      <c r="F20" s="2623"/>
      <c r="G20" s="2623"/>
      <c r="H20" s="2623"/>
      <c r="I20" s="2623"/>
      <c r="J20" s="2623"/>
      <c r="K20" s="2623"/>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1857</v>
      </c>
      <c r="C22" s="1475"/>
      <c r="D22" s="322"/>
      <c r="E22" s="322"/>
      <c r="F22" s="322"/>
      <c r="G22" s="1381"/>
      <c r="H22" s="322"/>
      <c r="I22" s="1381"/>
      <c r="J22" s="322"/>
      <c r="K22" s="322"/>
      <c r="L22" s="322"/>
    </row>
    <row r="23" spans="2:12" ht="37.5" customHeight="1" x14ac:dyDescent="0.2">
      <c r="B23" s="2623"/>
      <c r="C23" s="2623"/>
      <c r="D23" s="2623"/>
      <c r="E23" s="2623"/>
      <c r="F23" s="2623"/>
      <c r="G23" s="2623"/>
      <c r="H23" s="2623"/>
      <c r="I23" s="2623"/>
      <c r="J23" s="2623"/>
      <c r="K23" s="2623"/>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1858</v>
      </c>
      <c r="C25" s="1475"/>
      <c r="D25" s="322"/>
      <c r="E25" s="322"/>
      <c r="F25" s="322"/>
      <c r="G25" s="1381"/>
      <c r="H25" s="322"/>
      <c r="I25" s="1381"/>
      <c r="J25" s="322"/>
      <c r="K25" s="322"/>
      <c r="L25" s="322"/>
    </row>
    <row r="26" spans="2:12" ht="37.5" customHeight="1" x14ac:dyDescent="0.2">
      <c r="B26" s="2623"/>
      <c r="C26" s="2623"/>
      <c r="D26" s="2623"/>
      <c r="E26" s="2623"/>
      <c r="F26" s="2623"/>
      <c r="G26" s="2623"/>
      <c r="H26" s="2623"/>
      <c r="I26" s="2623"/>
      <c r="J26" s="2623"/>
      <c r="K26" s="2623"/>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1859</v>
      </c>
      <c r="C28" s="1475"/>
      <c r="D28" s="322"/>
      <c r="E28" s="322"/>
      <c r="F28" s="322"/>
      <c r="G28" s="1381"/>
      <c r="H28" s="322"/>
      <c r="I28" s="1381"/>
      <c r="J28" s="322"/>
      <c r="K28" s="322"/>
      <c r="L28" s="322"/>
    </row>
    <row r="29" spans="2:12" ht="37.5" customHeight="1" x14ac:dyDescent="0.2">
      <c r="B29" s="2623"/>
      <c r="C29" s="2623"/>
      <c r="D29" s="2623"/>
      <c r="E29" s="2623"/>
      <c r="F29" s="2623"/>
      <c r="G29" s="2623"/>
      <c r="H29" s="2623"/>
      <c r="I29" s="2623"/>
      <c r="J29" s="2623"/>
      <c r="K29" s="2623"/>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623"/>
      <c r="C32" s="2623"/>
      <c r="D32" s="2623"/>
      <c r="E32" s="2623"/>
      <c r="F32" s="2623"/>
      <c r="G32" s="2623"/>
      <c r="H32" s="2623"/>
      <c r="I32" s="2623"/>
      <c r="J32" s="2623"/>
      <c r="K32" s="2623"/>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623"/>
      <c r="C35" s="2623"/>
      <c r="D35" s="2623"/>
      <c r="E35" s="2623"/>
      <c r="F35" s="2623"/>
      <c r="G35" s="2623"/>
      <c r="H35" s="2623"/>
      <c r="I35" s="2623"/>
      <c r="J35" s="2623"/>
      <c r="K35" s="2623"/>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623"/>
      <c r="C38" s="2623"/>
      <c r="D38" s="2623"/>
      <c r="E38" s="2623"/>
      <c r="F38" s="2623"/>
      <c r="G38" s="2623"/>
      <c r="H38" s="2623"/>
      <c r="I38" s="2623"/>
      <c r="J38" s="2623"/>
      <c r="K38" s="2623"/>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1860</v>
      </c>
      <c r="C40" s="1401"/>
      <c r="D40" s="1376"/>
      <c r="E40" s="1377"/>
      <c r="F40" s="1377"/>
      <c r="G40" s="1378"/>
      <c r="H40" s="1377"/>
      <c r="I40" s="1378"/>
      <c r="J40" s="1377"/>
      <c r="K40" s="1377"/>
    </row>
    <row r="41" spans="2:12" s="322" customFormat="1" ht="33.75" customHeight="1" x14ac:dyDescent="0.2">
      <c r="B41" s="2623"/>
      <c r="C41" s="2623"/>
      <c r="D41" s="2623"/>
      <c r="E41" s="2623"/>
      <c r="F41" s="2623"/>
      <c r="G41" s="2623"/>
      <c r="H41" s="2623"/>
      <c r="I41" s="2623"/>
      <c r="J41" s="2623"/>
      <c r="K41" s="2623"/>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1861</v>
      </c>
      <c r="C48" s="1417"/>
      <c r="D48" s="322"/>
      <c r="E48" s="322"/>
      <c r="F48" s="322"/>
    </row>
    <row r="49" spans="2:3" s="317" customFormat="1" ht="10.5" customHeight="1" x14ac:dyDescent="0.2">
      <c r="B49" s="1418" t="s">
        <v>1862</v>
      </c>
      <c r="C49" s="1418"/>
    </row>
    <row r="50" spans="2:3" s="317" customFormat="1" ht="11.1" customHeight="1" x14ac:dyDescent="0.2">
      <c r="B50" s="1418" t="s">
        <v>1863</v>
      </c>
      <c r="C50" s="1418"/>
    </row>
    <row r="51" spans="2:3" s="317" customFormat="1" ht="11.1" customHeight="1" x14ac:dyDescent="0.2">
      <c r="B51" s="1418" t="s">
        <v>1864</v>
      </c>
      <c r="C51" s="1418"/>
    </row>
    <row r="52" spans="2:3" s="317" customFormat="1" ht="11.1" customHeight="1" x14ac:dyDescent="0.2">
      <c r="B52" s="1418" t="s">
        <v>1865</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601" t="str">
        <f>'Single Audit Cover'!A7</f>
        <v>Tazewell-Mason Co Sp Ed Assoc</v>
      </c>
      <c r="C1" s="2601"/>
      <c r="D1" s="2601"/>
      <c r="E1" s="1489"/>
    </row>
    <row r="2" spans="2:5" s="1280" customFormat="1" ht="12.75" customHeight="1" x14ac:dyDescent="0.2">
      <c r="B2" s="2603">
        <f>'Single Audit Cover'!E7</f>
        <v>53090309061</v>
      </c>
      <c r="C2" s="2603"/>
      <c r="D2" s="2603"/>
      <c r="E2" s="1490"/>
    </row>
    <row r="3" spans="2:5" ht="12.75" customHeight="1" x14ac:dyDescent="0.2">
      <c r="B3" s="2624" t="s">
        <v>1866</v>
      </c>
      <c r="C3" s="2624"/>
      <c r="D3" s="2624"/>
      <c r="E3" s="1272"/>
    </row>
    <row r="4" spans="2:5" s="1280" customFormat="1" ht="12.75" customHeight="1" x14ac:dyDescent="0.2">
      <c r="B4" s="2634" t="str">
        <f>'Single Audit Cover'!A4</f>
        <v>Year Ending June 30, 2018</v>
      </c>
      <c r="C4" s="2634"/>
      <c r="D4" s="2634"/>
      <c r="E4" s="1491"/>
    </row>
    <row r="5" spans="2:5" s="1280" customFormat="1" ht="40.15" hidden="1" customHeight="1" x14ac:dyDescent="0.2">
      <c r="B5" s="1492" t="s">
        <v>1867</v>
      </c>
      <c r="C5" s="328"/>
      <c r="D5" s="328"/>
      <c r="E5" s="328"/>
    </row>
    <row r="6" spans="2:5" s="1280" customFormat="1" ht="13.5" customHeight="1" x14ac:dyDescent="0.2">
      <c r="B6" s="1493" t="s">
        <v>1382</v>
      </c>
      <c r="C6" s="1493" t="s">
        <v>1381</v>
      </c>
      <c r="D6" s="1493" t="s">
        <v>1868</v>
      </c>
    </row>
    <row r="7" spans="2:5" ht="13.5" customHeight="1" x14ac:dyDescent="0.2">
      <c r="B7" s="1494" t="s">
        <v>2225</v>
      </c>
      <c r="C7" s="324"/>
      <c r="D7" s="324"/>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1869</v>
      </c>
    </row>
    <row r="46" spans="2:5" ht="12.2" customHeight="1" x14ac:dyDescent="0.2">
      <c r="B46" s="1503" t="s">
        <v>1870</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17" t="s">
        <v>404</v>
      </c>
      <c r="B1" s="2217"/>
      <c r="C1" s="2217"/>
      <c r="D1" s="2217"/>
      <c r="E1" s="2217"/>
      <c r="F1" s="2217"/>
      <c r="G1" s="2217"/>
      <c r="H1" s="2217"/>
      <c r="I1" s="2217"/>
      <c r="J1" s="2217"/>
      <c r="K1" s="2217"/>
      <c r="L1" s="2217"/>
      <c r="M1" s="221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2">
        <f>ROUND(D10+F10+H10,5)</f>
        <v>0</v>
      </c>
      <c r="K10" s="222"/>
      <c r="L10" s="355"/>
      <c r="M10" s="222"/>
    </row>
    <row r="11" spans="1:14" ht="7.5" customHeight="1" x14ac:dyDescent="0.2">
      <c r="B11" s="222"/>
      <c r="C11" s="222"/>
      <c r="D11" s="2227" t="str">
        <f>IF(SUM(J10)&lt;=0.0999999,"","Enter the Tax Rates by moving the decimal two places to the left.")</f>
        <v/>
      </c>
      <c r="E11" s="2228"/>
      <c r="F11" s="2228"/>
      <c r="G11" s="2228"/>
      <c r="H11" s="2228"/>
      <c r="I11" s="2228"/>
      <c r="J11" s="222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10098327</v>
      </c>
      <c r="E16" s="356"/>
      <c r="F16" s="1753">
        <f>SUM('Acct Summary 7-8'!C17,'Acct Summary 7-8'!D17,'Acct Summary 7-8'!F17)</f>
        <v>9799364</v>
      </c>
      <c r="G16" s="356"/>
      <c r="H16" s="1753">
        <f>SUM(D16-F16)</f>
        <v>298963</v>
      </c>
      <c r="I16" s="222"/>
      <c r="J16" s="1753">
        <f>SUM('Acct Summary 7-8'!C81,'Acct Summary 7-8'!D81,'Acct Summary 7-8'!F81,'Acct Summary 7-8'!I81)</f>
        <v>1087368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218"/>
      <c r="C54" s="2219"/>
      <c r="D54" s="2219"/>
      <c r="E54" s="2219"/>
      <c r="F54" s="2219"/>
      <c r="G54" s="2219"/>
      <c r="H54" s="2219"/>
      <c r="I54" s="2219"/>
      <c r="J54" s="2219"/>
      <c r="K54" s="2219"/>
      <c r="L54" s="2220"/>
      <c r="M54" s="380"/>
    </row>
    <row r="55" spans="1:13" ht="12.75" customHeight="1" x14ac:dyDescent="0.2">
      <c r="B55" s="2221"/>
      <c r="C55" s="2222"/>
      <c r="D55" s="2222"/>
      <c r="E55" s="2222"/>
      <c r="F55" s="2222"/>
      <c r="G55" s="2222"/>
      <c r="H55" s="2222"/>
      <c r="I55" s="2222"/>
      <c r="J55" s="2222"/>
      <c r="K55" s="2222"/>
      <c r="L55" s="2223"/>
      <c r="M55" s="380"/>
    </row>
    <row r="56" spans="1:13" ht="12.75" customHeight="1" x14ac:dyDescent="0.2">
      <c r="B56" s="2221"/>
      <c r="C56" s="2222"/>
      <c r="D56" s="2222"/>
      <c r="E56" s="2222"/>
      <c r="F56" s="2222"/>
      <c r="G56" s="2222"/>
      <c r="H56" s="2222"/>
      <c r="I56" s="2222"/>
      <c r="J56" s="2222"/>
      <c r="K56" s="2222"/>
      <c r="L56" s="2223"/>
      <c r="M56" s="222"/>
    </row>
    <row r="57" spans="1:13" ht="12.75" customHeight="1" x14ac:dyDescent="0.2">
      <c r="B57" s="2221"/>
      <c r="C57" s="2222"/>
      <c r="D57" s="2222"/>
      <c r="E57" s="2222"/>
      <c r="F57" s="2222"/>
      <c r="G57" s="2222"/>
      <c r="H57" s="2222"/>
      <c r="I57" s="2222"/>
      <c r="J57" s="2222"/>
      <c r="K57" s="2222"/>
      <c r="L57" s="2223"/>
      <c r="M57" s="222"/>
    </row>
    <row r="58" spans="1:13" x14ac:dyDescent="0.2">
      <c r="B58" s="2224"/>
      <c r="C58" s="2225"/>
      <c r="D58" s="2225"/>
      <c r="E58" s="2225"/>
      <c r="F58" s="2225"/>
      <c r="G58" s="2225"/>
      <c r="H58" s="2225"/>
      <c r="I58" s="2225"/>
      <c r="J58" s="2225"/>
      <c r="K58" s="2225"/>
      <c r="L58" s="222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29"/>
      <c r="D61" s="223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32"/>
      <c r="B1" s="2233"/>
      <c r="C1" s="2233"/>
      <c r="D1" s="384"/>
      <c r="E1" s="384"/>
      <c r="F1" s="384"/>
      <c r="G1" s="384"/>
      <c r="H1" s="384"/>
      <c r="I1" s="384"/>
      <c r="J1" s="384"/>
      <c r="K1" s="384"/>
      <c r="L1" s="384"/>
      <c r="M1" s="384"/>
      <c r="N1" s="384"/>
      <c r="O1" s="2232"/>
      <c r="P1" s="2233"/>
      <c r="Q1" s="2233"/>
    </row>
    <row r="2" spans="1:18" ht="15" x14ac:dyDescent="0.2">
      <c r="A2" s="2236" t="s">
        <v>577</v>
      </c>
      <c r="B2" s="2236"/>
      <c r="C2" s="2236"/>
      <c r="D2" s="2236"/>
      <c r="E2" s="2236"/>
      <c r="F2" s="2236"/>
      <c r="G2" s="2236"/>
      <c r="H2" s="2236"/>
      <c r="I2" s="2236"/>
      <c r="J2" s="2236"/>
      <c r="K2" s="2236"/>
      <c r="L2" s="2236"/>
      <c r="M2" s="2236"/>
      <c r="N2" s="2236"/>
      <c r="O2" s="2236"/>
      <c r="P2" s="2236"/>
      <c r="Q2" s="2236"/>
      <c r="R2" s="2236"/>
    </row>
    <row r="3" spans="1:18" ht="12.75" x14ac:dyDescent="0.2">
      <c r="A3" s="2237" t="s">
        <v>1480</v>
      </c>
      <c r="B3" s="2237"/>
      <c r="C3" s="2237"/>
      <c r="D3" s="2237"/>
      <c r="E3" s="2237"/>
      <c r="F3" s="2237"/>
      <c r="G3" s="2237"/>
      <c r="H3" s="2237"/>
      <c r="I3" s="2237"/>
      <c r="J3" s="2237"/>
      <c r="K3" s="2237"/>
      <c r="L3" s="2237"/>
      <c r="M3" s="2237"/>
      <c r="N3" s="2237"/>
      <c r="O3" s="2237"/>
      <c r="P3" s="2237"/>
      <c r="Q3" s="2237"/>
      <c r="R3" s="2237"/>
    </row>
    <row r="4" spans="1:18" x14ac:dyDescent="0.2">
      <c r="A4" s="2238" t="s">
        <v>1635</v>
      </c>
      <c r="B4" s="2238"/>
      <c r="C4" s="2238"/>
      <c r="D4" s="2238"/>
      <c r="E4" s="2238"/>
      <c r="F4" s="2238"/>
      <c r="G4" s="2238"/>
      <c r="H4" s="2238"/>
      <c r="I4" s="2238"/>
      <c r="J4" s="2238"/>
      <c r="K4" s="2238"/>
      <c r="L4" s="2238"/>
      <c r="M4" s="2238"/>
      <c r="N4" s="2238"/>
      <c r="O4" s="2238"/>
      <c r="P4" s="2238"/>
      <c r="Q4" s="2238"/>
      <c r="R4" s="223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Tazewell-Mason Co Sp Ed Assoc</v>
      </c>
      <c r="E7" s="391"/>
      <c r="G7" s="252"/>
      <c r="H7" s="387"/>
      <c r="I7" s="387"/>
      <c r="J7" s="387"/>
      <c r="K7" s="387"/>
      <c r="L7" s="329"/>
      <c r="M7" s="329"/>
      <c r="N7" s="329"/>
      <c r="O7" s="329"/>
      <c r="P7" s="329"/>
    </row>
    <row r="8" spans="1:18" ht="12.75" x14ac:dyDescent="0.2">
      <c r="A8" s="329"/>
      <c r="B8" s="329"/>
      <c r="C8" s="389" t="s">
        <v>1187</v>
      </c>
      <c r="D8" s="392">
        <f>COVER!A13</f>
        <v>53090309061</v>
      </c>
      <c r="E8" s="393"/>
      <c r="G8" s="329"/>
      <c r="H8" s="329"/>
      <c r="I8" s="329"/>
      <c r="J8" s="329"/>
      <c r="K8" s="329"/>
      <c r="L8" s="329"/>
      <c r="M8" s="329"/>
      <c r="N8" s="329"/>
      <c r="O8" s="329"/>
      <c r="P8" s="329"/>
    </row>
    <row r="9" spans="1:18" ht="12.75" x14ac:dyDescent="0.2">
      <c r="A9" s="329"/>
      <c r="B9" s="329"/>
      <c r="C9" s="389" t="s">
        <v>737</v>
      </c>
      <c r="D9" s="394" t="str">
        <f>COVER!A15</f>
        <v>Tazewell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1087368</v>
      </c>
      <c r="I12" s="404"/>
      <c r="J12" s="404"/>
      <c r="K12" s="405">
        <f>TRUNC((H12/H13*100000),5)/100000</f>
        <v>0.1076780341</v>
      </c>
      <c r="L12" s="406"/>
      <c r="M12" s="360" t="s">
        <v>1206</v>
      </c>
      <c r="N12" s="360"/>
      <c r="O12" s="407">
        <v>0.35</v>
      </c>
      <c r="P12" s="218"/>
      <c r="Q12" s="218"/>
    </row>
    <row r="13" spans="1:18" s="408" customFormat="1" ht="12.75" x14ac:dyDescent="0.2">
      <c r="A13" s="218"/>
      <c r="B13" s="401"/>
      <c r="C13" s="2234" t="s">
        <v>1391</v>
      </c>
      <c r="D13" s="2235"/>
      <c r="E13" s="218"/>
      <c r="F13" s="409" t="s">
        <v>826</v>
      </c>
      <c r="G13" s="402"/>
      <c r="H13" s="403">
        <f>SUM('Acct Summary 7-8'!C8+'Acct Summary 7-8'!D8+'Acct Summary 7-8'!F8+'Acct Summary 7-8'!I8)+H14</f>
        <v>10098327</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9799364</v>
      </c>
      <c r="I17" s="404"/>
      <c r="J17" s="416"/>
      <c r="K17" s="405">
        <f>TRUNC((H17/H18*100000),5)/100000</f>
        <v>0.97039479900000003</v>
      </c>
      <c r="L17" s="406"/>
      <c r="M17" s="417" t="s">
        <v>1233</v>
      </c>
      <c r="O17" s="418" t="str">
        <f>IF(AND(O16="2", J20 &gt; 2),"1",IF(AND(O16 = "1", J20 &gt; 2),"2",IF(AND(O16="1", J20 &gt;1),"1","0")))</f>
        <v>0</v>
      </c>
      <c r="P17" s="218"/>
    </row>
    <row r="18" spans="1:18" s="408" customFormat="1" ht="11.25" x14ac:dyDescent="0.2">
      <c r="A18" s="218"/>
      <c r="B18" s="401"/>
      <c r="C18" s="2234" t="s">
        <v>1384</v>
      </c>
      <c r="D18" s="2235"/>
      <c r="E18" s="218"/>
      <c r="F18" s="419" t="s">
        <v>827</v>
      </c>
      <c r="G18" s="402"/>
      <c r="H18" s="403">
        <f>SUM('Acct Summary 7-8'!C8+'Acct Summary 7-8'!D8+'Acct Summary 7-8'!F8+'Acct Summary 7-8'!I8)+H19</f>
        <v>10098327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231" t="s">
        <v>1479</v>
      </c>
      <c r="D24" s="2231"/>
      <c r="E24" s="218"/>
      <c r="F24" s="218" t="s">
        <v>465</v>
      </c>
      <c r="G24" s="402"/>
      <c r="H24" s="403">
        <f>SUM('Assets-Liab 5-6'!C4+'Assets-Liab 5-6'!D4+'Assets-Liab 5-6'!F4+'Assets-Liab 5-6'!I4+'Assets-Liab 5-6'!C5+'Assets-Liab 5-6'!D5+'Assets-Liab 5-6'!F5+'Assets-Liab 5-6'!I5)</f>
        <v>1089893</v>
      </c>
      <c r="I24" s="422"/>
      <c r="J24" s="422"/>
      <c r="K24" s="423">
        <f>TRUNC(((H24/H25*100000)/100000),2)</f>
        <v>40.03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27220.455559999999</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23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24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241" t="s">
        <v>1030</v>
      </c>
      <c r="B3" s="2242"/>
      <c r="C3" s="1579"/>
      <c r="D3" s="1580"/>
      <c r="E3" s="1580"/>
      <c r="F3" s="1580"/>
      <c r="G3" s="1580"/>
      <c r="H3" s="1580"/>
      <c r="I3" s="1580"/>
      <c r="J3" s="1580"/>
      <c r="K3" s="1580"/>
      <c r="L3" s="1580"/>
      <c r="M3" s="1581"/>
      <c r="N3" s="1582"/>
    </row>
    <row r="4" spans="1:14" ht="13.5" customHeight="1" x14ac:dyDescent="0.2">
      <c r="A4" s="463" t="s">
        <v>1750</v>
      </c>
      <c r="B4" s="464"/>
      <c r="C4" s="465">
        <v>613578</v>
      </c>
      <c r="D4" s="465">
        <v>472037</v>
      </c>
      <c r="E4" s="466">
        <v>0</v>
      </c>
      <c r="F4" s="466">
        <v>4278</v>
      </c>
      <c r="G4" s="466">
        <v>0</v>
      </c>
      <c r="H4" s="466">
        <v>0</v>
      </c>
      <c r="I4" s="466">
        <v>0</v>
      </c>
      <c r="J4" s="467">
        <v>0</v>
      </c>
      <c r="K4" s="466">
        <v>0</v>
      </c>
      <c r="L4" s="466">
        <v>4836</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613578</v>
      </c>
      <c r="D13" s="1757">
        <f t="shared" ref="D13:L13" si="0">SUM(D4:D12)</f>
        <v>472037</v>
      </c>
      <c r="E13" s="1757">
        <f t="shared" si="0"/>
        <v>0</v>
      </c>
      <c r="F13" s="1757">
        <f t="shared" si="0"/>
        <v>4278</v>
      </c>
      <c r="G13" s="1757">
        <f t="shared" si="0"/>
        <v>0</v>
      </c>
      <c r="H13" s="1757">
        <f t="shared" si="0"/>
        <v>0</v>
      </c>
      <c r="I13" s="1757">
        <f t="shared" si="0"/>
        <v>0</v>
      </c>
      <c r="J13" s="1757">
        <f t="shared" si="0"/>
        <v>0</v>
      </c>
      <c r="K13" s="1757">
        <f t="shared" si="0"/>
        <v>0</v>
      </c>
      <c r="L13" s="1757">
        <f t="shared" si="0"/>
        <v>4836</v>
      </c>
      <c r="M13" s="468"/>
      <c r="N13" s="469"/>
    </row>
    <row r="14" spans="1:14" ht="18" customHeight="1" thickTop="1" x14ac:dyDescent="0.2">
      <c r="A14" s="2243" t="s">
        <v>149</v>
      </c>
      <c r="B14" s="2244"/>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55659</v>
      </c>
      <c r="N16" s="483"/>
    </row>
    <row r="17" spans="1:14" s="484" customFormat="1" ht="12.75" customHeight="1" x14ac:dyDescent="0.2">
      <c r="A17" s="481" t="s">
        <v>1470</v>
      </c>
      <c r="B17" s="482">
        <v>230</v>
      </c>
      <c r="C17" s="476"/>
      <c r="D17" s="476"/>
      <c r="E17" s="476"/>
      <c r="F17" s="476"/>
      <c r="G17" s="476"/>
      <c r="H17" s="476"/>
      <c r="I17" s="476"/>
      <c r="J17" s="476"/>
      <c r="K17" s="476"/>
      <c r="L17" s="476"/>
      <c r="M17" s="467">
        <v>2210125</v>
      </c>
      <c r="N17" s="483"/>
    </row>
    <row r="18" spans="1:14" s="484" customFormat="1" ht="12.75" customHeight="1" x14ac:dyDescent="0.2">
      <c r="A18" s="481" t="s">
        <v>1471</v>
      </c>
      <c r="B18" s="482">
        <v>240</v>
      </c>
      <c r="C18" s="476"/>
      <c r="D18" s="476"/>
      <c r="E18" s="476"/>
      <c r="F18" s="476"/>
      <c r="G18" s="476"/>
      <c r="H18" s="476"/>
      <c r="I18" s="476"/>
      <c r="J18" s="476"/>
      <c r="K18" s="476"/>
      <c r="L18" s="476"/>
      <c r="M18" s="467">
        <v>0</v>
      </c>
      <c r="N18" s="483"/>
    </row>
    <row r="19" spans="1:14" s="484" customFormat="1" ht="12.75" customHeight="1" x14ac:dyDescent="0.2">
      <c r="A19" s="481" t="s">
        <v>1472</v>
      </c>
      <c r="B19" s="482">
        <v>250</v>
      </c>
      <c r="C19" s="476"/>
      <c r="D19" s="476"/>
      <c r="E19" s="476"/>
      <c r="F19" s="476"/>
      <c r="G19" s="476"/>
      <c r="H19" s="476"/>
      <c r="I19" s="476"/>
      <c r="J19" s="476"/>
      <c r="K19" s="476"/>
      <c r="L19" s="476"/>
      <c r="M19" s="467">
        <v>748006</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0</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0</v>
      </c>
    </row>
    <row r="23" spans="1:14" ht="13.5" customHeight="1" thickBot="1" x14ac:dyDescent="0.25">
      <c r="A23" s="1756" t="s">
        <v>664</v>
      </c>
      <c r="B23" s="1761"/>
      <c r="C23" s="468"/>
      <c r="D23" s="468"/>
      <c r="E23" s="468"/>
      <c r="F23" s="468"/>
      <c r="G23" s="468"/>
      <c r="H23" s="468"/>
      <c r="I23" s="468"/>
      <c r="J23" s="468"/>
      <c r="K23" s="468"/>
      <c r="L23" s="468"/>
      <c r="M23" s="1708">
        <f>SUM(M15:M22)</f>
        <v>3013790</v>
      </c>
      <c r="N23" s="1708">
        <f>SUM(N21:N22)</f>
        <v>0</v>
      </c>
    </row>
    <row r="24" spans="1:14" ht="18" customHeight="1" thickTop="1" x14ac:dyDescent="0.2">
      <c r="A24" s="2245" t="s">
        <v>619</v>
      </c>
      <c r="B24" s="2246"/>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2525</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4836</v>
      </c>
      <c r="M33" s="468"/>
      <c r="N33" s="469"/>
    </row>
    <row r="34" spans="1:14" ht="13.5" customHeight="1" thickBot="1" x14ac:dyDescent="0.25">
      <c r="A34" s="1758" t="s">
        <v>675</v>
      </c>
      <c r="B34" s="1759"/>
      <c r="C34" s="1760">
        <f>SUM(C25:C33)</f>
        <v>2525</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4836</v>
      </c>
      <c r="M34" s="468"/>
      <c r="N34" s="479"/>
    </row>
    <row r="35" spans="1:14" ht="18" customHeight="1" thickTop="1" x14ac:dyDescent="0.2">
      <c r="A35" s="2247" t="s">
        <v>550</v>
      </c>
      <c r="B35" s="2248"/>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0</v>
      </c>
    </row>
    <row r="37" spans="1:14" ht="13.5" thickBot="1" x14ac:dyDescent="0.25">
      <c r="A37" s="1756" t="s">
        <v>674</v>
      </c>
      <c r="B37" s="1761"/>
      <c r="C37" s="476"/>
      <c r="D37" s="476"/>
      <c r="E37" s="476"/>
      <c r="F37" s="476"/>
      <c r="G37" s="476"/>
      <c r="H37" s="476"/>
      <c r="I37" s="476"/>
      <c r="J37" s="476"/>
      <c r="K37" s="476"/>
      <c r="L37" s="479"/>
      <c r="M37" s="468"/>
      <c r="N37" s="1708">
        <f>SUM(N36:N36)</f>
        <v>0</v>
      </c>
    </row>
    <row r="38" spans="1:14" s="329" customFormat="1" ht="13.5" customHeight="1" thickTop="1" x14ac:dyDescent="0.2">
      <c r="A38" s="494" t="s">
        <v>440</v>
      </c>
      <c r="B38" s="482">
        <v>714</v>
      </c>
      <c r="C38" s="465">
        <v>0</v>
      </c>
      <c r="D38" s="465">
        <v>0</v>
      </c>
      <c r="E38" s="465">
        <v>0</v>
      </c>
      <c r="F38" s="465">
        <v>0</v>
      </c>
      <c r="G38" s="465">
        <v>0</v>
      </c>
      <c r="H38" s="465">
        <v>0</v>
      </c>
      <c r="I38" s="465">
        <v>0</v>
      </c>
      <c r="J38" s="465">
        <v>0</v>
      </c>
      <c r="K38" s="465">
        <v>0</v>
      </c>
      <c r="L38" s="465">
        <v>0</v>
      </c>
      <c r="M38" s="495"/>
      <c r="N38" s="495"/>
    </row>
    <row r="39" spans="1:14" s="329" customFormat="1" ht="13.5" customHeight="1" x14ac:dyDescent="0.2">
      <c r="A39" s="494" t="s">
        <v>360</v>
      </c>
      <c r="B39" s="482">
        <v>730</v>
      </c>
      <c r="C39" s="465">
        <v>611053</v>
      </c>
      <c r="D39" s="465">
        <v>472037</v>
      </c>
      <c r="E39" s="465">
        <v>0</v>
      </c>
      <c r="F39" s="465">
        <v>4278</v>
      </c>
      <c r="G39" s="465">
        <v>0</v>
      </c>
      <c r="H39" s="465">
        <v>0</v>
      </c>
      <c r="I39" s="465">
        <v>0</v>
      </c>
      <c r="J39" s="465">
        <v>0</v>
      </c>
      <c r="K39" s="465">
        <v>0</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3013790</v>
      </c>
      <c r="N40" s="495"/>
    </row>
    <row r="41" spans="1:14" ht="13.5" customHeight="1" thickBot="1" x14ac:dyDescent="0.25">
      <c r="A41" s="1756" t="s">
        <v>676</v>
      </c>
      <c r="B41" s="1726"/>
      <c r="C41" s="1708">
        <f>(SUM(C34,C37,C38,C39))</f>
        <v>613578</v>
      </c>
      <c r="D41" s="1708">
        <f t="shared" ref="D41:L41" si="2">SUM(D34,D37,D38:D39)</f>
        <v>472037</v>
      </c>
      <c r="E41" s="1708">
        <f t="shared" si="2"/>
        <v>0</v>
      </c>
      <c r="F41" s="1708">
        <f t="shared" si="2"/>
        <v>4278</v>
      </c>
      <c r="G41" s="1708">
        <f t="shared" si="2"/>
        <v>0</v>
      </c>
      <c r="H41" s="1708">
        <f t="shared" si="2"/>
        <v>0</v>
      </c>
      <c r="I41" s="1708">
        <f t="shared" si="2"/>
        <v>0</v>
      </c>
      <c r="J41" s="1708">
        <f t="shared" si="2"/>
        <v>0</v>
      </c>
      <c r="K41" s="1708">
        <f t="shared" si="2"/>
        <v>0</v>
      </c>
      <c r="L41" s="1708">
        <f t="shared" si="2"/>
        <v>4836</v>
      </c>
      <c r="M41" s="1708">
        <f>SUM(M40)</f>
        <v>3013790</v>
      </c>
      <c r="N41" s="1708">
        <f>SUM(N37)</f>
        <v>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257"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258"/>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269" t="s">
        <v>1237</v>
      </c>
      <c r="B3" s="2270"/>
      <c r="C3" s="1593"/>
      <c r="D3" s="1594"/>
      <c r="E3" s="1594"/>
      <c r="F3" s="1594"/>
      <c r="G3" s="1594"/>
      <c r="H3" s="1594"/>
      <c r="I3" s="1594"/>
      <c r="J3" s="1594"/>
      <c r="K3" s="1595"/>
      <c r="L3" s="504"/>
    </row>
    <row r="4" spans="1:13" ht="15.75" customHeight="1" x14ac:dyDescent="0.2">
      <c r="A4" s="1952" t="s">
        <v>1579</v>
      </c>
      <c r="B4" s="1953">
        <v>1000</v>
      </c>
      <c r="C4" s="1762">
        <f>'Revenues 9-14'!C109</f>
        <v>3901716</v>
      </c>
      <c r="D4" s="1762">
        <f>'Revenues 9-14'!D109</f>
        <v>0</v>
      </c>
      <c r="E4" s="1762">
        <f>'Revenues 9-14'!E109</f>
        <v>0</v>
      </c>
      <c r="F4" s="1762">
        <f>'Revenues 9-14'!F109</f>
        <v>0</v>
      </c>
      <c r="G4" s="1762">
        <f>'Revenues 9-14'!G109</f>
        <v>0</v>
      </c>
      <c r="H4" s="1762">
        <f>'Revenues 9-14'!H109</f>
        <v>0</v>
      </c>
      <c r="I4" s="1762">
        <f>'Revenues 9-14'!I109</f>
        <v>0</v>
      </c>
      <c r="J4" s="1762">
        <f>'Revenues 9-14'!J109</f>
        <v>0</v>
      </c>
      <c r="K4" s="1762">
        <f>'Revenues 9-14'!K109</f>
        <v>0</v>
      </c>
      <c r="L4" s="347"/>
    </row>
    <row r="5" spans="1:13" ht="15.75" customHeight="1" x14ac:dyDescent="0.2">
      <c r="A5" s="1596" t="s">
        <v>1580</v>
      </c>
      <c r="B5" s="1597">
        <v>2000</v>
      </c>
      <c r="C5" s="1763">
        <f>'Revenues 9-14'!C114</f>
        <v>2891901</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611633</v>
      </c>
      <c r="D6" s="1763">
        <f>'Revenues 9-14'!D173</f>
        <v>0</v>
      </c>
      <c r="E6" s="1763">
        <f>'Revenues 9-14'!E173</f>
        <v>0</v>
      </c>
      <c r="F6" s="1763">
        <f>'Revenues 9-14'!F173</f>
        <v>10885</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2682192</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10087442</v>
      </c>
      <c r="D8" s="1708">
        <f t="shared" ref="D8:K8" si="0">SUM(D4:D7)</f>
        <v>0</v>
      </c>
      <c r="E8" s="1708">
        <f t="shared" si="0"/>
        <v>0</v>
      </c>
      <c r="F8" s="1708">
        <f t="shared" si="0"/>
        <v>10885</v>
      </c>
      <c r="G8" s="1708">
        <f t="shared" si="0"/>
        <v>0</v>
      </c>
      <c r="H8" s="1708">
        <f t="shared" si="0"/>
        <v>0</v>
      </c>
      <c r="I8" s="1708">
        <f t="shared" si="0"/>
        <v>0</v>
      </c>
      <c r="J8" s="1708">
        <f t="shared" si="0"/>
        <v>0</v>
      </c>
      <c r="K8" s="1708">
        <f t="shared" si="0"/>
        <v>0</v>
      </c>
      <c r="L8" s="347"/>
    </row>
    <row r="9" spans="1:13" ht="15.75" thickTop="1" x14ac:dyDescent="0.2">
      <c r="A9" s="512" t="s">
        <v>1752</v>
      </c>
      <c r="B9" s="513">
        <v>3998</v>
      </c>
      <c r="C9" s="465">
        <v>1078424</v>
      </c>
      <c r="D9" s="514"/>
      <c r="E9" s="480"/>
      <c r="F9" s="480"/>
      <c r="G9" s="515"/>
      <c r="H9" s="480"/>
      <c r="I9" s="507" t="s">
        <v>1231</v>
      </c>
      <c r="J9" s="477"/>
      <c r="K9" s="480"/>
      <c r="L9" s="347"/>
    </row>
    <row r="10" spans="1:13" s="517" customFormat="1" ht="13.5" thickBot="1" x14ac:dyDescent="0.25">
      <c r="A10" s="1756" t="s">
        <v>1235</v>
      </c>
      <c r="B10" s="1729"/>
      <c r="C10" s="1708">
        <f>SUM(C8:C9)</f>
        <v>11165866</v>
      </c>
      <c r="D10" s="1708">
        <f t="shared" ref="D10:K10" si="1">SUM(D8:D9)</f>
        <v>0</v>
      </c>
      <c r="E10" s="1708">
        <f t="shared" si="1"/>
        <v>0</v>
      </c>
      <c r="F10" s="1708">
        <f t="shared" si="1"/>
        <v>10885</v>
      </c>
      <c r="G10" s="1708">
        <f t="shared" si="1"/>
        <v>0</v>
      </c>
      <c r="H10" s="1708">
        <f t="shared" si="1"/>
        <v>0</v>
      </c>
      <c r="I10" s="1708">
        <f t="shared" si="1"/>
        <v>0</v>
      </c>
      <c r="J10" s="1708">
        <f t="shared" si="1"/>
        <v>0</v>
      </c>
      <c r="K10" s="1708">
        <f t="shared" si="1"/>
        <v>0</v>
      </c>
      <c r="L10" s="516"/>
    </row>
    <row r="11" spans="1:13" s="517" customFormat="1" ht="16.7" customHeight="1" thickTop="1" x14ac:dyDescent="0.2">
      <c r="A11" s="2243" t="s">
        <v>1238</v>
      </c>
      <c r="B11" s="2244"/>
      <c r="C11" s="1590"/>
      <c r="D11" s="1591"/>
      <c r="E11" s="1591"/>
      <c r="F11" s="1591"/>
      <c r="G11" s="1591"/>
      <c r="H11" s="1591"/>
      <c r="I11" s="1591"/>
      <c r="J11" s="1591"/>
      <c r="K11" s="1592"/>
      <c r="L11" s="516"/>
    </row>
    <row r="12" spans="1:13" ht="15.75" customHeight="1" x14ac:dyDescent="0.2">
      <c r="A12" s="1596" t="s">
        <v>476</v>
      </c>
      <c r="B12" s="1598">
        <v>1000</v>
      </c>
      <c r="C12" s="1762">
        <f>'Expenditures 15-22'!K33</f>
        <v>1412836</v>
      </c>
      <c r="D12" s="518" t="s">
        <v>1231</v>
      </c>
      <c r="E12" s="468" t="s">
        <v>1231</v>
      </c>
      <c r="F12" s="468" t="s">
        <v>1231</v>
      </c>
      <c r="G12" s="1762">
        <f>'Expenditures 15-22'!K229</f>
        <v>0</v>
      </c>
      <c r="H12" s="519"/>
      <c r="I12" s="468" t="s">
        <v>1231</v>
      </c>
      <c r="J12" s="468" t="s">
        <v>1231</v>
      </c>
      <c r="K12" s="519" t="s">
        <v>1231</v>
      </c>
      <c r="L12" s="347"/>
    </row>
    <row r="13" spans="1:13" ht="15.75" customHeight="1" x14ac:dyDescent="0.2">
      <c r="A13" s="1596" t="s">
        <v>477</v>
      </c>
      <c r="B13" s="1598">
        <v>2000</v>
      </c>
      <c r="C13" s="1763">
        <f>'Expenditures 15-22'!K74</f>
        <v>3138266</v>
      </c>
      <c r="D13" s="1763">
        <f>'Expenditures 15-22'!K129</f>
        <v>0</v>
      </c>
      <c r="E13" s="469" t="s">
        <v>1231</v>
      </c>
      <c r="F13" s="1763">
        <f>'Expenditures 15-22'!K184</f>
        <v>11204</v>
      </c>
      <c r="G13" s="1763">
        <f>'Expenditures 15-22'!K279</f>
        <v>0</v>
      </c>
      <c r="H13" s="1763">
        <f>'Expenditures 15-22'!K303</f>
        <v>0</v>
      </c>
      <c r="I13" s="468" t="s">
        <v>1231</v>
      </c>
      <c r="J13" s="1763">
        <f>'Expenditures 15-22'!K330</f>
        <v>0</v>
      </c>
      <c r="K13" s="1767">
        <f>'Expenditures 15-22'!K352</f>
        <v>0</v>
      </c>
      <c r="L13" s="347"/>
    </row>
    <row r="14" spans="1:13" ht="15.75" customHeight="1" x14ac:dyDescent="0.2">
      <c r="A14" s="1596" t="s">
        <v>469</v>
      </c>
      <c r="B14" s="1598">
        <v>3000</v>
      </c>
      <c r="C14" s="1763">
        <f>'Expenditures 15-22'!K75</f>
        <v>0</v>
      </c>
      <c r="D14" s="1763">
        <f>'Expenditures 15-22'!K130</f>
        <v>0</v>
      </c>
      <c r="E14" s="518" t="s">
        <v>1231</v>
      </c>
      <c r="F14" s="1763">
        <f>'Expenditures 15-22'!K185</f>
        <v>0</v>
      </c>
      <c r="G14" s="1763">
        <f>'Expenditures 15-22'!K280</f>
        <v>0</v>
      </c>
      <c r="H14" s="510"/>
      <c r="I14" s="468" t="s">
        <v>1231</v>
      </c>
      <c r="J14" s="468" t="s">
        <v>1231</v>
      </c>
      <c r="K14" s="510" t="s">
        <v>1231</v>
      </c>
      <c r="L14" s="347"/>
    </row>
    <row r="15" spans="1:13" ht="15.75" customHeight="1" x14ac:dyDescent="0.2">
      <c r="A15" s="1596" t="s">
        <v>109</v>
      </c>
      <c r="B15" s="1598">
        <v>4000</v>
      </c>
      <c r="C15" s="1763">
        <f>'Expenditures 15-22'!K102</f>
        <v>5237058</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0</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9788160</v>
      </c>
      <c r="D17" s="1708">
        <f t="shared" si="2"/>
        <v>0</v>
      </c>
      <c r="E17" s="1708">
        <f t="shared" si="2"/>
        <v>0</v>
      </c>
      <c r="F17" s="1708">
        <f t="shared" si="2"/>
        <v>11204</v>
      </c>
      <c r="G17" s="1708">
        <f t="shared" si="2"/>
        <v>0</v>
      </c>
      <c r="H17" s="1708">
        <f t="shared" si="2"/>
        <v>0</v>
      </c>
      <c r="I17" s="468"/>
      <c r="J17" s="1708">
        <f>SUM(J12:J16)</f>
        <v>0</v>
      </c>
      <c r="K17" s="1708">
        <f>SUM(K12:K16)</f>
        <v>0</v>
      </c>
      <c r="L17" s="347"/>
    </row>
    <row r="18" spans="1:12" ht="15" customHeight="1" thickTop="1" x14ac:dyDescent="0.2">
      <c r="A18" s="1764" t="s">
        <v>1753</v>
      </c>
      <c r="B18" s="1765">
        <v>4180</v>
      </c>
      <c r="C18" s="1762">
        <f t="shared" ref="C18:H18" si="3">C9</f>
        <v>1078424</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10866584</v>
      </c>
      <c r="D19" s="1708">
        <f t="shared" si="4"/>
        <v>0</v>
      </c>
      <c r="E19" s="1708">
        <f t="shared" si="4"/>
        <v>0</v>
      </c>
      <c r="F19" s="1708">
        <f t="shared" si="4"/>
        <v>11204</v>
      </c>
      <c r="G19" s="1708">
        <f t="shared" si="4"/>
        <v>0</v>
      </c>
      <c r="H19" s="1708">
        <f t="shared" si="4"/>
        <v>0</v>
      </c>
      <c r="I19" s="468"/>
      <c r="J19" s="1708">
        <f>SUM(J17:J18)</f>
        <v>0</v>
      </c>
      <c r="K19" s="1708">
        <f>SUM(K17:K18)</f>
        <v>0</v>
      </c>
      <c r="L19" s="347"/>
    </row>
    <row r="20" spans="1:12" ht="16.5" thickTop="1" thickBot="1" x14ac:dyDescent="0.25">
      <c r="A20" s="2259" t="s">
        <v>1754</v>
      </c>
      <c r="B20" s="2260"/>
      <c r="C20" s="1766">
        <f>C8-C17</f>
        <v>299282</v>
      </c>
      <c r="D20" s="1766">
        <f t="shared" ref="D20:K20" si="5">D8-D17</f>
        <v>0</v>
      </c>
      <c r="E20" s="1766">
        <f t="shared" si="5"/>
        <v>0</v>
      </c>
      <c r="F20" s="1766">
        <f t="shared" si="5"/>
        <v>-319</v>
      </c>
      <c r="G20" s="1766">
        <f t="shared" si="5"/>
        <v>0</v>
      </c>
      <c r="H20" s="1766">
        <f t="shared" si="5"/>
        <v>0</v>
      </c>
      <c r="I20" s="1766">
        <f t="shared" si="5"/>
        <v>0</v>
      </c>
      <c r="J20" s="1766">
        <f t="shared" si="5"/>
        <v>0</v>
      </c>
      <c r="K20" s="1766">
        <f t="shared" si="5"/>
        <v>0</v>
      </c>
      <c r="L20" s="347"/>
    </row>
    <row r="21" spans="1:12" ht="16.7" customHeight="1" thickTop="1" x14ac:dyDescent="0.2">
      <c r="A21" s="2271" t="s">
        <v>616</v>
      </c>
      <c r="B21" s="2272"/>
      <c r="C21" s="1590"/>
      <c r="D21" s="1591"/>
      <c r="E21" s="1591"/>
      <c r="F21" s="1591"/>
      <c r="G21" s="1591"/>
      <c r="H21" s="1591"/>
      <c r="I21" s="1591"/>
      <c r="J21" s="1591"/>
      <c r="K21" s="1592"/>
      <c r="L21" s="522"/>
    </row>
    <row r="22" spans="1:12" ht="15.75" customHeight="1" collapsed="1" x14ac:dyDescent="0.2">
      <c r="A22" s="2267" t="s">
        <v>617</v>
      </c>
      <c r="B22" s="2268"/>
      <c r="C22" s="476"/>
      <c r="D22" s="476"/>
      <c r="E22" s="476"/>
      <c r="F22" s="476"/>
      <c r="G22" s="476"/>
      <c r="H22" s="476"/>
      <c r="I22" s="476"/>
      <c r="J22" s="476"/>
      <c r="K22" s="476"/>
      <c r="L22" s="347"/>
    </row>
    <row r="23" spans="1:12" s="484" customFormat="1" ht="15.75" customHeight="1" x14ac:dyDescent="0.2">
      <c r="A23" s="2263" t="s">
        <v>311</v>
      </c>
      <c r="B23" s="2264"/>
      <c r="C23" s="479"/>
      <c r="D23" s="476"/>
      <c r="E23" s="476"/>
      <c r="F23" s="476"/>
      <c r="G23" s="476"/>
      <c r="H23" s="476"/>
      <c r="I23" s="476"/>
      <c r="J23" s="476"/>
      <c r="K23" s="476"/>
      <c r="L23" s="522"/>
    </row>
    <row r="24" spans="1:12" s="484" customFormat="1" ht="13.5" customHeight="1" x14ac:dyDescent="0.2">
      <c r="A24" s="1509" t="s">
        <v>1755</v>
      </c>
      <c r="B24" s="523">
        <v>7110</v>
      </c>
      <c r="C24" s="465"/>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1894</v>
      </c>
      <c r="B30" s="525">
        <v>7160</v>
      </c>
      <c r="C30" s="476"/>
      <c r="D30" s="467">
        <v>0</v>
      </c>
      <c r="E30" s="476"/>
      <c r="F30" s="476"/>
      <c r="G30" s="476"/>
      <c r="H30" s="476"/>
      <c r="I30" s="476"/>
      <c r="J30" s="476"/>
      <c r="K30" s="476"/>
      <c r="L30" s="522"/>
    </row>
    <row r="31" spans="1:12" s="484" customFormat="1" ht="26.25" x14ac:dyDescent="0.2">
      <c r="A31" s="1509" t="s">
        <v>1898</v>
      </c>
      <c r="B31" s="525">
        <v>7170</v>
      </c>
      <c r="C31" s="476"/>
      <c r="D31" s="476"/>
      <c r="E31" s="474">
        <v>0</v>
      </c>
      <c r="F31" s="476"/>
      <c r="G31" s="476"/>
      <c r="H31" s="476"/>
      <c r="I31" s="476"/>
      <c r="J31" s="476"/>
      <c r="K31" s="476"/>
      <c r="L31" s="522"/>
    </row>
    <row r="32" spans="1:12" s="484" customFormat="1" ht="15.75" customHeight="1" x14ac:dyDescent="0.2">
      <c r="A32" s="2265" t="s">
        <v>1038</v>
      </c>
      <c r="B32" s="2266"/>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273" t="s">
        <v>392</v>
      </c>
      <c r="B44" s="2274"/>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2"/>
    </row>
    <row r="45" spans="1:12" ht="15.75" customHeight="1" thickTop="1" x14ac:dyDescent="0.2">
      <c r="A45" s="2267" t="s">
        <v>110</v>
      </c>
      <c r="B45" s="2268"/>
      <c r="C45" s="526"/>
      <c r="D45" s="526"/>
      <c r="E45" s="526"/>
      <c r="F45" s="526"/>
      <c r="G45" s="526"/>
      <c r="H45" s="526"/>
      <c r="I45" s="526"/>
      <c r="J45" s="526"/>
      <c r="K45" s="526"/>
      <c r="L45" s="347"/>
    </row>
    <row r="46" spans="1:12" s="484" customFormat="1" ht="15.75" customHeight="1" x14ac:dyDescent="0.2">
      <c r="A46" s="2275" t="s">
        <v>111</v>
      </c>
      <c r="B46" s="2276"/>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1897</v>
      </c>
      <c r="B52" s="482">
        <v>8160</v>
      </c>
      <c r="C52" s="476"/>
      <c r="D52" s="476"/>
      <c r="E52" s="476"/>
      <c r="F52" s="476"/>
      <c r="G52" s="476"/>
      <c r="H52" s="476"/>
      <c r="I52" s="476"/>
      <c r="J52" s="476"/>
      <c r="K52" s="1763">
        <f>D30</f>
        <v>0</v>
      </c>
      <c r="L52" s="522"/>
    </row>
    <row r="53" spans="1:12" s="484" customFormat="1" ht="26.25" x14ac:dyDescent="0.2">
      <c r="A53" s="1510" t="s">
        <v>1896</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249" t="s">
        <v>460</v>
      </c>
      <c r="B76" s="2250"/>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251" t="s">
        <v>1239</v>
      </c>
      <c r="B77" s="2252"/>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255" t="s">
        <v>618</v>
      </c>
      <c r="B78" s="2256"/>
      <c r="C78" s="1722">
        <f t="shared" ref="C78:K78" si="9">C20+C77</f>
        <v>299282</v>
      </c>
      <c r="D78" s="1722">
        <f t="shared" si="9"/>
        <v>0</v>
      </c>
      <c r="E78" s="1722">
        <f t="shared" si="9"/>
        <v>0</v>
      </c>
      <c r="F78" s="1722">
        <f t="shared" si="9"/>
        <v>-319</v>
      </c>
      <c r="G78" s="1722">
        <f t="shared" si="9"/>
        <v>0</v>
      </c>
      <c r="H78" s="1722">
        <f t="shared" si="9"/>
        <v>0</v>
      </c>
      <c r="I78" s="1722">
        <f t="shared" si="9"/>
        <v>0</v>
      </c>
      <c r="J78" s="1722">
        <f t="shared" si="9"/>
        <v>0</v>
      </c>
      <c r="K78" s="1722">
        <f t="shared" si="9"/>
        <v>0</v>
      </c>
      <c r="L78" s="531"/>
    </row>
    <row r="79" spans="1:12" ht="13.5" thickTop="1" x14ac:dyDescent="0.2">
      <c r="A79" s="1514" t="s">
        <v>2070</v>
      </c>
      <c r="B79" s="532"/>
      <c r="C79" s="467">
        <v>311771</v>
      </c>
      <c r="D79" s="467">
        <v>472037</v>
      </c>
      <c r="E79" s="467">
        <v>0</v>
      </c>
      <c r="F79" s="467">
        <v>4597</v>
      </c>
      <c r="G79" s="467">
        <v>0</v>
      </c>
      <c r="H79" s="467">
        <v>0</v>
      </c>
      <c r="I79" s="467">
        <v>0</v>
      </c>
      <c r="J79" s="467">
        <v>0</v>
      </c>
      <c r="K79" s="467">
        <v>0</v>
      </c>
      <c r="L79" s="347"/>
    </row>
    <row r="80" spans="1:12" x14ac:dyDescent="0.2">
      <c r="A80" s="2261" t="s">
        <v>1895</v>
      </c>
      <c r="B80" s="2262"/>
      <c r="C80" s="467">
        <v>0</v>
      </c>
      <c r="D80" s="467">
        <v>0</v>
      </c>
      <c r="E80" s="467">
        <v>0</v>
      </c>
      <c r="F80" s="467">
        <v>0</v>
      </c>
      <c r="G80" s="467">
        <v>0</v>
      </c>
      <c r="H80" s="467">
        <v>0</v>
      </c>
      <c r="I80" s="467">
        <v>0</v>
      </c>
      <c r="J80" s="467">
        <v>0</v>
      </c>
      <c r="K80" s="467">
        <v>0</v>
      </c>
      <c r="L80" s="347"/>
    </row>
    <row r="81" spans="1:12" ht="13.5" thickBot="1" x14ac:dyDescent="0.25">
      <c r="A81" s="2253" t="s">
        <v>2071</v>
      </c>
      <c r="B81" s="2254"/>
      <c r="C81" s="1708">
        <f>(SUM(C78:C80))</f>
        <v>611053</v>
      </c>
      <c r="D81" s="1708">
        <f>SUM(D78:D80)</f>
        <v>472037</v>
      </c>
      <c r="E81" s="1708">
        <f t="shared" ref="E81:K81" si="10">SUM(E78:E80)</f>
        <v>0</v>
      </c>
      <c r="F81" s="1708">
        <f t="shared" si="10"/>
        <v>4278</v>
      </c>
      <c r="G81" s="1708">
        <f t="shared" si="10"/>
        <v>0</v>
      </c>
      <c r="H81" s="1708">
        <f t="shared" si="10"/>
        <v>0</v>
      </c>
      <c r="I81" s="1708">
        <f t="shared" si="10"/>
        <v>0</v>
      </c>
      <c r="J81" s="1708">
        <f t="shared" si="10"/>
        <v>0</v>
      </c>
      <c r="K81" s="1708">
        <f t="shared" si="10"/>
        <v>0</v>
      </c>
      <c r="L81" s="347"/>
    </row>
    <row r="82" spans="1:12" ht="0.75" customHeight="1" thickTop="1" thickBot="1" x14ac:dyDescent="0.25">
      <c r="A82" s="534" t="s">
        <v>361</v>
      </c>
      <c r="B82" s="535"/>
      <c r="C82" s="536">
        <f>(C81-C79)</f>
        <v>299282</v>
      </c>
      <c r="D82" s="536">
        <f t="shared" ref="D82:K82" si="11">(D81-D79)</f>
        <v>0</v>
      </c>
      <c r="E82" s="536">
        <f t="shared" si="11"/>
        <v>0</v>
      </c>
      <c r="F82" s="536">
        <f t="shared" si="11"/>
        <v>-319</v>
      </c>
      <c r="G82" s="536">
        <f t="shared" si="11"/>
        <v>0</v>
      </c>
      <c r="H82" s="536">
        <f t="shared" si="11"/>
        <v>0</v>
      </c>
      <c r="I82" s="536">
        <f t="shared" si="11"/>
        <v>0</v>
      </c>
      <c r="J82" s="536">
        <f t="shared" si="11"/>
        <v>0</v>
      </c>
      <c r="K82" s="536">
        <f t="shared" si="11"/>
        <v>0</v>
      </c>
    </row>
    <row r="83" spans="1:12" ht="14.25" hidden="1" thickTop="1" thickBot="1" x14ac:dyDescent="0.25">
      <c r="A83" s="537" t="s">
        <v>362</v>
      </c>
      <c r="B83" s="464"/>
      <c r="C83" s="538">
        <f>C82/C81</f>
        <v>0.489780755515479</v>
      </c>
      <c r="D83" s="538">
        <f t="shared" ref="D83:K83" si="12">D82/D81</f>
        <v>0</v>
      </c>
      <c r="E83" s="538" t="e">
        <f t="shared" si="12"/>
        <v>#DIV/0!</v>
      </c>
      <c r="F83" s="538">
        <f t="shared" si="12"/>
        <v>-7.4567554932211316E-2</v>
      </c>
      <c r="G83" s="538" t="e">
        <f t="shared" si="12"/>
        <v>#DIV/0!</v>
      </c>
      <c r="H83" s="538" t="e">
        <f t="shared" si="12"/>
        <v>#DIV/0!</v>
      </c>
      <c r="I83" s="538" t="e">
        <f t="shared" si="12"/>
        <v>#DIV/0!</v>
      </c>
      <c r="J83" s="538" t="e">
        <f t="shared" si="12"/>
        <v>#DIV/0!</v>
      </c>
      <c r="K83" s="538" t="e">
        <f t="shared" si="12"/>
        <v>#DIV/0!</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25" sqref="C2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257" t="s">
        <v>1902</v>
      </c>
      <c r="B1" s="452"/>
      <c r="C1" s="453" t="s">
        <v>445</v>
      </c>
      <c r="D1" s="453" t="s">
        <v>446</v>
      </c>
      <c r="E1" s="453" t="s">
        <v>447</v>
      </c>
      <c r="F1" s="453" t="s">
        <v>448</v>
      </c>
      <c r="G1" s="453" t="s">
        <v>449</v>
      </c>
      <c r="H1" s="453" t="s">
        <v>450</v>
      </c>
      <c r="I1" s="453" t="s">
        <v>451</v>
      </c>
      <c r="J1" s="453" t="s">
        <v>452</v>
      </c>
      <c r="K1" s="453" t="s">
        <v>780</v>
      </c>
    </row>
    <row r="2" spans="1:12" ht="36" x14ac:dyDescent="0.2">
      <c r="A2" s="2258"/>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0</v>
      </c>
      <c r="D5" s="480">
        <v>0</v>
      </c>
      <c r="E5" s="480">
        <v>0</v>
      </c>
      <c r="F5" s="546">
        <v>0</v>
      </c>
      <c r="G5" s="466">
        <v>0</v>
      </c>
      <c r="H5" s="466">
        <v>0</v>
      </c>
      <c r="I5" s="466">
        <v>0</v>
      </c>
      <c r="J5" s="466">
        <v>0</v>
      </c>
      <c r="K5" s="466">
        <v>0</v>
      </c>
    </row>
    <row r="6" spans="1:12" ht="15" x14ac:dyDescent="0.2">
      <c r="A6" s="463" t="s">
        <v>1761</v>
      </c>
      <c r="B6" s="470">
        <v>1130</v>
      </c>
      <c r="C6" s="466">
        <v>0</v>
      </c>
      <c r="D6" s="466">
        <v>0</v>
      </c>
      <c r="E6" s="475"/>
      <c r="F6" s="475"/>
      <c r="G6" s="468"/>
      <c r="H6" s="468"/>
      <c r="I6" s="468"/>
      <c r="J6" s="468"/>
      <c r="K6" s="468"/>
    </row>
    <row r="7" spans="1:12" x14ac:dyDescent="0.2">
      <c r="A7" s="463" t="s">
        <v>112</v>
      </c>
      <c r="B7" s="547">
        <v>1140</v>
      </c>
      <c r="C7" s="466">
        <v>0</v>
      </c>
      <c r="D7" s="466">
        <v>0</v>
      </c>
      <c r="E7" s="468"/>
      <c r="F7" s="467">
        <v>0</v>
      </c>
      <c r="G7" s="467">
        <v>0</v>
      </c>
      <c r="H7" s="467">
        <v>0</v>
      </c>
      <c r="I7" s="468"/>
      <c r="J7" s="468"/>
      <c r="K7" s="468"/>
    </row>
    <row r="8" spans="1:12" x14ac:dyDescent="0.2">
      <c r="A8" s="463" t="s">
        <v>433</v>
      </c>
      <c r="B8" s="470">
        <v>1150</v>
      </c>
      <c r="C8" s="475"/>
      <c r="D8" s="475"/>
      <c r="E8" s="476"/>
      <c r="F8" s="476"/>
      <c r="G8" s="480">
        <v>0</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0</v>
      </c>
      <c r="D12" s="1727">
        <f t="shared" si="0"/>
        <v>0</v>
      </c>
      <c r="E12" s="1727">
        <f t="shared" si="0"/>
        <v>0</v>
      </c>
      <c r="F12" s="1727">
        <f t="shared" si="0"/>
        <v>0</v>
      </c>
      <c r="G12" s="1727">
        <f t="shared" si="0"/>
        <v>0</v>
      </c>
      <c r="H12" s="1727">
        <f t="shared" si="0"/>
        <v>0</v>
      </c>
      <c r="I12" s="1727">
        <f t="shared" si="0"/>
        <v>0</v>
      </c>
      <c r="J12" s="1727">
        <f t="shared" si="0"/>
        <v>0</v>
      </c>
      <c r="K12" s="1708">
        <f t="shared" si="0"/>
        <v>0</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0</v>
      </c>
      <c r="D14" s="466">
        <v>0</v>
      </c>
      <c r="E14" s="466">
        <v>0</v>
      </c>
      <c r="F14" s="466">
        <v>0</v>
      </c>
      <c r="G14" s="466">
        <v>0</v>
      </c>
      <c r="H14" s="466">
        <v>0</v>
      </c>
      <c r="I14" s="466">
        <v>0</v>
      </c>
      <c r="J14" s="467">
        <v>0</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0</v>
      </c>
      <c r="D16" s="466">
        <v>0</v>
      </c>
      <c r="E16" s="466">
        <v>0</v>
      </c>
      <c r="F16" s="466">
        <v>0</v>
      </c>
      <c r="G16" s="466">
        <v>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0</v>
      </c>
      <c r="D18" s="1730">
        <f t="shared" ref="D18:K18" si="1">SUM(D14:D17)</f>
        <v>0</v>
      </c>
      <c r="E18" s="1730">
        <f t="shared" si="1"/>
        <v>0</v>
      </c>
      <c r="F18" s="1730">
        <f t="shared" si="1"/>
        <v>0</v>
      </c>
      <c r="G18" s="1730">
        <f t="shared" si="1"/>
        <v>0</v>
      </c>
      <c r="H18" s="1730">
        <f t="shared" si="1"/>
        <v>0</v>
      </c>
      <c r="I18" s="1730">
        <f t="shared" si="1"/>
        <v>0</v>
      </c>
      <c r="J18" s="1730">
        <f t="shared" si="1"/>
        <v>0</v>
      </c>
      <c r="K18" s="1731">
        <f t="shared" si="1"/>
        <v>0</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96792</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3495296</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3592088</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15291</v>
      </c>
      <c r="D65" s="466">
        <v>0</v>
      </c>
      <c r="E65" s="466">
        <v>0</v>
      </c>
      <c r="F65" s="467">
        <v>0</v>
      </c>
      <c r="G65" s="466">
        <v>0</v>
      </c>
      <c r="H65" s="466">
        <v>0</v>
      </c>
      <c r="I65" s="466">
        <v>0</v>
      </c>
      <c r="J65" s="467">
        <v>0</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15291</v>
      </c>
      <c r="D67" s="1708">
        <f t="shared" ref="D67:K67" si="2">SUM(D65:D66)</f>
        <v>0</v>
      </c>
      <c r="E67" s="1708">
        <f t="shared" si="2"/>
        <v>0</v>
      </c>
      <c r="F67" s="1708">
        <f t="shared" si="2"/>
        <v>0</v>
      </c>
      <c r="G67" s="1708">
        <f t="shared" si="2"/>
        <v>0</v>
      </c>
      <c r="H67" s="1708">
        <f t="shared" si="2"/>
        <v>0</v>
      </c>
      <c r="I67" s="1708">
        <f t="shared" si="2"/>
        <v>0</v>
      </c>
      <c r="J67" s="1708">
        <f t="shared" si="2"/>
        <v>0</v>
      </c>
      <c r="K67" s="1708">
        <f t="shared" si="2"/>
        <v>0</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5115</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16</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8" t="s">
        <v>569</v>
      </c>
      <c r="B75" s="1729"/>
      <c r="C75" s="1708">
        <f>SUM(C69:C74)</f>
        <v>5131</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0</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8" t="s">
        <v>259</v>
      </c>
      <c r="B82" s="1729"/>
      <c r="C82" s="1727">
        <f>SUM(C77:C81)</f>
        <v>0</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0</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0</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0</v>
      </c>
      <c r="E95" s="519"/>
      <c r="F95" s="519"/>
      <c r="G95" s="519"/>
      <c r="H95" s="519"/>
      <c r="I95" s="519"/>
      <c r="J95" s="519"/>
      <c r="K95" s="519"/>
    </row>
    <row r="96" spans="1:11" ht="12.75" customHeight="1" x14ac:dyDescent="0.2">
      <c r="A96" s="463" t="s">
        <v>409</v>
      </c>
      <c r="B96" s="470">
        <v>1920</v>
      </c>
      <c r="C96" s="549">
        <v>0</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0</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0</v>
      </c>
      <c r="I103" s="468"/>
      <c r="J103" s="508"/>
      <c r="K103" s="508"/>
    </row>
    <row r="104" spans="1:12" ht="12.75" customHeight="1" x14ac:dyDescent="0.2">
      <c r="A104" s="463" t="s">
        <v>885</v>
      </c>
      <c r="B104" s="470">
        <v>1991</v>
      </c>
      <c r="C104" s="487">
        <v>287864</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1342</v>
      </c>
      <c r="D107" s="466">
        <v>0</v>
      </c>
      <c r="E107" s="466">
        <v>0</v>
      </c>
      <c r="F107" s="466">
        <v>0</v>
      </c>
      <c r="G107" s="466">
        <v>0</v>
      </c>
      <c r="H107" s="466">
        <v>0</v>
      </c>
      <c r="I107" s="466">
        <v>0</v>
      </c>
      <c r="J107" s="467">
        <v>0</v>
      </c>
      <c r="K107" s="466">
        <v>0</v>
      </c>
    </row>
    <row r="108" spans="1:12" ht="12.75" customHeight="1" thickBot="1" x14ac:dyDescent="0.25">
      <c r="A108" s="1728" t="s">
        <v>508</v>
      </c>
      <c r="B108" s="1732"/>
      <c r="C108" s="1727">
        <f>SUM(C95:C107)</f>
        <v>289206</v>
      </c>
      <c r="D108" s="1727">
        <f t="shared" ref="D108:K108" si="3">SUM(D95:D107)</f>
        <v>0</v>
      </c>
      <c r="E108" s="1727">
        <f t="shared" si="3"/>
        <v>0</v>
      </c>
      <c r="F108" s="1727">
        <f t="shared" si="3"/>
        <v>0</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3901716</v>
      </c>
      <c r="D109" s="1735">
        <f t="shared" si="4"/>
        <v>0</v>
      </c>
      <c r="E109" s="1735">
        <f t="shared" si="4"/>
        <v>0</v>
      </c>
      <c r="F109" s="1735">
        <f t="shared" si="4"/>
        <v>0</v>
      </c>
      <c r="G109" s="1735">
        <f t="shared" si="4"/>
        <v>0</v>
      </c>
      <c r="H109" s="1735">
        <f t="shared" si="4"/>
        <v>0</v>
      </c>
      <c r="I109" s="1735">
        <f t="shared" si="4"/>
        <v>0</v>
      </c>
      <c r="J109" s="1735">
        <f t="shared" si="4"/>
        <v>0</v>
      </c>
      <c r="K109" s="1722">
        <f t="shared" si="4"/>
        <v>0</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2891901</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2891901</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407593</v>
      </c>
      <c r="D117" s="480">
        <v>0</v>
      </c>
      <c r="E117" s="466">
        <v>0</v>
      </c>
      <c r="F117" s="480">
        <v>0</v>
      </c>
      <c r="G117" s="480">
        <v>0</v>
      </c>
      <c r="H117" s="466">
        <v>0</v>
      </c>
      <c r="I117" s="468"/>
      <c r="J117" s="467">
        <v>0</v>
      </c>
      <c r="K117" s="466">
        <v>0</v>
      </c>
    </row>
    <row r="118" spans="1:11" ht="12.75" customHeight="1" x14ac:dyDescent="0.2">
      <c r="A118" s="463" t="s">
        <v>1899</v>
      </c>
      <c r="B118" s="560">
        <v>3002</v>
      </c>
      <c r="C118" s="549">
        <v>0</v>
      </c>
      <c r="D118" s="466">
        <v>0</v>
      </c>
      <c r="E118" s="466">
        <v>0</v>
      </c>
      <c r="F118" s="466">
        <v>0</v>
      </c>
      <c r="G118" s="466">
        <v>0</v>
      </c>
      <c r="H118" s="466">
        <v>0</v>
      </c>
      <c r="I118" s="468"/>
      <c r="J118" s="467">
        <v>0</v>
      </c>
      <c r="K118" s="466">
        <v>0</v>
      </c>
    </row>
    <row r="119" spans="1:11" ht="12.75" customHeight="1" x14ac:dyDescent="0.2">
      <c r="A119" s="463" t="s">
        <v>1900</v>
      </c>
      <c r="B119" s="560">
        <v>3005</v>
      </c>
      <c r="C119" s="549">
        <v>0</v>
      </c>
      <c r="D119" s="466">
        <v>0</v>
      </c>
      <c r="E119" s="466">
        <v>0</v>
      </c>
      <c r="F119" s="466">
        <v>0</v>
      </c>
      <c r="G119" s="466">
        <v>0</v>
      </c>
      <c r="H119" s="466">
        <v>0</v>
      </c>
      <c r="I119" s="468"/>
      <c r="J119" s="467">
        <v>0</v>
      </c>
      <c r="K119" s="466">
        <v>0</v>
      </c>
    </row>
    <row r="120" spans="1:11" x14ac:dyDescent="0.2">
      <c r="A120" s="1516" t="s">
        <v>1901</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407593</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0</v>
      </c>
      <c r="D124" s="559"/>
      <c r="E124" s="468"/>
      <c r="F124" s="546">
        <v>0</v>
      </c>
      <c r="G124" s="468"/>
      <c r="H124" s="468"/>
      <c r="I124" s="468"/>
      <c r="J124" s="468"/>
      <c r="K124" s="468"/>
    </row>
    <row r="125" spans="1:11" ht="12.75" customHeight="1" x14ac:dyDescent="0.2">
      <c r="A125" s="463" t="s">
        <v>1521</v>
      </c>
      <c r="B125" s="560">
        <v>3105</v>
      </c>
      <c r="C125" s="466">
        <v>0</v>
      </c>
      <c r="D125" s="559"/>
      <c r="E125" s="468"/>
      <c r="F125" s="466">
        <v>0</v>
      </c>
      <c r="G125" s="468"/>
      <c r="H125" s="468"/>
      <c r="I125" s="468"/>
      <c r="J125" s="468"/>
      <c r="K125" s="468"/>
    </row>
    <row r="126" spans="1:11" ht="12.75" customHeight="1" x14ac:dyDescent="0.2">
      <c r="A126" s="463" t="s">
        <v>922</v>
      </c>
      <c r="B126" s="560">
        <v>3110</v>
      </c>
      <c r="C126" s="549">
        <v>203796</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203796</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0</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244</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0</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0</v>
      </c>
      <c r="G151" s="467">
        <v>0</v>
      </c>
      <c r="H151" s="468"/>
      <c r="I151" s="468"/>
      <c r="J151" s="468"/>
      <c r="K151" s="468"/>
    </row>
    <row r="152" spans="1:11" ht="12.75" customHeight="1" x14ac:dyDescent="0.2">
      <c r="A152" s="463" t="s">
        <v>1117</v>
      </c>
      <c r="B152" s="560">
        <v>3510</v>
      </c>
      <c r="C152" s="549">
        <v>0</v>
      </c>
      <c r="D152" s="466">
        <v>0</v>
      </c>
      <c r="E152" s="559"/>
      <c r="F152" s="466">
        <v>10885</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10885</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0</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0</v>
      </c>
      <c r="D171" s="578">
        <v>0</v>
      </c>
      <c r="E171" s="578">
        <v>0</v>
      </c>
      <c r="F171" s="578">
        <v>0</v>
      </c>
      <c r="G171" s="579">
        <v>0</v>
      </c>
      <c r="H171" s="580">
        <v>0</v>
      </c>
      <c r="I171" s="579">
        <v>0</v>
      </c>
      <c r="J171" s="579">
        <v>0</v>
      </c>
      <c r="K171" s="580">
        <v>0</v>
      </c>
    </row>
    <row r="172" spans="1:11" ht="12.75" customHeight="1" thickTop="1" thickBot="1" x14ac:dyDescent="0.25">
      <c r="A172" s="2277" t="s">
        <v>418</v>
      </c>
      <c r="B172" s="2278"/>
      <c r="C172" s="1742">
        <f t="shared" ref="C172:K172" si="6">SUM(C131,C140,C144,C145:C149,C154,C155:C170,C171)</f>
        <v>204040</v>
      </c>
      <c r="D172" s="1742">
        <f t="shared" si="6"/>
        <v>0</v>
      </c>
      <c r="E172" s="1742">
        <f t="shared" si="6"/>
        <v>0</v>
      </c>
      <c r="F172" s="1742">
        <f t="shared" si="6"/>
        <v>10885</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611633</v>
      </c>
      <c r="D173" s="1735">
        <f>SUM(D121,D172)</f>
        <v>0</v>
      </c>
      <c r="E173" s="1735">
        <f>SUM(E121,E172)</f>
        <v>0</v>
      </c>
      <c r="F173" s="1735">
        <f t="shared" ref="F173:K173" si="7">SUM(F121,F172)</f>
        <v>10885</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279" t="s">
        <v>1572</v>
      </c>
      <c r="B175" s="2280"/>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283" t="s">
        <v>1764</v>
      </c>
      <c r="B178" s="2284"/>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287" t="s">
        <v>1763</v>
      </c>
      <c r="B179" s="2288"/>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285" t="s">
        <v>818</v>
      </c>
      <c r="B184" s="2286"/>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281" t="s">
        <v>1903</v>
      </c>
      <c r="B185" s="2282"/>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20637</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0</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20637</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0</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0</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2432910</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2432910</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0</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36035</v>
      </c>
      <c r="D270" s="574">
        <v>0</v>
      </c>
      <c r="E270" s="468"/>
      <c r="F270" s="574">
        <v>0</v>
      </c>
      <c r="G270" s="574">
        <v>0</v>
      </c>
      <c r="H270" s="468"/>
      <c r="I270" s="468"/>
      <c r="J270" s="468"/>
      <c r="K270" s="468"/>
    </row>
    <row r="271" spans="1:11" ht="12.75" customHeight="1" thickTop="1" thickBot="1" x14ac:dyDescent="0.25">
      <c r="A271" s="463" t="s">
        <v>395</v>
      </c>
      <c r="B271" s="470">
        <v>4992</v>
      </c>
      <c r="C271" s="573">
        <v>397</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192213</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2682192</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2682192</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10087442</v>
      </c>
      <c r="D275" s="1735">
        <f t="shared" si="12"/>
        <v>0</v>
      </c>
      <c r="E275" s="1735">
        <f t="shared" si="12"/>
        <v>0</v>
      </c>
      <c r="F275" s="1735">
        <f t="shared" si="12"/>
        <v>10885</v>
      </c>
      <c r="G275" s="1735">
        <f t="shared" si="12"/>
        <v>0</v>
      </c>
      <c r="H275" s="1735">
        <f t="shared" si="12"/>
        <v>0</v>
      </c>
      <c r="I275" s="1735">
        <f t="shared" si="12"/>
        <v>0</v>
      </c>
      <c r="J275" s="1735">
        <f t="shared" si="12"/>
        <v>0</v>
      </c>
      <c r="K275" s="1722">
        <f t="shared" si="12"/>
        <v>0</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257" t="s">
        <v>1902</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291"/>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297" t="s">
        <v>315</v>
      </c>
      <c r="B3" s="2298"/>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0</v>
      </c>
      <c r="D5" s="466">
        <v>0</v>
      </c>
      <c r="E5" s="466">
        <v>0</v>
      </c>
      <c r="F5" s="466">
        <v>0</v>
      </c>
      <c r="G5" s="466">
        <v>0</v>
      </c>
      <c r="H5" s="466">
        <v>0</v>
      </c>
      <c r="I5" s="467">
        <v>0</v>
      </c>
      <c r="J5" s="467">
        <v>0</v>
      </c>
      <c r="K5" s="1691">
        <f>SUM(C5:J5)</f>
        <v>0</v>
      </c>
      <c r="L5" s="466">
        <v>0</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0</v>
      </c>
      <c r="D7" s="467">
        <v>0</v>
      </c>
      <c r="E7" s="467">
        <v>0</v>
      </c>
      <c r="F7" s="467">
        <v>0</v>
      </c>
      <c r="G7" s="467">
        <v>0</v>
      </c>
      <c r="H7" s="467">
        <v>0</v>
      </c>
      <c r="I7" s="467">
        <v>0</v>
      </c>
      <c r="J7" s="467">
        <v>0</v>
      </c>
      <c r="K7" s="1691">
        <f t="shared" ref="K7:K32" si="0">SUM(C7:J7)</f>
        <v>0</v>
      </c>
      <c r="L7" s="466">
        <v>0</v>
      </c>
    </row>
    <row r="8" spans="1:14" x14ac:dyDescent="0.2">
      <c r="A8" s="1524" t="s">
        <v>166</v>
      </c>
      <c r="B8" s="613">
        <v>1200</v>
      </c>
      <c r="C8" s="466">
        <v>961424</v>
      </c>
      <c r="D8" s="466">
        <v>232596</v>
      </c>
      <c r="E8" s="466">
        <v>18145</v>
      </c>
      <c r="F8" s="466">
        <v>7117</v>
      </c>
      <c r="G8" s="466">
        <v>1798</v>
      </c>
      <c r="H8" s="466">
        <v>0</v>
      </c>
      <c r="I8" s="467">
        <v>0</v>
      </c>
      <c r="J8" s="467">
        <v>0</v>
      </c>
      <c r="K8" s="1691">
        <f t="shared" si="0"/>
        <v>1221080</v>
      </c>
      <c r="L8" s="466">
        <v>1326000</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0</v>
      </c>
      <c r="D10" s="466">
        <v>0</v>
      </c>
      <c r="E10" s="466">
        <v>0</v>
      </c>
      <c r="F10" s="466">
        <v>0</v>
      </c>
      <c r="G10" s="466">
        <v>0</v>
      </c>
      <c r="H10" s="466">
        <v>0</v>
      </c>
      <c r="I10" s="467">
        <v>0</v>
      </c>
      <c r="J10" s="467">
        <v>0</v>
      </c>
      <c r="K10" s="1691">
        <f t="shared" si="0"/>
        <v>0</v>
      </c>
      <c r="L10" s="466">
        <v>0</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72153</v>
      </c>
      <c r="D13" s="466">
        <v>13561</v>
      </c>
      <c r="E13" s="466">
        <v>1646</v>
      </c>
      <c r="F13" s="466">
        <v>314</v>
      </c>
      <c r="G13" s="466">
        <v>0</v>
      </c>
      <c r="H13" s="466">
        <v>0</v>
      </c>
      <c r="I13" s="467">
        <v>0</v>
      </c>
      <c r="J13" s="467">
        <v>0</v>
      </c>
      <c r="K13" s="1691">
        <f t="shared" si="0"/>
        <v>87674</v>
      </c>
      <c r="L13" s="466">
        <v>89505</v>
      </c>
    </row>
    <row r="14" spans="1:14" x14ac:dyDescent="0.2">
      <c r="A14" s="1524" t="s">
        <v>1020</v>
      </c>
      <c r="B14" s="613">
        <v>1500</v>
      </c>
      <c r="C14" s="467">
        <v>0</v>
      </c>
      <c r="D14" s="466">
        <v>0</v>
      </c>
      <c r="E14" s="466">
        <v>0</v>
      </c>
      <c r="F14" s="466">
        <v>0</v>
      </c>
      <c r="G14" s="466">
        <v>0</v>
      </c>
      <c r="H14" s="466">
        <v>0</v>
      </c>
      <c r="I14" s="467">
        <v>0</v>
      </c>
      <c r="J14" s="467">
        <v>0</v>
      </c>
      <c r="K14" s="1691">
        <f t="shared" si="0"/>
        <v>0</v>
      </c>
      <c r="L14" s="466">
        <v>0</v>
      </c>
    </row>
    <row r="15" spans="1:14" x14ac:dyDescent="0.2">
      <c r="A15" s="1524" t="s">
        <v>1021</v>
      </c>
      <c r="B15" s="613">
        <v>1600</v>
      </c>
      <c r="C15" s="466">
        <v>92367</v>
      </c>
      <c r="D15" s="466">
        <v>7226</v>
      </c>
      <c r="E15" s="466">
        <v>3125</v>
      </c>
      <c r="F15" s="466">
        <v>1364</v>
      </c>
      <c r="G15" s="466">
        <v>0</v>
      </c>
      <c r="H15" s="466">
        <v>0</v>
      </c>
      <c r="I15" s="467">
        <v>0</v>
      </c>
      <c r="J15" s="467">
        <v>0</v>
      </c>
      <c r="K15" s="1691">
        <f t="shared" si="0"/>
        <v>104082</v>
      </c>
      <c r="L15" s="466">
        <v>97791</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0</v>
      </c>
      <c r="D17" s="467">
        <v>0</v>
      </c>
      <c r="E17" s="467">
        <v>0</v>
      </c>
      <c r="F17" s="467">
        <v>0</v>
      </c>
      <c r="G17" s="467">
        <v>0</v>
      </c>
      <c r="H17" s="467">
        <v>0</v>
      </c>
      <c r="I17" s="467">
        <v>0</v>
      </c>
      <c r="J17" s="467">
        <v>0</v>
      </c>
      <c r="K17" s="1691">
        <f t="shared" si="0"/>
        <v>0</v>
      </c>
      <c r="L17" s="466">
        <v>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0</v>
      </c>
      <c r="I22" s="615"/>
      <c r="J22" s="476"/>
      <c r="K22" s="1691">
        <f t="shared" si="0"/>
        <v>0</v>
      </c>
      <c r="L22" s="466">
        <v>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1125944</v>
      </c>
      <c r="D33" s="1690">
        <f t="shared" ref="D33:L33" si="1">SUM(D5:D32)</f>
        <v>253383</v>
      </c>
      <c r="E33" s="1690">
        <f t="shared" si="1"/>
        <v>22916</v>
      </c>
      <c r="F33" s="1690">
        <f t="shared" si="1"/>
        <v>8795</v>
      </c>
      <c r="G33" s="1690">
        <f t="shared" si="1"/>
        <v>1798</v>
      </c>
      <c r="H33" s="1690">
        <f t="shared" si="1"/>
        <v>0</v>
      </c>
      <c r="I33" s="1690">
        <f t="shared" si="1"/>
        <v>0</v>
      </c>
      <c r="J33" s="1690">
        <f t="shared" si="1"/>
        <v>0</v>
      </c>
      <c r="K33" s="1690">
        <f t="shared" si="1"/>
        <v>1412836</v>
      </c>
      <c r="L33" s="1690">
        <f t="shared" si="1"/>
        <v>1513296</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62475</v>
      </c>
      <c r="D36" s="480">
        <v>4858</v>
      </c>
      <c r="E36" s="480">
        <v>191</v>
      </c>
      <c r="F36" s="480">
        <v>0</v>
      </c>
      <c r="G36" s="480">
        <v>0</v>
      </c>
      <c r="H36" s="480">
        <v>0</v>
      </c>
      <c r="I36" s="467">
        <v>0</v>
      </c>
      <c r="J36" s="467">
        <v>0</v>
      </c>
      <c r="K36" s="1691">
        <f t="shared" ref="K36:K41" si="2">SUM(C36:J36)</f>
        <v>67524</v>
      </c>
      <c r="L36" s="466">
        <v>81175</v>
      </c>
    </row>
    <row r="37" spans="1:14" x14ac:dyDescent="0.2">
      <c r="A37" s="1524" t="s">
        <v>1151</v>
      </c>
      <c r="B37" s="613">
        <v>2120</v>
      </c>
      <c r="C37" s="466">
        <v>0</v>
      </c>
      <c r="D37" s="466">
        <v>0</v>
      </c>
      <c r="E37" s="466">
        <v>0</v>
      </c>
      <c r="F37" s="466">
        <v>0</v>
      </c>
      <c r="G37" s="466">
        <v>0</v>
      </c>
      <c r="H37" s="466">
        <v>0</v>
      </c>
      <c r="I37" s="467">
        <v>0</v>
      </c>
      <c r="J37" s="467">
        <v>0</v>
      </c>
      <c r="K37" s="1691">
        <f t="shared" si="2"/>
        <v>0</v>
      </c>
      <c r="L37" s="466">
        <v>0</v>
      </c>
    </row>
    <row r="38" spans="1:14" x14ac:dyDescent="0.2">
      <c r="A38" s="1524" t="s">
        <v>207</v>
      </c>
      <c r="B38" s="613">
        <v>2130</v>
      </c>
      <c r="C38" s="466">
        <v>793253</v>
      </c>
      <c r="D38" s="466">
        <v>237727</v>
      </c>
      <c r="E38" s="466">
        <v>26985</v>
      </c>
      <c r="F38" s="466">
        <v>8454</v>
      </c>
      <c r="G38" s="466">
        <v>0</v>
      </c>
      <c r="H38" s="466">
        <v>0</v>
      </c>
      <c r="I38" s="467">
        <v>0</v>
      </c>
      <c r="J38" s="467">
        <v>0</v>
      </c>
      <c r="K38" s="1691">
        <f t="shared" si="2"/>
        <v>1066419</v>
      </c>
      <c r="L38" s="466">
        <v>1102840</v>
      </c>
    </row>
    <row r="39" spans="1:14" x14ac:dyDescent="0.2">
      <c r="A39" s="1524" t="s">
        <v>208</v>
      </c>
      <c r="B39" s="613">
        <v>2140</v>
      </c>
      <c r="C39" s="466">
        <v>445275</v>
      </c>
      <c r="D39" s="466">
        <v>54644</v>
      </c>
      <c r="E39" s="466">
        <v>2225</v>
      </c>
      <c r="F39" s="466">
        <v>2418</v>
      </c>
      <c r="G39" s="466">
        <v>0</v>
      </c>
      <c r="H39" s="466">
        <v>0</v>
      </c>
      <c r="I39" s="467">
        <v>0</v>
      </c>
      <c r="J39" s="467">
        <v>0</v>
      </c>
      <c r="K39" s="1691">
        <f t="shared" si="2"/>
        <v>504562</v>
      </c>
      <c r="L39" s="466">
        <v>568500</v>
      </c>
    </row>
    <row r="40" spans="1:14" x14ac:dyDescent="0.2">
      <c r="A40" s="1524" t="s">
        <v>209</v>
      </c>
      <c r="B40" s="613">
        <v>2150</v>
      </c>
      <c r="C40" s="466">
        <v>198224</v>
      </c>
      <c r="D40" s="466">
        <v>32748</v>
      </c>
      <c r="E40" s="466">
        <v>4343</v>
      </c>
      <c r="F40" s="466">
        <v>1991</v>
      </c>
      <c r="G40" s="466">
        <v>0</v>
      </c>
      <c r="H40" s="466">
        <v>0</v>
      </c>
      <c r="I40" s="467">
        <v>0</v>
      </c>
      <c r="J40" s="467">
        <v>0</v>
      </c>
      <c r="K40" s="1691">
        <f t="shared" si="2"/>
        <v>237306</v>
      </c>
      <c r="L40" s="466">
        <v>298275</v>
      </c>
    </row>
    <row r="41" spans="1:14" x14ac:dyDescent="0.2">
      <c r="A41" s="1524" t="s">
        <v>1768</v>
      </c>
      <c r="B41" s="613">
        <v>2190</v>
      </c>
      <c r="C41" s="466">
        <v>0</v>
      </c>
      <c r="D41" s="466">
        <v>0</v>
      </c>
      <c r="E41" s="466">
        <v>0</v>
      </c>
      <c r="F41" s="466">
        <v>0</v>
      </c>
      <c r="G41" s="466">
        <v>0</v>
      </c>
      <c r="H41" s="466">
        <v>0</v>
      </c>
      <c r="I41" s="467">
        <v>0</v>
      </c>
      <c r="J41" s="467">
        <v>0</v>
      </c>
      <c r="K41" s="1691">
        <f t="shared" si="2"/>
        <v>0</v>
      </c>
      <c r="L41" s="466">
        <v>0</v>
      </c>
    </row>
    <row r="42" spans="1:14" ht="12.75" customHeight="1" thickBot="1" x14ac:dyDescent="0.25">
      <c r="A42" s="1688" t="s">
        <v>581</v>
      </c>
      <c r="B42" s="1689" t="s">
        <v>740</v>
      </c>
      <c r="C42" s="1690">
        <f>SUM(C36:C41)</f>
        <v>1499227</v>
      </c>
      <c r="D42" s="1690">
        <f t="shared" ref="D42:L42" si="3">SUM(D36:D41)</f>
        <v>329977</v>
      </c>
      <c r="E42" s="1690">
        <f t="shared" si="3"/>
        <v>33744</v>
      </c>
      <c r="F42" s="1690">
        <f t="shared" si="3"/>
        <v>12863</v>
      </c>
      <c r="G42" s="1690">
        <f t="shared" si="3"/>
        <v>0</v>
      </c>
      <c r="H42" s="1690">
        <f t="shared" si="3"/>
        <v>0</v>
      </c>
      <c r="I42" s="1690">
        <f t="shared" si="3"/>
        <v>0</v>
      </c>
      <c r="J42" s="1690">
        <f t="shared" si="3"/>
        <v>0</v>
      </c>
      <c r="K42" s="1690">
        <f t="shared" si="3"/>
        <v>1875811</v>
      </c>
      <c r="L42" s="1690">
        <f t="shared" si="3"/>
        <v>2050790</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154145</v>
      </c>
      <c r="D44" s="480">
        <v>33613</v>
      </c>
      <c r="E44" s="480">
        <v>104841</v>
      </c>
      <c r="F44" s="480">
        <v>8638</v>
      </c>
      <c r="G44" s="480">
        <v>0</v>
      </c>
      <c r="H44" s="480">
        <v>1251</v>
      </c>
      <c r="I44" s="467">
        <v>0</v>
      </c>
      <c r="J44" s="467">
        <v>0</v>
      </c>
      <c r="K44" s="1692">
        <f>SUM(C44:J44)</f>
        <v>302488</v>
      </c>
      <c r="L44" s="480">
        <v>331575</v>
      </c>
    </row>
    <row r="45" spans="1:14" x14ac:dyDescent="0.2">
      <c r="A45" s="1524" t="s">
        <v>869</v>
      </c>
      <c r="B45" s="613">
        <v>2220</v>
      </c>
      <c r="C45" s="467">
        <v>0</v>
      </c>
      <c r="D45" s="466">
        <v>0</v>
      </c>
      <c r="E45" s="466">
        <v>0</v>
      </c>
      <c r="F45" s="466">
        <v>0</v>
      </c>
      <c r="G45" s="466">
        <v>0</v>
      </c>
      <c r="H45" s="466">
        <v>0</v>
      </c>
      <c r="I45" s="467">
        <v>0</v>
      </c>
      <c r="J45" s="467">
        <v>0</v>
      </c>
      <c r="K45" s="1692">
        <f>SUM(C45:J45)</f>
        <v>0</v>
      </c>
      <c r="L45" s="466">
        <v>0</v>
      </c>
    </row>
    <row r="46" spans="1:14" x14ac:dyDescent="0.2">
      <c r="A46" s="1524" t="s">
        <v>870</v>
      </c>
      <c r="B46" s="613">
        <v>2230</v>
      </c>
      <c r="C46" s="467">
        <v>0</v>
      </c>
      <c r="D46" s="466">
        <v>0</v>
      </c>
      <c r="E46" s="466">
        <v>0</v>
      </c>
      <c r="F46" s="466">
        <v>0</v>
      </c>
      <c r="G46" s="466">
        <v>0</v>
      </c>
      <c r="H46" s="466">
        <v>0</v>
      </c>
      <c r="I46" s="467">
        <v>0</v>
      </c>
      <c r="J46" s="467">
        <v>0</v>
      </c>
      <c r="K46" s="1692">
        <f>SUM(C46:J46)</f>
        <v>0</v>
      </c>
      <c r="L46" s="466">
        <v>0</v>
      </c>
    </row>
    <row r="47" spans="1:14" ht="12.75" customHeight="1" thickBot="1" x14ac:dyDescent="0.25">
      <c r="A47" s="1688" t="s">
        <v>582</v>
      </c>
      <c r="B47" s="1689" t="s">
        <v>32</v>
      </c>
      <c r="C47" s="1690">
        <f>SUM(C44:C46)</f>
        <v>154145</v>
      </c>
      <c r="D47" s="1690">
        <f t="shared" ref="D47:K47" si="4">SUM(D44:D46)</f>
        <v>33613</v>
      </c>
      <c r="E47" s="1690">
        <f t="shared" si="4"/>
        <v>104841</v>
      </c>
      <c r="F47" s="1690">
        <f t="shared" si="4"/>
        <v>8638</v>
      </c>
      <c r="G47" s="1690">
        <f t="shared" si="4"/>
        <v>0</v>
      </c>
      <c r="H47" s="1690">
        <f t="shared" si="4"/>
        <v>1251</v>
      </c>
      <c r="I47" s="1690">
        <f t="shared" si="4"/>
        <v>0</v>
      </c>
      <c r="J47" s="1690">
        <f t="shared" si="4"/>
        <v>0</v>
      </c>
      <c r="K47" s="1690">
        <f t="shared" si="4"/>
        <v>302488</v>
      </c>
      <c r="L47" s="1690">
        <f>SUM(L44:L46)</f>
        <v>331575</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0</v>
      </c>
      <c r="D49" s="480">
        <v>0</v>
      </c>
      <c r="E49" s="480">
        <v>0</v>
      </c>
      <c r="F49" s="480">
        <v>0</v>
      </c>
      <c r="G49" s="480">
        <v>0</v>
      </c>
      <c r="H49" s="480">
        <v>0</v>
      </c>
      <c r="I49" s="467">
        <v>0</v>
      </c>
      <c r="J49" s="467">
        <v>0</v>
      </c>
      <c r="K49" s="1692">
        <f>SUM(C49:J49)</f>
        <v>0</v>
      </c>
      <c r="L49" s="466">
        <v>0</v>
      </c>
    </row>
    <row r="50" spans="1:14" x14ac:dyDescent="0.2">
      <c r="A50" s="1524" t="s">
        <v>872</v>
      </c>
      <c r="B50" s="613">
        <v>2320</v>
      </c>
      <c r="C50" s="466">
        <v>275960</v>
      </c>
      <c r="D50" s="466">
        <v>108584</v>
      </c>
      <c r="E50" s="466">
        <v>149216</v>
      </c>
      <c r="F50" s="466">
        <v>17449</v>
      </c>
      <c r="G50" s="466">
        <v>0</v>
      </c>
      <c r="H50" s="466">
        <v>0</v>
      </c>
      <c r="I50" s="467">
        <v>9300</v>
      </c>
      <c r="J50" s="467">
        <v>0</v>
      </c>
      <c r="K50" s="1692">
        <f>SUM(C50:J50)</f>
        <v>560509</v>
      </c>
      <c r="L50" s="466">
        <v>727800</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275960</v>
      </c>
      <c r="D53" s="1690">
        <f t="shared" ref="D53:L53" si="5">SUM(D49:D52)</f>
        <v>108584</v>
      </c>
      <c r="E53" s="1690">
        <f t="shared" si="5"/>
        <v>149216</v>
      </c>
      <c r="F53" s="1690">
        <f t="shared" si="5"/>
        <v>17449</v>
      </c>
      <c r="G53" s="1690">
        <f t="shared" si="5"/>
        <v>0</v>
      </c>
      <c r="H53" s="1690">
        <f t="shared" si="5"/>
        <v>0</v>
      </c>
      <c r="I53" s="1690">
        <f t="shared" si="5"/>
        <v>9300</v>
      </c>
      <c r="J53" s="1690">
        <f t="shared" si="5"/>
        <v>0</v>
      </c>
      <c r="K53" s="1690">
        <f t="shared" si="5"/>
        <v>560509</v>
      </c>
      <c r="L53" s="1690">
        <f t="shared" si="5"/>
        <v>727800</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0</v>
      </c>
      <c r="D55" s="480">
        <v>0</v>
      </c>
      <c r="E55" s="480">
        <v>0</v>
      </c>
      <c r="F55" s="480">
        <v>0</v>
      </c>
      <c r="G55" s="480">
        <v>0</v>
      </c>
      <c r="H55" s="480">
        <v>0</v>
      </c>
      <c r="I55" s="467">
        <v>0</v>
      </c>
      <c r="J55" s="467">
        <v>0</v>
      </c>
      <c r="K55" s="1692">
        <f>SUM(C55:J55)</f>
        <v>0</v>
      </c>
      <c r="L55" s="480">
        <v>0</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0</v>
      </c>
      <c r="D57" s="1694">
        <f t="shared" ref="D57:K57" si="6">SUM(D55:D56)</f>
        <v>0</v>
      </c>
      <c r="E57" s="1694">
        <f t="shared" si="6"/>
        <v>0</v>
      </c>
      <c r="F57" s="1694">
        <f t="shared" si="6"/>
        <v>0</v>
      </c>
      <c r="G57" s="1694">
        <f t="shared" si="6"/>
        <v>0</v>
      </c>
      <c r="H57" s="1694">
        <f t="shared" si="6"/>
        <v>0</v>
      </c>
      <c r="I57" s="1694">
        <f t="shared" si="6"/>
        <v>0</v>
      </c>
      <c r="J57" s="1694">
        <f t="shared" si="6"/>
        <v>0</v>
      </c>
      <c r="K57" s="1694">
        <f t="shared" si="6"/>
        <v>0</v>
      </c>
      <c r="L57" s="1690">
        <f>SUM(L55:L56)</f>
        <v>0</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53130</v>
      </c>
      <c r="D60" s="466">
        <v>16950</v>
      </c>
      <c r="E60" s="466">
        <v>10020</v>
      </c>
      <c r="F60" s="466">
        <v>719</v>
      </c>
      <c r="G60" s="466">
        <v>0</v>
      </c>
      <c r="H60" s="466">
        <v>0</v>
      </c>
      <c r="I60" s="467">
        <v>0</v>
      </c>
      <c r="J60" s="467">
        <v>0</v>
      </c>
      <c r="K60" s="1692">
        <f t="shared" si="7"/>
        <v>80819</v>
      </c>
      <c r="L60" s="466">
        <v>84500</v>
      </c>
      <c r="M60" s="608"/>
      <c r="N60" s="608"/>
    </row>
    <row r="61" spans="1:14" s="343" customFormat="1" x14ac:dyDescent="0.2">
      <c r="A61" s="1524" t="s">
        <v>206</v>
      </c>
      <c r="B61" s="613">
        <v>2540</v>
      </c>
      <c r="C61" s="467">
        <v>83815</v>
      </c>
      <c r="D61" s="466">
        <v>27930</v>
      </c>
      <c r="E61" s="466">
        <v>93052</v>
      </c>
      <c r="F61" s="466">
        <v>49238</v>
      </c>
      <c r="G61" s="466">
        <v>5999</v>
      </c>
      <c r="H61" s="466">
        <v>0</v>
      </c>
      <c r="I61" s="467">
        <v>0</v>
      </c>
      <c r="J61" s="467">
        <v>0</v>
      </c>
      <c r="K61" s="1692">
        <f t="shared" si="7"/>
        <v>260034</v>
      </c>
      <c r="L61" s="466">
        <v>293775</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26280</v>
      </c>
      <c r="D63" s="466">
        <v>4789</v>
      </c>
      <c r="E63" s="466">
        <v>0</v>
      </c>
      <c r="F63" s="466">
        <v>26448</v>
      </c>
      <c r="G63" s="466">
        <v>0</v>
      </c>
      <c r="H63" s="466">
        <v>1088</v>
      </c>
      <c r="I63" s="467">
        <v>0</v>
      </c>
      <c r="J63" s="467">
        <v>0</v>
      </c>
      <c r="K63" s="1692">
        <f t="shared" si="7"/>
        <v>58605</v>
      </c>
      <c r="L63" s="466">
        <v>65575</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163225</v>
      </c>
      <c r="D65" s="1690">
        <f t="shared" ref="D65:L65" si="8">SUM(D59:D64)</f>
        <v>49669</v>
      </c>
      <c r="E65" s="1690">
        <f t="shared" si="8"/>
        <v>103072</v>
      </c>
      <c r="F65" s="1690">
        <f t="shared" si="8"/>
        <v>76405</v>
      </c>
      <c r="G65" s="1690">
        <f t="shared" si="8"/>
        <v>5999</v>
      </c>
      <c r="H65" s="1690">
        <f t="shared" si="8"/>
        <v>1088</v>
      </c>
      <c r="I65" s="1690">
        <f t="shared" si="8"/>
        <v>0</v>
      </c>
      <c r="J65" s="1690">
        <f t="shared" si="8"/>
        <v>0</v>
      </c>
      <c r="K65" s="1690">
        <f t="shared" si="8"/>
        <v>399458</v>
      </c>
      <c r="L65" s="1690">
        <f t="shared" si="8"/>
        <v>443850</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2092557</v>
      </c>
      <c r="D74" s="1697">
        <f t="shared" ref="D74:K74" si="10">SUM(D42,D47,D53,D57,D65,D72,D73)</f>
        <v>521843</v>
      </c>
      <c r="E74" s="1697">
        <f t="shared" si="10"/>
        <v>390873</v>
      </c>
      <c r="F74" s="1697">
        <f t="shared" si="10"/>
        <v>115355</v>
      </c>
      <c r="G74" s="1697">
        <f t="shared" si="10"/>
        <v>5999</v>
      </c>
      <c r="H74" s="1697">
        <f t="shared" si="10"/>
        <v>2339</v>
      </c>
      <c r="I74" s="1697">
        <f t="shared" si="10"/>
        <v>9300</v>
      </c>
      <c r="J74" s="1697">
        <f t="shared" si="10"/>
        <v>0</v>
      </c>
      <c r="K74" s="1697">
        <f t="shared" si="10"/>
        <v>3138266</v>
      </c>
      <c r="L74" s="1697">
        <f>SUM(L42,L47,L53,L57,L65,L72,L73)</f>
        <v>3554015</v>
      </c>
    </row>
    <row r="75" spans="1:14" s="259" customFormat="1" ht="15.75" customHeight="1" thickTop="1" thickBot="1" x14ac:dyDescent="0.25">
      <c r="A75" s="1630" t="s">
        <v>49</v>
      </c>
      <c r="B75" s="1631" t="s">
        <v>596</v>
      </c>
      <c r="C75" s="571">
        <v>0</v>
      </c>
      <c r="D75" s="571">
        <v>0</v>
      </c>
      <c r="E75" s="571">
        <v>0</v>
      </c>
      <c r="F75" s="571">
        <v>0</v>
      </c>
      <c r="G75" s="571">
        <v>0</v>
      </c>
      <c r="H75" s="571">
        <v>0</v>
      </c>
      <c r="I75" s="529">
        <v>0</v>
      </c>
      <c r="J75" s="529">
        <v>0</v>
      </c>
      <c r="K75" s="1690">
        <f>SUM(C75:J75)</f>
        <v>0</v>
      </c>
      <c r="L75" s="574">
        <v>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4500</v>
      </c>
      <c r="F79" s="615"/>
      <c r="G79" s="615"/>
      <c r="H79" s="466">
        <v>0</v>
      </c>
      <c r="I79" s="476"/>
      <c r="J79" s="476"/>
      <c r="K79" s="1691">
        <f t="shared" si="11"/>
        <v>4500</v>
      </c>
      <c r="L79" s="466">
        <v>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4500</v>
      </c>
      <c r="F84" s="615"/>
      <c r="G84" s="615"/>
      <c r="H84" s="1690">
        <f>SUM(H78:H83)</f>
        <v>0</v>
      </c>
      <c r="I84" s="476"/>
      <c r="J84" s="476"/>
      <c r="K84" s="1690">
        <f>SUM(K78:K83)</f>
        <v>4500</v>
      </c>
      <c r="L84" s="1690">
        <f>SUM(L78:L83)</f>
        <v>0</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0</v>
      </c>
      <c r="I86" s="476"/>
      <c r="J86" s="476"/>
      <c r="K86" s="1697">
        <f t="shared" ref="K86:K98" si="12">H86</f>
        <v>0</v>
      </c>
      <c r="L86" s="528">
        <v>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0</v>
      </c>
      <c r="I92" s="476"/>
      <c r="J92" s="476"/>
      <c r="K92" s="1697">
        <f t="shared" si="12"/>
        <v>0</v>
      </c>
      <c r="L92" s="1690">
        <f>SUM(L85:L91)</f>
        <v>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5232558</v>
      </c>
      <c r="I94" s="476"/>
      <c r="J94" s="476"/>
      <c r="K94" s="1697">
        <f t="shared" si="12"/>
        <v>5232558</v>
      </c>
      <c r="L94" s="528">
        <v>5641723</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5232558</v>
      </c>
      <c r="I100" s="476"/>
      <c r="J100" s="476"/>
      <c r="K100" s="1697">
        <f>SUM(K93:K99)</f>
        <v>5232558</v>
      </c>
      <c r="L100" s="1697">
        <f>SUM(L93:L99)</f>
        <v>5641723</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4500</v>
      </c>
      <c r="F102" s="615"/>
      <c r="G102" s="615"/>
      <c r="H102" s="1697">
        <f>SUM(H84,H92,H100,H101)</f>
        <v>5232558</v>
      </c>
      <c r="I102" s="476"/>
      <c r="J102" s="476"/>
      <c r="K102" s="1697">
        <f>SUM(K84,K92,K100,K101)</f>
        <v>5237058</v>
      </c>
      <c r="L102" s="1697">
        <f>SUM(L84,L92,L100,L101)</f>
        <v>5641723</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3218501</v>
      </c>
      <c r="D114" s="1690">
        <f t="shared" ref="D114:K114" si="13">SUM(D33,D74,D75,D102,D112,D113)</f>
        <v>775226</v>
      </c>
      <c r="E114" s="1690">
        <f t="shared" si="13"/>
        <v>418289</v>
      </c>
      <c r="F114" s="1690">
        <f t="shared" si="13"/>
        <v>124150</v>
      </c>
      <c r="G114" s="1690">
        <f t="shared" si="13"/>
        <v>7797</v>
      </c>
      <c r="H114" s="1690">
        <f>SUM(H33,H74,H75,H102,H112,H113)</f>
        <v>5234897</v>
      </c>
      <c r="I114" s="1690">
        <f t="shared" si="13"/>
        <v>9300</v>
      </c>
      <c r="J114" s="1690">
        <f t="shared" si="13"/>
        <v>0</v>
      </c>
      <c r="K114" s="1690">
        <f t="shared" si="13"/>
        <v>9788160</v>
      </c>
      <c r="L114" s="1690">
        <f>SUM(L33,L74,L75,L102,L112,L113)</f>
        <v>10709034</v>
      </c>
    </row>
    <row r="115" spans="1:14" ht="13.5" thickTop="1" x14ac:dyDescent="0.2">
      <c r="A115" s="2289" t="s">
        <v>1053</v>
      </c>
      <c r="B115" s="2290"/>
      <c r="C115" s="617"/>
      <c r="D115" s="617"/>
      <c r="E115" s="617"/>
      <c r="F115" s="617"/>
      <c r="G115" s="617"/>
      <c r="H115" s="617"/>
      <c r="I115" s="617"/>
      <c r="J115" s="617"/>
      <c r="K115" s="1704">
        <f>'Revenues 9-14'!C275-'Expenditures 15-22'!K114</f>
        <v>299282</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294" t="s">
        <v>314</v>
      </c>
      <c r="B117" s="2295"/>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0</v>
      </c>
      <c r="D124" s="466">
        <v>0</v>
      </c>
      <c r="E124" s="466">
        <v>0</v>
      </c>
      <c r="F124" s="466">
        <v>0</v>
      </c>
      <c r="G124" s="466">
        <v>0</v>
      </c>
      <c r="H124" s="466">
        <v>0</v>
      </c>
      <c r="I124" s="467">
        <v>0</v>
      </c>
      <c r="J124" s="467">
        <v>0</v>
      </c>
      <c r="K124" s="1690">
        <f>SUM(C124:J124)</f>
        <v>0</v>
      </c>
      <c r="L124" s="466">
        <v>0</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0</v>
      </c>
      <c r="D127" s="1690">
        <f t="shared" ref="D127:L127" si="14">SUM(D122:D126)</f>
        <v>0</v>
      </c>
      <c r="E127" s="1690">
        <f t="shared" si="14"/>
        <v>0</v>
      </c>
      <c r="F127" s="1690">
        <f t="shared" si="14"/>
        <v>0</v>
      </c>
      <c r="G127" s="1690">
        <f t="shared" si="14"/>
        <v>0</v>
      </c>
      <c r="H127" s="1690">
        <f t="shared" si="14"/>
        <v>0</v>
      </c>
      <c r="I127" s="1690">
        <f t="shared" si="14"/>
        <v>0</v>
      </c>
      <c r="J127" s="1690">
        <f t="shared" si="14"/>
        <v>0</v>
      </c>
      <c r="K127" s="1690">
        <f t="shared" si="14"/>
        <v>0</v>
      </c>
      <c r="L127" s="1690">
        <f t="shared" si="14"/>
        <v>0</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0</v>
      </c>
      <c r="D129" s="1697">
        <f t="shared" ref="D129:L129" si="15">SUM(D120,D127,D128)</f>
        <v>0</v>
      </c>
      <c r="E129" s="1697">
        <f t="shared" si="15"/>
        <v>0</v>
      </c>
      <c r="F129" s="1697">
        <f t="shared" si="15"/>
        <v>0</v>
      </c>
      <c r="G129" s="1697">
        <f t="shared" si="15"/>
        <v>0</v>
      </c>
      <c r="H129" s="1697">
        <f t="shared" si="15"/>
        <v>0</v>
      </c>
      <c r="I129" s="1697">
        <f t="shared" si="15"/>
        <v>0</v>
      </c>
      <c r="J129" s="1697">
        <f t="shared" si="15"/>
        <v>0</v>
      </c>
      <c r="K129" s="1697">
        <f t="shared" si="15"/>
        <v>0</v>
      </c>
      <c r="L129" s="1697">
        <f t="shared" si="15"/>
        <v>0</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1954</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306" t="s">
        <v>641</v>
      </c>
      <c r="B151" s="2286"/>
      <c r="C151" s="1690">
        <f>SUM(C129,C130,C139,C149,C150)</f>
        <v>0</v>
      </c>
      <c r="D151" s="1690">
        <f t="shared" ref="D151:K151" si="16">SUM(D129,D130,D139,D149,D150)</f>
        <v>0</v>
      </c>
      <c r="E151" s="1690">
        <f t="shared" si="16"/>
        <v>0</v>
      </c>
      <c r="F151" s="1690">
        <f t="shared" si="16"/>
        <v>0</v>
      </c>
      <c r="G151" s="1690">
        <f t="shared" si="16"/>
        <v>0</v>
      </c>
      <c r="H151" s="1690">
        <f t="shared" si="16"/>
        <v>0</v>
      </c>
      <c r="I151" s="1690">
        <f t="shared" si="16"/>
        <v>0</v>
      </c>
      <c r="J151" s="1690">
        <f t="shared" si="16"/>
        <v>0</v>
      </c>
      <c r="K151" s="1690">
        <f t="shared" si="16"/>
        <v>0</v>
      </c>
      <c r="L151" s="1690">
        <f>SUM(L129,L130,L139,L149,L150)</f>
        <v>0</v>
      </c>
    </row>
    <row r="152" spans="1:14" ht="12.75" customHeight="1" thickTop="1" x14ac:dyDescent="0.2">
      <c r="A152" s="2309" t="s">
        <v>1240</v>
      </c>
      <c r="B152" s="2310"/>
      <c r="C152" s="617"/>
      <c r="D152" s="617"/>
      <c r="E152" s="617"/>
      <c r="F152" s="617"/>
      <c r="G152" s="617"/>
      <c r="H152" s="617"/>
      <c r="I152" s="617"/>
      <c r="J152" s="615"/>
      <c r="K152" s="1704">
        <f>'Revenues 9-14'!D275-'Expenditures 15-22'!K151</f>
        <v>0</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294" t="s">
        <v>642</v>
      </c>
      <c r="B154" s="2296"/>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1955</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1954</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1956</v>
      </c>
      <c r="C158" s="615"/>
      <c r="D158" s="615"/>
      <c r="E158" s="615"/>
      <c r="F158" s="615"/>
      <c r="G158" s="615"/>
      <c r="H158" s="467">
        <v>0</v>
      </c>
      <c r="I158" s="615"/>
      <c r="J158" s="615"/>
      <c r="K158" s="1691">
        <f>H158</f>
        <v>0</v>
      </c>
      <c r="L158" s="467">
        <v>0</v>
      </c>
      <c r="M158" s="618"/>
      <c r="N158" s="618"/>
    </row>
    <row r="159" spans="1:14" s="619" customFormat="1" ht="12" x14ac:dyDescent="0.2">
      <c r="A159" s="1847" t="s">
        <v>1957</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1958</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0</v>
      </c>
      <c r="I169" s="615"/>
      <c r="J169" s="615"/>
      <c r="K169" s="1691">
        <f>SUM(C169:H169)</f>
        <v>0</v>
      </c>
      <c r="L169" s="655">
        <v>0</v>
      </c>
    </row>
    <row r="170" spans="1:14" ht="33.75" customHeight="1" x14ac:dyDescent="0.2">
      <c r="A170" s="668" t="s">
        <v>1769</v>
      </c>
      <c r="B170" s="670" t="s">
        <v>31</v>
      </c>
      <c r="C170" s="615"/>
      <c r="D170" s="615"/>
      <c r="E170" s="615"/>
      <c r="F170" s="615"/>
      <c r="G170" s="615"/>
      <c r="H170" s="567">
        <v>0</v>
      </c>
      <c r="I170" s="615"/>
      <c r="J170" s="615"/>
      <c r="K170" s="1691">
        <f>SUM(C170:J170)</f>
        <v>0</v>
      </c>
      <c r="L170" s="567">
        <v>0</v>
      </c>
    </row>
    <row r="171" spans="1:14" ht="15.75" customHeight="1" x14ac:dyDescent="0.2">
      <c r="A171" s="620" t="s">
        <v>790</v>
      </c>
      <c r="B171" s="671" t="s">
        <v>86</v>
      </c>
      <c r="C171" s="615"/>
      <c r="D171" s="615"/>
      <c r="E171" s="466">
        <v>0</v>
      </c>
      <c r="F171" s="615"/>
      <c r="G171" s="615"/>
      <c r="H171" s="567">
        <v>0</v>
      </c>
      <c r="I171" s="476"/>
      <c r="J171" s="615"/>
      <c r="K171" s="1691">
        <f>SUM(C171:J171)</f>
        <v>0</v>
      </c>
      <c r="L171" s="567">
        <v>0</v>
      </c>
    </row>
    <row r="172" spans="1:14" ht="12.75" customHeight="1" thickBot="1" x14ac:dyDescent="0.25">
      <c r="A172" s="1688" t="s">
        <v>659</v>
      </c>
      <c r="B172" s="1689" t="s">
        <v>513</v>
      </c>
      <c r="C172" s="615"/>
      <c r="D172" s="615"/>
      <c r="E172" s="1697">
        <f>SUM(E168,E169,E170,E171)</f>
        <v>0</v>
      </c>
      <c r="F172" s="615"/>
      <c r="G172" s="615"/>
      <c r="H172" s="1697">
        <f>SUM(H168,H169,H170,H171)</f>
        <v>0</v>
      </c>
      <c r="I172" s="637"/>
      <c r="J172" s="615"/>
      <c r="K172" s="1697">
        <f>SUM(K168,K169,K170,K171)</f>
        <v>0</v>
      </c>
      <c r="L172" s="1697">
        <f>SUM(L168,L169,L170,L171)</f>
        <v>0</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0</v>
      </c>
      <c r="I174" s="637"/>
      <c r="J174" s="615"/>
      <c r="K174" s="1697">
        <f>SUM(K160,K172,K173)</f>
        <v>0</v>
      </c>
      <c r="L174" s="1697">
        <f>SUM(L160,L172,L173)</f>
        <v>0</v>
      </c>
    </row>
    <row r="175" spans="1:14" ht="13.5" thickTop="1" x14ac:dyDescent="0.2">
      <c r="A175" s="2289" t="s">
        <v>1053</v>
      </c>
      <c r="B175" s="2290"/>
      <c r="C175" s="615"/>
      <c r="D175" s="615"/>
      <c r="E175" s="615"/>
      <c r="F175" s="615"/>
      <c r="G175" s="615"/>
      <c r="H175" s="617"/>
      <c r="I175" s="615"/>
      <c r="J175" s="615"/>
      <c r="K175" s="1704">
        <f>'Revenues 9-14'!E275-'Expenditures 15-22'!K174</f>
        <v>0</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0</v>
      </c>
      <c r="D182" s="467">
        <v>0</v>
      </c>
      <c r="E182" s="467">
        <v>11204</v>
      </c>
      <c r="F182" s="467">
        <v>0</v>
      </c>
      <c r="G182" s="467">
        <v>0</v>
      </c>
      <c r="H182" s="466">
        <v>0</v>
      </c>
      <c r="I182" s="467">
        <v>0</v>
      </c>
      <c r="J182" s="467">
        <v>0</v>
      </c>
      <c r="K182" s="1691">
        <f>SUM(C182:J182)</f>
        <v>11204</v>
      </c>
      <c r="L182" s="466">
        <v>19000</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0</v>
      </c>
      <c r="D184" s="1697">
        <f t="shared" ref="D184:J184" si="17">SUM(D180,D182,D183)</f>
        <v>0</v>
      </c>
      <c r="E184" s="1697">
        <f t="shared" si="17"/>
        <v>11204</v>
      </c>
      <c r="F184" s="1697">
        <f t="shared" si="17"/>
        <v>0</v>
      </c>
      <c r="G184" s="1697">
        <f t="shared" si="17"/>
        <v>0</v>
      </c>
      <c r="H184" s="1697">
        <f t="shared" si="17"/>
        <v>0</v>
      </c>
      <c r="I184" s="1697">
        <f t="shared" si="17"/>
        <v>0</v>
      </c>
      <c r="J184" s="1697">
        <f t="shared" si="17"/>
        <v>0</v>
      </c>
      <c r="K184" s="1697">
        <f>SUM(K180,K182,K183)</f>
        <v>11204</v>
      </c>
      <c r="L184" s="1697">
        <f>SUM(L180, L182:L183)</f>
        <v>19000</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0</v>
      </c>
      <c r="D210" s="1690">
        <f>SUM(D184,D185)</f>
        <v>0</v>
      </c>
      <c r="E210" s="1690">
        <f>SUM(E184,E185,E196)</f>
        <v>11204</v>
      </c>
      <c r="F210" s="1690">
        <f>SUM(F184,F185)</f>
        <v>0</v>
      </c>
      <c r="G210" s="1690">
        <f>SUM(G184,G185)</f>
        <v>0</v>
      </c>
      <c r="H210" s="1690">
        <f>SUM(H184,H185,H196,H208,H209)</f>
        <v>0</v>
      </c>
      <c r="I210" s="1690">
        <f>SUM(I184,I185)</f>
        <v>0</v>
      </c>
      <c r="J210" s="1690">
        <f>SUM(J184,J185)</f>
        <v>0</v>
      </c>
      <c r="K210" s="1691">
        <f>SUM(K184,K185,K196,K208,K209)</f>
        <v>11204</v>
      </c>
      <c r="L210" s="1690">
        <f>SUM(L184,L185,L196,L208,L209)</f>
        <v>19000</v>
      </c>
    </row>
    <row r="211" spans="1:14" ht="13.5" thickTop="1" x14ac:dyDescent="0.2">
      <c r="A211" s="2289" t="s">
        <v>1053</v>
      </c>
      <c r="B211" s="2290"/>
      <c r="C211" s="617"/>
      <c r="D211" s="617"/>
      <c r="E211" s="617"/>
      <c r="F211" s="617"/>
      <c r="G211" s="617"/>
      <c r="H211" s="617"/>
      <c r="I211" s="615"/>
      <c r="J211" s="615"/>
      <c r="K211" s="1704">
        <f>'Revenues 9-14'!F275-'Expenditures 15-22'!K210</f>
        <v>-319</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311" t="s">
        <v>1022</v>
      </c>
      <c r="B213" s="2312"/>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0</v>
      </c>
      <c r="E215" s="615"/>
      <c r="F215" s="615"/>
      <c r="G215" s="615"/>
      <c r="H215" s="615"/>
      <c r="I215" s="615"/>
      <c r="J215" s="615"/>
      <c r="K215" s="1691">
        <f>D215</f>
        <v>0</v>
      </c>
      <c r="L215" s="466">
        <v>0</v>
      </c>
    </row>
    <row r="216" spans="1:14" x14ac:dyDescent="0.2">
      <c r="A216" s="1524" t="s">
        <v>165</v>
      </c>
      <c r="B216" s="613" t="s">
        <v>1024</v>
      </c>
      <c r="C216" s="615"/>
      <c r="D216" s="467">
        <v>0</v>
      </c>
      <c r="E216" s="615"/>
      <c r="F216" s="615"/>
      <c r="G216" s="615"/>
      <c r="H216" s="615"/>
      <c r="I216" s="615"/>
      <c r="J216" s="615"/>
      <c r="K216" s="1691">
        <f t="shared" ref="K216:K228" si="19">D216</f>
        <v>0</v>
      </c>
      <c r="L216" s="466">
        <v>0</v>
      </c>
    </row>
    <row r="217" spans="1:14" x14ac:dyDescent="0.2">
      <c r="A217" s="1524" t="s">
        <v>166</v>
      </c>
      <c r="B217" s="613">
        <v>1200</v>
      </c>
      <c r="C217" s="615"/>
      <c r="D217" s="466">
        <v>0</v>
      </c>
      <c r="E217" s="615"/>
      <c r="F217" s="615"/>
      <c r="G217" s="615"/>
      <c r="H217" s="615"/>
      <c r="I217" s="615"/>
      <c r="J217" s="615"/>
      <c r="K217" s="1691">
        <f t="shared" si="19"/>
        <v>0</v>
      </c>
      <c r="L217" s="466">
        <v>0</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0</v>
      </c>
      <c r="E219" s="615"/>
      <c r="F219" s="615"/>
      <c r="G219" s="615"/>
      <c r="H219" s="615"/>
      <c r="I219" s="615"/>
      <c r="J219" s="615"/>
      <c r="K219" s="1691">
        <f t="shared" si="19"/>
        <v>0</v>
      </c>
      <c r="L219" s="466">
        <v>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0</v>
      </c>
      <c r="E222" s="615"/>
      <c r="F222" s="615"/>
      <c r="G222" s="615"/>
      <c r="H222" s="615"/>
      <c r="I222" s="615"/>
      <c r="J222" s="615"/>
      <c r="K222" s="1691">
        <f t="shared" si="19"/>
        <v>0</v>
      </c>
      <c r="L222" s="466">
        <v>0</v>
      </c>
    </row>
    <row r="223" spans="1:14" x14ac:dyDescent="0.2">
      <c r="A223" s="1524" t="s">
        <v>1020</v>
      </c>
      <c r="B223" s="613">
        <v>1500</v>
      </c>
      <c r="C223" s="615"/>
      <c r="D223" s="466">
        <v>0</v>
      </c>
      <c r="E223" s="615"/>
      <c r="F223" s="615"/>
      <c r="G223" s="615"/>
      <c r="H223" s="615"/>
      <c r="I223" s="615"/>
      <c r="J223" s="615"/>
      <c r="K223" s="1691">
        <f t="shared" si="19"/>
        <v>0</v>
      </c>
      <c r="L223" s="466">
        <v>0</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0</v>
      </c>
      <c r="E226" s="615"/>
      <c r="F226" s="615"/>
      <c r="G226" s="615"/>
      <c r="H226" s="615"/>
      <c r="I226" s="615"/>
      <c r="J226" s="615"/>
      <c r="K226" s="1691">
        <f t="shared" si="19"/>
        <v>0</v>
      </c>
      <c r="L226" s="466">
        <v>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0</v>
      </c>
      <c r="E229" s="615"/>
      <c r="F229" s="615"/>
      <c r="G229" s="615"/>
      <c r="H229" s="615"/>
      <c r="I229" s="615"/>
      <c r="J229" s="615"/>
      <c r="K229" s="1690">
        <f>SUM(K215:K228)</f>
        <v>0</v>
      </c>
      <c r="L229" s="1690">
        <f>SUM(L215:L228)</f>
        <v>0</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0</v>
      </c>
      <c r="E233" s="615"/>
      <c r="F233" s="615"/>
      <c r="G233" s="615"/>
      <c r="H233" s="615"/>
      <c r="I233" s="615"/>
      <c r="J233" s="615"/>
      <c r="K233" s="1691">
        <f t="shared" si="20"/>
        <v>0</v>
      </c>
      <c r="L233" s="466">
        <v>0</v>
      </c>
    </row>
    <row r="234" spans="1:12" x14ac:dyDescent="0.2">
      <c r="A234" s="1524" t="s">
        <v>207</v>
      </c>
      <c r="B234" s="613">
        <v>2130</v>
      </c>
      <c r="C234" s="615"/>
      <c r="D234" s="466">
        <v>0</v>
      </c>
      <c r="E234" s="615"/>
      <c r="F234" s="615"/>
      <c r="G234" s="615"/>
      <c r="H234" s="615"/>
      <c r="I234" s="615"/>
      <c r="J234" s="615"/>
      <c r="K234" s="1691">
        <f t="shared" si="20"/>
        <v>0</v>
      </c>
      <c r="L234" s="466">
        <v>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0</v>
      </c>
      <c r="E236" s="615"/>
      <c r="F236" s="615"/>
      <c r="G236" s="615"/>
      <c r="H236" s="615"/>
      <c r="I236" s="615"/>
      <c r="J236" s="615"/>
      <c r="K236" s="1691">
        <f t="shared" si="20"/>
        <v>0</v>
      </c>
      <c r="L236" s="466">
        <v>0</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0</v>
      </c>
      <c r="E238" s="615"/>
      <c r="F238" s="615"/>
      <c r="G238" s="615"/>
      <c r="H238" s="615"/>
      <c r="I238" s="615"/>
      <c r="J238" s="615"/>
      <c r="K238" s="1690">
        <f>SUM(K232:K237)</f>
        <v>0</v>
      </c>
      <c r="L238" s="1690">
        <f>SUM(L232:L237)</f>
        <v>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0</v>
      </c>
      <c r="E240" s="615"/>
      <c r="F240" s="615"/>
      <c r="G240" s="615"/>
      <c r="H240" s="615"/>
      <c r="I240" s="615"/>
      <c r="J240" s="615"/>
      <c r="K240" s="1692">
        <f>D240</f>
        <v>0</v>
      </c>
      <c r="L240" s="480">
        <v>0</v>
      </c>
    </row>
    <row r="241" spans="1:12" x14ac:dyDescent="0.2">
      <c r="A241" s="1524" t="s">
        <v>869</v>
      </c>
      <c r="B241" s="613">
        <v>2220</v>
      </c>
      <c r="C241" s="615"/>
      <c r="D241" s="466">
        <v>0</v>
      </c>
      <c r="E241" s="615"/>
      <c r="F241" s="615"/>
      <c r="G241" s="615"/>
      <c r="H241" s="615"/>
      <c r="I241" s="615"/>
      <c r="J241" s="615"/>
      <c r="K241" s="1692">
        <f>D241</f>
        <v>0</v>
      </c>
      <c r="L241" s="466">
        <v>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0</v>
      </c>
      <c r="E243" s="615"/>
      <c r="F243" s="615"/>
      <c r="G243" s="615"/>
      <c r="H243" s="615"/>
      <c r="I243" s="615"/>
      <c r="J243" s="615"/>
      <c r="K243" s="1690">
        <f>SUM(K240:K242)</f>
        <v>0</v>
      </c>
      <c r="L243" s="1690">
        <f>SUM(L240:L242)</f>
        <v>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0</v>
      </c>
      <c r="E245" s="615"/>
      <c r="F245" s="615"/>
      <c r="G245" s="615"/>
      <c r="H245" s="615"/>
      <c r="I245" s="615"/>
      <c r="J245" s="615"/>
      <c r="K245" s="1692">
        <f>D245</f>
        <v>0</v>
      </c>
      <c r="L245" s="480">
        <v>0</v>
      </c>
    </row>
    <row r="246" spans="1:12" x14ac:dyDescent="0.2">
      <c r="A246" s="1524" t="s">
        <v>872</v>
      </c>
      <c r="B246" s="613">
        <v>2320</v>
      </c>
      <c r="C246" s="615"/>
      <c r="D246" s="466">
        <v>0</v>
      </c>
      <c r="E246" s="615"/>
      <c r="F246" s="615"/>
      <c r="G246" s="615"/>
      <c r="H246" s="615"/>
      <c r="I246" s="615"/>
      <c r="J246" s="615"/>
      <c r="K246" s="1692">
        <f t="shared" ref="K246:K256" si="21">D246</f>
        <v>0</v>
      </c>
      <c r="L246" s="466">
        <v>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1905</v>
      </c>
      <c r="B249" s="682" t="s">
        <v>300</v>
      </c>
      <c r="C249" s="615"/>
      <c r="D249" s="474">
        <v>0</v>
      </c>
      <c r="E249" s="615"/>
      <c r="F249" s="615"/>
      <c r="G249" s="615"/>
      <c r="H249" s="615"/>
      <c r="I249" s="615"/>
      <c r="J249" s="615"/>
      <c r="K249" s="1692">
        <f t="shared" si="21"/>
        <v>0</v>
      </c>
      <c r="L249" s="466">
        <v>0</v>
      </c>
    </row>
    <row r="250" spans="1:12" x14ac:dyDescent="0.2">
      <c r="A250" s="1525" t="s">
        <v>1906</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0</v>
      </c>
      <c r="E257" s="615"/>
      <c r="F257" s="615"/>
      <c r="G257" s="615"/>
      <c r="H257" s="615"/>
      <c r="I257" s="615"/>
      <c r="J257" s="615"/>
      <c r="K257" s="1690">
        <f>SUM(K245:K256)</f>
        <v>0</v>
      </c>
      <c r="L257" s="1690">
        <f>SUM(L245:L256)</f>
        <v>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0</v>
      </c>
      <c r="E259" s="615"/>
      <c r="F259" s="615"/>
      <c r="G259" s="615"/>
      <c r="H259" s="615"/>
      <c r="I259" s="615"/>
      <c r="J259" s="615"/>
      <c r="K259" s="1692">
        <f>D259</f>
        <v>0</v>
      </c>
      <c r="L259" s="480">
        <v>0</v>
      </c>
    </row>
    <row r="260" spans="1:14" s="596" customFormat="1" x14ac:dyDescent="0.2">
      <c r="A260" s="1542" t="s">
        <v>1904</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0</v>
      </c>
      <c r="E261" s="615"/>
      <c r="F261" s="615"/>
      <c r="G261" s="615"/>
      <c r="H261" s="615"/>
      <c r="I261" s="615"/>
      <c r="J261" s="615"/>
      <c r="K261" s="1690">
        <f>SUM(K259:K260)</f>
        <v>0</v>
      </c>
      <c r="L261" s="1690">
        <f>SUM(L259:L260)</f>
        <v>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0</v>
      </c>
      <c r="E264" s="615"/>
      <c r="F264" s="615"/>
      <c r="G264" s="615"/>
      <c r="H264" s="615"/>
      <c r="I264" s="615"/>
      <c r="J264" s="615"/>
      <c r="K264" s="1692">
        <f t="shared" ref="K264:K269" si="22">D264</f>
        <v>0</v>
      </c>
      <c r="L264" s="466">
        <v>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0</v>
      </c>
      <c r="E266" s="615"/>
      <c r="F266" s="615"/>
      <c r="G266" s="615"/>
      <c r="H266" s="615"/>
      <c r="I266" s="615"/>
      <c r="J266" s="615"/>
      <c r="K266" s="1692">
        <f t="shared" si="22"/>
        <v>0</v>
      </c>
      <c r="L266" s="466">
        <v>0</v>
      </c>
    </row>
    <row r="267" spans="1:14" x14ac:dyDescent="0.2">
      <c r="A267" s="1524" t="s">
        <v>1010</v>
      </c>
      <c r="B267" s="613">
        <v>2550</v>
      </c>
      <c r="C267" s="615"/>
      <c r="D267" s="466">
        <v>0</v>
      </c>
      <c r="E267" s="615"/>
      <c r="F267" s="615"/>
      <c r="G267" s="615"/>
      <c r="H267" s="615"/>
      <c r="I267" s="615"/>
      <c r="J267" s="615"/>
      <c r="K267" s="1692">
        <f t="shared" si="22"/>
        <v>0</v>
      </c>
      <c r="L267" s="466">
        <v>0</v>
      </c>
    </row>
    <row r="268" spans="1:14" x14ac:dyDescent="0.2">
      <c r="A268" s="1524" t="s">
        <v>102</v>
      </c>
      <c r="B268" s="613">
        <v>2560</v>
      </c>
      <c r="C268" s="615"/>
      <c r="D268" s="466">
        <v>0</v>
      </c>
      <c r="E268" s="615"/>
      <c r="F268" s="615"/>
      <c r="G268" s="615"/>
      <c r="H268" s="615"/>
      <c r="I268" s="615"/>
      <c r="J268" s="615"/>
      <c r="K268" s="1692">
        <f t="shared" si="22"/>
        <v>0</v>
      </c>
      <c r="L268" s="466">
        <v>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0</v>
      </c>
      <c r="E270" s="615"/>
      <c r="F270" s="615"/>
      <c r="G270" s="615"/>
      <c r="H270" s="615"/>
      <c r="I270" s="615"/>
      <c r="J270" s="615"/>
      <c r="K270" s="1690">
        <f>SUM(K263:K269)</f>
        <v>0</v>
      </c>
      <c r="L270" s="1690">
        <f>SUM(L263:L269)</f>
        <v>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0</v>
      </c>
      <c r="E279" s="615"/>
      <c r="F279" s="615"/>
      <c r="G279" s="615"/>
      <c r="H279" s="615"/>
      <c r="I279" s="615"/>
      <c r="J279" s="615"/>
      <c r="K279" s="1697">
        <f>SUM(K238,K243,K257,K261,K270,K277,K278)</f>
        <v>0</v>
      </c>
      <c r="L279" s="1697">
        <f>SUM(L238,L243,L257,L261,L270,L277,L278)</f>
        <v>0</v>
      </c>
    </row>
    <row r="280" spans="1:12" ht="15.7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1954</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307" t="s">
        <v>526</v>
      </c>
      <c r="B295" s="2308"/>
      <c r="C295" s="615"/>
      <c r="D295" s="1690">
        <f>SUM(D229,D279,D280,D285)</f>
        <v>0</v>
      </c>
      <c r="E295" s="615"/>
      <c r="F295" s="615"/>
      <c r="G295" s="615"/>
      <c r="H295" s="1690">
        <f>H293</f>
        <v>0</v>
      </c>
      <c r="I295" s="615"/>
      <c r="J295" s="615"/>
      <c r="K295" s="1690">
        <f>SUM(K229,K279,K280,K285,K293,K294)</f>
        <v>0</v>
      </c>
      <c r="L295" s="1690">
        <f>SUM(L229,L279,L280,L285,L293,L294)</f>
        <v>0</v>
      </c>
    </row>
    <row r="296" spans="1:14" ht="13.5" thickTop="1" x14ac:dyDescent="0.2">
      <c r="A296" s="2289" t="s">
        <v>1053</v>
      </c>
      <c r="B296" s="2290"/>
      <c r="C296" s="615"/>
      <c r="D296" s="617"/>
      <c r="E296" s="615"/>
      <c r="F296" s="615"/>
      <c r="G296" s="615"/>
      <c r="H296" s="686"/>
      <c r="I296" s="615"/>
      <c r="J296" s="615"/>
      <c r="K296" s="1704">
        <f>'Revenues 9-14'!G275-'Expenditures 15-22'!K295</f>
        <v>0</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299" t="s">
        <v>145</v>
      </c>
      <c r="B298" s="2293"/>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0</v>
      </c>
      <c r="H301" s="466">
        <v>0</v>
      </c>
      <c r="I301" s="467">
        <v>0</v>
      </c>
      <c r="J301" s="467">
        <v>0</v>
      </c>
      <c r="K301" s="1691">
        <f>SUM(C301:J301)</f>
        <v>0</v>
      </c>
      <c r="L301" s="467">
        <v>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1959</v>
      </c>
      <c r="B306" s="689" t="s">
        <v>1954</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304" t="s">
        <v>295</v>
      </c>
      <c r="B312" s="2305"/>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4"/>
      <c r="N312" s="664"/>
    </row>
    <row r="313" spans="1:14" ht="13.5" thickTop="1" x14ac:dyDescent="0.2">
      <c r="A313" s="2300" t="s">
        <v>1053</v>
      </c>
      <c r="B313" s="2301"/>
      <c r="C313" s="625"/>
      <c r="D313" s="625"/>
      <c r="E313" s="625"/>
      <c r="F313" s="625"/>
      <c r="G313" s="625"/>
      <c r="H313" s="625"/>
      <c r="I313" s="625"/>
      <c r="J313" s="625"/>
      <c r="K313" s="1705">
        <f>'Revenues 9-14'!H275-'Expenditures 15-22'!K312</f>
        <v>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313" t="s">
        <v>151</v>
      </c>
      <c r="B315" s="2314"/>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315" t="s">
        <v>954</v>
      </c>
      <c r="B317" s="2314"/>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1905</v>
      </c>
      <c r="B320" s="697" t="s">
        <v>300</v>
      </c>
      <c r="C320" s="467">
        <v>0</v>
      </c>
      <c r="D320" s="467">
        <v>0</v>
      </c>
      <c r="E320" s="467">
        <v>0</v>
      </c>
      <c r="F320" s="467">
        <v>0</v>
      </c>
      <c r="G320" s="467">
        <v>0</v>
      </c>
      <c r="H320" s="467">
        <v>0</v>
      </c>
      <c r="I320" s="467">
        <v>0</v>
      </c>
      <c r="J320" s="467">
        <v>0</v>
      </c>
      <c r="K320" s="1691">
        <f t="shared" ref="K320:K327" si="24">SUM(C320:J320)</f>
        <v>0</v>
      </c>
      <c r="L320" s="467">
        <v>0</v>
      </c>
      <c r="M320" s="664"/>
      <c r="N320" s="664"/>
    </row>
    <row r="321" spans="1:14" s="673" customFormat="1" x14ac:dyDescent="0.2">
      <c r="A321" s="1539" t="s">
        <v>318</v>
      </c>
      <c r="B321" s="696" t="s">
        <v>301</v>
      </c>
      <c r="C321" s="467">
        <v>0</v>
      </c>
      <c r="D321" s="467">
        <v>0</v>
      </c>
      <c r="E321" s="467">
        <v>0</v>
      </c>
      <c r="F321" s="467">
        <v>0</v>
      </c>
      <c r="G321" s="467">
        <v>0</v>
      </c>
      <c r="H321" s="467">
        <v>0</v>
      </c>
      <c r="I321" s="467">
        <v>0</v>
      </c>
      <c r="J321" s="467">
        <v>0</v>
      </c>
      <c r="K321" s="1691">
        <f t="shared" si="24"/>
        <v>0</v>
      </c>
      <c r="L321" s="467">
        <v>0</v>
      </c>
      <c r="M321" s="664"/>
      <c r="N321" s="664"/>
    </row>
    <row r="322" spans="1:14" s="673" customFormat="1" x14ac:dyDescent="0.2">
      <c r="A322" s="1539" t="s">
        <v>256</v>
      </c>
      <c r="B322" s="696" t="s">
        <v>302</v>
      </c>
      <c r="C322" s="467">
        <v>0</v>
      </c>
      <c r="D322" s="467">
        <v>0</v>
      </c>
      <c r="E322" s="467">
        <v>0</v>
      </c>
      <c r="F322" s="467">
        <v>0</v>
      </c>
      <c r="G322" s="467">
        <v>0</v>
      </c>
      <c r="H322" s="467">
        <v>0</v>
      </c>
      <c r="I322" s="467">
        <v>0</v>
      </c>
      <c r="J322" s="467">
        <v>0</v>
      </c>
      <c r="K322" s="1691">
        <f t="shared" si="24"/>
        <v>0</v>
      </c>
      <c r="L322" s="467">
        <v>0</v>
      </c>
      <c r="M322" s="664"/>
      <c r="N322" s="664"/>
    </row>
    <row r="323" spans="1:14" s="673" customFormat="1" x14ac:dyDescent="0.2">
      <c r="A323" s="1539" t="s">
        <v>726</v>
      </c>
      <c r="B323" s="696" t="s">
        <v>303</v>
      </c>
      <c r="C323" s="467">
        <v>0</v>
      </c>
      <c r="D323" s="467">
        <v>0</v>
      </c>
      <c r="E323" s="467">
        <v>0</v>
      </c>
      <c r="F323" s="467">
        <v>0</v>
      </c>
      <c r="G323" s="467">
        <v>0</v>
      </c>
      <c r="H323" s="467">
        <v>0</v>
      </c>
      <c r="I323" s="467">
        <v>0</v>
      </c>
      <c r="J323" s="467">
        <v>0</v>
      </c>
      <c r="K323" s="1691">
        <f t="shared" si="24"/>
        <v>0</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0</v>
      </c>
      <c r="D325" s="467">
        <v>0</v>
      </c>
      <c r="E325" s="467">
        <v>0</v>
      </c>
      <c r="F325" s="467">
        <v>0</v>
      </c>
      <c r="G325" s="467">
        <v>0</v>
      </c>
      <c r="H325" s="467">
        <v>0</v>
      </c>
      <c r="I325" s="467">
        <v>0</v>
      </c>
      <c r="J325" s="467">
        <v>0</v>
      </c>
      <c r="K325" s="1691">
        <f t="shared" si="24"/>
        <v>0</v>
      </c>
      <c r="L325" s="467">
        <v>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0</v>
      </c>
      <c r="F327" s="467">
        <v>0</v>
      </c>
      <c r="G327" s="467">
        <v>0</v>
      </c>
      <c r="H327" s="467">
        <v>0</v>
      </c>
      <c r="I327" s="467">
        <v>0</v>
      </c>
      <c r="J327" s="467">
        <v>0</v>
      </c>
      <c r="K327" s="1691">
        <f t="shared" si="24"/>
        <v>0</v>
      </c>
      <c r="L327" s="467">
        <v>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0</v>
      </c>
      <c r="D330" s="1690">
        <f t="shared" ref="D330:J330" si="25">SUM(D319:D329)</f>
        <v>0</v>
      </c>
      <c r="E330" s="1690">
        <f t="shared" si="25"/>
        <v>0</v>
      </c>
      <c r="F330" s="1690">
        <f t="shared" si="25"/>
        <v>0</v>
      </c>
      <c r="G330" s="1690">
        <f t="shared" si="25"/>
        <v>0</v>
      </c>
      <c r="H330" s="1690">
        <f t="shared" si="25"/>
        <v>0</v>
      </c>
      <c r="I330" s="1690">
        <f t="shared" si="25"/>
        <v>0</v>
      </c>
      <c r="J330" s="1690">
        <f t="shared" si="25"/>
        <v>0</v>
      </c>
      <c r="K330" s="1690">
        <f>SUM(K319:K329)</f>
        <v>0</v>
      </c>
      <c r="L330" s="1690">
        <f>SUM(L319:L329)</f>
        <v>0</v>
      </c>
      <c r="M330" s="664"/>
      <c r="N330" s="664"/>
    </row>
    <row r="331" spans="1:14" s="673" customFormat="1" ht="12.75" customHeight="1" thickTop="1" x14ac:dyDescent="0.2">
      <c r="A331" s="1852" t="s">
        <v>1960</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1954</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1956</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1961</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0</v>
      </c>
      <c r="D342" s="1690">
        <f>SUM(D330)</f>
        <v>0</v>
      </c>
      <c r="E342" s="1690">
        <f>SUM(E330)</f>
        <v>0</v>
      </c>
      <c r="F342" s="1690">
        <f>SUM(F330)</f>
        <v>0</v>
      </c>
      <c r="G342" s="1690">
        <f>SUM(G330)</f>
        <v>0</v>
      </c>
      <c r="H342" s="1690">
        <f>SUM(H330,H334,H340)</f>
        <v>0</v>
      </c>
      <c r="I342" s="1690">
        <f>SUM(I330)</f>
        <v>0</v>
      </c>
      <c r="J342" s="1690">
        <f>SUM(J330)</f>
        <v>0</v>
      </c>
      <c r="K342" s="1690">
        <f>SUM(K330,K334,K340)</f>
        <v>0</v>
      </c>
      <c r="L342" s="1697">
        <f>SUM(L330,L340,L341)</f>
        <v>0</v>
      </c>
    </row>
    <row r="343" spans="1:14" ht="12.75" customHeight="1" thickTop="1" x14ac:dyDescent="0.2">
      <c r="A343" s="2302" t="s">
        <v>1053</v>
      </c>
      <c r="B343" s="2303"/>
      <c r="C343" s="615"/>
      <c r="D343" s="615"/>
      <c r="E343" s="615"/>
      <c r="F343" s="615"/>
      <c r="G343" s="615"/>
      <c r="H343" s="615"/>
      <c r="I343" s="615"/>
      <c r="J343" s="615"/>
      <c r="K343" s="1704">
        <f>'Revenues 9-14'!J275-'Expenditures 15-22'!K342</f>
        <v>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292" t="s">
        <v>1023</v>
      </c>
      <c r="B345" s="2293"/>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3">
        <v>2540</v>
      </c>
      <c r="C349" s="466">
        <v>0</v>
      </c>
      <c r="D349" s="466">
        <v>0</v>
      </c>
      <c r="E349" s="466">
        <v>0</v>
      </c>
      <c r="F349" s="466">
        <v>0</v>
      </c>
      <c r="G349" s="466">
        <v>0</v>
      </c>
      <c r="H349" s="466">
        <v>0</v>
      </c>
      <c r="I349" s="467">
        <v>0</v>
      </c>
      <c r="J349" s="467">
        <v>0</v>
      </c>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1962</v>
      </c>
      <c r="B354" s="682" t="s">
        <v>1954</v>
      </c>
      <c r="C354" s="615"/>
      <c r="D354" s="615"/>
      <c r="E354" s="615"/>
      <c r="F354" s="615"/>
      <c r="G354" s="615"/>
      <c r="H354" s="474">
        <v>0</v>
      </c>
      <c r="I354" s="700"/>
      <c r="J354" s="615"/>
      <c r="K354" s="1719">
        <f>H354</f>
        <v>0</v>
      </c>
      <c r="L354" s="471">
        <v>0</v>
      </c>
    </row>
    <row r="355" spans="1:14" ht="12.75" customHeight="1" x14ac:dyDescent="0.2">
      <c r="A355" s="1533" t="s">
        <v>1963</v>
      </c>
      <c r="B355" s="689" t="s">
        <v>1956</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0</v>
      </c>
    </row>
    <row r="368" spans="1:14" ht="13.5" thickTop="1" x14ac:dyDescent="0.2">
      <c r="A368" s="2289" t="s">
        <v>1053</v>
      </c>
      <c r="B368" s="2290"/>
      <c r="C368" s="653"/>
      <c r="D368" s="653"/>
      <c r="E368" s="625"/>
      <c r="F368" s="625"/>
      <c r="G368" s="625"/>
      <c r="H368" s="625"/>
      <c r="I368" s="625"/>
      <c r="J368" s="622"/>
      <c r="K368" s="1691">
        <f>'Revenues 9-14'!K275-'Expenditures 15-22'!K367</f>
        <v>0</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schemas.microsoft.com/sharepoint/v3"/>
    <ds:schemaRef ds:uri="http://schemas.microsoft.com/office/2006/documentManagement/types"/>
    <ds:schemaRef ds:uri="http://purl.org/dc/elements/1.1/"/>
    <ds:schemaRef ds:uri="6ce3111e-7420-4802-b50a-75d4e9a0b980"/>
    <ds:schemaRef ds:uri="http://www.w3.org/XML/1998/namespace"/>
    <ds:schemaRef ds:uri="http://schemas.microsoft.com/office/infopath/2007/PartnerControls"/>
    <ds:schemaRef ds:uri="http://schemas.openxmlformats.org/package/2006/metadata/core-properties"/>
    <ds:schemaRef ds:uri="4d435f69-8686-490b-bd6d-b153bf22ab50"/>
    <ds:schemaRef ds:uri="http://purl.org/dc/terms/"/>
    <ds:schemaRef ds:uri="d21dc803-237d-4c68-8692-8d731fd29118"/>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19</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SEFA 18</vt:lpstr>
      <vt:lpstr>SEFA NOTES</vt:lpstr>
      <vt:lpstr>SF&amp;QC Sec-1</vt:lpstr>
      <vt:lpstr>SF&amp;QC Sec-2</vt:lpstr>
      <vt:lpstr>SF&amp;QC Sec-3</vt:lpstr>
      <vt:lpstr>SSPAF</vt:lpstr>
      <vt:lpstr>' SEFA'!Print_Area</vt:lpstr>
      <vt:lpstr>'SEFA 18'!Print_Area</vt:lpstr>
      <vt:lpstr>'SEFA NOTES'!Print_Area</vt:lpstr>
      <vt:lpstr>'SEFA Reconcile'!Print_Area</vt:lpstr>
      <vt:lpstr>'SF&amp;QC Sec-1'!Print_Area</vt:lpstr>
      <vt:lpstr>'SF&amp;QC Sec-3'!Print_Area</vt:lpstr>
      <vt:lpstr>'Single Audit Checklist'!Print_Area</vt:lpstr>
      <vt:lpstr>'Single Audit Cover'!Print_Area</vt:lpstr>
      <vt:lpstr>'SEFA 18'!Print_Area_MI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18'!Print_Titles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2018-10-24T12:49:00Z</cp:lastPrinted>
  <dcterms:created xsi:type="dcterms:W3CDTF">2003-10-29T19:06:34Z</dcterms:created>
  <dcterms:modified xsi:type="dcterms:W3CDTF">2018-10-29T19:12:47Z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