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Finding 2018-001" sheetId="184" r:id="rId32"/>
    <sheet name="Finding 2018-002" sheetId="183"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1">#REF!</definedName>
    <definedName name="SCHADDRS" localSheetId="32">#REF!</definedName>
    <definedName name="SCHADDRS" localSheetId="27">#REF!</definedName>
    <definedName name="SCHADDRS" localSheetId="26">#REF!</definedName>
    <definedName name="SCHADDRS" localSheetId="29">#REF!</definedName>
    <definedName name="SCHADDRS" localSheetId="30">#REF!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1">#REF!</definedName>
    <definedName name="SCHCTY" localSheetId="32">#REF!</definedName>
    <definedName name="SCHCTY" localSheetId="27">#REF!</definedName>
    <definedName name="SCHCTY" localSheetId="26">#REF!</definedName>
    <definedName name="SCHCTY" localSheetId="29">#REF!</definedName>
    <definedName name="SCHCTY" localSheetId="30">#REF!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1">#REF!</definedName>
    <definedName name="SCHNMBR" localSheetId="32">#REF!</definedName>
    <definedName name="SCHNMBR" localSheetId="27">#REF!</definedName>
    <definedName name="SCHNMBR" localSheetId="26">#REF!</definedName>
    <definedName name="SCHNMBR" localSheetId="29">#REF!</definedName>
    <definedName name="SCHNMBR" localSheetId="30">#REF!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1">#REF!</definedName>
    <definedName name="SCHNME" localSheetId="32">#REF!</definedName>
    <definedName name="SCHNME" localSheetId="27">#REF!</definedName>
    <definedName name="SCHNME" localSheetId="26">#REF!</definedName>
    <definedName name="SCHNME" localSheetId="29">#REF!</definedName>
    <definedName name="SCHNME" localSheetId="30">#REF!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1">#REF!</definedName>
    <definedName name="SUPT" localSheetId="32">#REF!</definedName>
    <definedName name="SUPT" localSheetId="27">#REF!</definedName>
    <definedName name="SUPT" localSheetId="26">#REF!</definedName>
    <definedName name="SUPT" localSheetId="29">#REF!</definedName>
    <definedName name="SUPT" localSheetId="30">#REF!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A2" i="170"/>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D24" i="37"/>
  <c r="B4270" i="106" s="1"/>
  <c r="D4270" i="106" s="1"/>
  <c r="F72" i="34" l="1"/>
  <c r="F35" i="34"/>
  <c r="F49" i="34"/>
  <c r="D22" i="37"/>
  <c r="G35" i="108"/>
  <c r="F70" i="34"/>
  <c r="I24" i="12"/>
  <c r="I26" i="12" s="1"/>
  <c r="B7741" i="106" s="1"/>
  <c r="D7741" i="106" s="1"/>
  <c r="N22" i="3"/>
  <c r="B283" i="106" s="1"/>
  <c r="D283" i="106" s="1"/>
  <c r="K24" i="12"/>
  <c r="B7733" i="106" s="1"/>
  <c r="D7733" i="106" s="1"/>
  <c r="F50" i="34"/>
  <c r="D5" i="4"/>
  <c r="B3406" i="106" s="1"/>
  <c r="D3406" i="106" s="1"/>
  <c r="F46" i="34"/>
  <c r="J210" i="29"/>
  <c r="B7072" i="106" s="1"/>
  <c r="D7072" i="106" s="1"/>
  <c r="F42" i="34"/>
  <c r="D26" i="108"/>
  <c r="F26" i="108"/>
  <c r="B1126" i="106"/>
  <c r="D1126" i="106" s="1"/>
  <c r="F27" i="108"/>
  <c r="H28" i="118"/>
  <c r="D13" i="7"/>
  <c r="B3726" i="106" s="1"/>
  <c r="D3726" i="106" s="1"/>
  <c r="F45" i="34"/>
  <c r="L5" i="11"/>
  <c r="B2056" i="106" s="1"/>
  <c r="D2056" i="106" s="1"/>
  <c r="B7078" i="106"/>
  <c r="D7078" i="106" s="1"/>
  <c r="F41" i="34"/>
  <c r="D31" i="108"/>
  <c r="F36" i="108"/>
  <c r="D6103" i="106"/>
  <c r="F131" i="34"/>
  <c r="J22" i="37"/>
  <c r="G172" i="5"/>
  <c r="B5770" i="106" s="1"/>
  <c r="D5770" i="106" s="1"/>
  <c r="F37" i="34"/>
  <c r="D36" i="108"/>
  <c r="H112" i="29"/>
  <c r="B7018" i="106" s="1"/>
  <c r="D7018" i="106" s="1"/>
  <c r="F21" i="8"/>
  <c r="B1879" i="106" s="1"/>
  <c r="D1879" i="106" s="1"/>
  <c r="L15" i="11"/>
  <c r="B3459" i="106" s="1"/>
  <c r="D3459" i="106" s="1"/>
  <c r="H33" i="118"/>
  <c r="D11" i="37"/>
  <c r="H29" i="118"/>
  <c r="K28" i="118" s="1"/>
  <c r="O27" i="118" s="1"/>
  <c r="O29" i="118" s="1"/>
  <c r="D31" i="36"/>
  <c r="F38" i="34"/>
  <c r="I210" i="29"/>
  <c r="B7071" i="106" s="1"/>
  <c r="D7071" i="106" s="1"/>
  <c r="E35" i="108"/>
  <c r="B7047" i="106"/>
  <c r="D7047" i="106" s="1"/>
  <c r="B1746" i="106"/>
  <c r="D1746" i="106" s="1"/>
  <c r="E33" i="108"/>
  <c r="B4411" i="106"/>
  <c r="D4411" i="106" s="1"/>
  <c r="B7074" i="106"/>
  <c r="D7074" i="106" s="1"/>
  <c r="C129" i="29"/>
  <c r="C151" i="29" s="1"/>
  <c r="B1226" i="106" s="1"/>
  <c r="D1226"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B1996" i="106" l="1"/>
  <c r="D1996" i="106" s="1"/>
  <c r="G173" i="5"/>
  <c r="B5778" i="106" s="1"/>
  <c r="D5778" i="106" s="1"/>
  <c r="D7256" i="106"/>
  <c r="D7251" i="106"/>
  <c r="K26" i="12"/>
  <c r="B7743" i="106" s="1"/>
  <c r="D7743" i="106" s="1"/>
  <c r="B1225" i="106"/>
  <c r="D1225" i="106" s="1"/>
  <c r="D41" i="108"/>
  <c r="E43" i="108" s="1"/>
  <c r="D7253" i="106"/>
  <c r="D7250" i="106"/>
  <c r="B4435" i="106"/>
  <c r="D4435" i="106" s="1"/>
  <c r="F66" i="34"/>
  <c r="J24" i="12"/>
  <c r="B7732" i="106" s="1"/>
  <c r="D7732" i="106" s="1"/>
  <c r="L16" i="11"/>
  <c r="B2061" i="106" s="1"/>
  <c r="D2061" i="106" s="1"/>
  <c r="I6" i="4"/>
  <c r="B5011" i="106" s="1"/>
  <c r="D5011" i="106" s="1"/>
  <c r="H77" i="4"/>
  <c r="B3299" i="106" s="1"/>
  <c r="D3299" i="106" s="1"/>
  <c r="J151" i="29"/>
  <c r="B7052" i="106" s="1"/>
  <c r="D7052"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C13" i="3" l="1"/>
  <c r="H24" i="118"/>
  <c r="K24" i="118" s="1"/>
  <c r="O23" i="118" s="1"/>
  <c r="O25" i="118" s="1"/>
  <c r="O35" i="118" s="1"/>
  <c r="O37" i="118" s="1"/>
  <c r="D34" i="36"/>
  <c r="B3411" i="106"/>
  <c r="D3411" i="106" s="1"/>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<sst xmlns="http://schemas.openxmlformats.org/spreadsheetml/2006/main" count="5115" uniqueCount="2140">
  <si>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</si>
  <si>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</si>
  <si>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</si>
  <si>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</si>
  <si>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</si>
  <si>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</si>
  <si>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</si>
  <si>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</si>
  <si>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</si>
  <si>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</si>
  <si>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</si>
  <si>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</si>
  <si>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</si>
  <si>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</si>
  <si>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</si>
  <si>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</si>
  <si>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</si>
  <si>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</si>
  <si>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</si>
  <si>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</si>
  <si>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</si>
  <si>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</si>
  <si>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</si>
  <si>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</si>
  <si>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</si>
  <si>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</si>
  <si>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</si>
  <si>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</si>
  <si>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</si>
  <si>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</si>
  <si>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</si>
  <si>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</si>
  <si>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</si>
  <si>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</si>
  <si>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</si>
  <si>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</si>
  <si>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</si>
  <si>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</si>
  <si>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</si>
  <si>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</si>
  <si>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</si>
  <si>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</si>
  <si>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</si>
  <si>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</si>
  <si>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</si>
  <si>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</si>
  <si>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</si>
  <si>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</si>
  <si>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</si>
  <si>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</si>
  <si>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</si>
  <si>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</si>
  <si>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</si>
  <si>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</si>
  <si>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</si>
  <si>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</si>
  <si>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</si>
  <si>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</si>
  <si>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</si>
  <si>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</si>
  <si>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</si>
  <si>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</si>
  <si>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</si>
  <si>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</si>
  <si>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</si>
  <si>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</si>
  <si>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</si>
  <si>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</si>
  <si>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</si>
  <si>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</si>
  <si>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</si>
  <si>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</si>
  <si>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</si>
  <si>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</si>
  <si>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</si>
  <si>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</si>
  <si>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</si>
  <si>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</si>
  <si>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</si>
  <si>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</si>
  <si>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</si>
  <si>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</si>
  <si>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</si>
  <si>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</si>
  <si>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</si>
  <si>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</si>
  <si>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</si>
  <si>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</si>
  <si>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</si>
  <si>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</si>
  <si>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</si>
  <si>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</si>
  <si>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</si>
  <si>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</si>
  <si>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</si>
  <si>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</si>
  <si>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</si>
  <si>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</si>
  <si>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</si>
  <si>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</si>
  <si>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</si>
  <si>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</si>
  <si>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</si>
  <si>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</si>
  <si>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</si>
  <si>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</si>
  <si>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</si>
  <si>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</si>
  <si>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</si>
  <si>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</si>
  <si>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</si>
  <si>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</si>
  <si>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</si>
  <si>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</si>
  <si>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</si>
  <si>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</si>
  <si>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</si>
  <si>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</si>
  <si>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</si>
  <si>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</si>
  <si>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</si>
  <si>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</si>
  <si>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</si>
  <si>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</si>
  <si>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</si>
  <si>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</si>
  <si>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</si>
  <si>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</si>
  <si>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</si>
  <si>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</si>
  <si>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</si>
  <si>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</si>
  <si>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</si>
  <si>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</si>
  <si>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</si>
  <si>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</si>
  <si>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</si>
  <si>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</si>
  <si>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</si>
  <si>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</si>
  <si>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</si>
  <si>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</si>
  <si>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</si>
  <si>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</si>
  <si>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</si>
  <si>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</si>
  <si>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</si>
  <si>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</si>
  <si>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</si>
  <si>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</si>
  <si>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</si>
  <si>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</si>
  <si>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</si>
  <si>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</si>
  <si>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</si>
  <si>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</si>
  <si>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</si>
  <si>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</si>
  <si>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</si>
  <si>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</si>
  <si>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</si>
  <si>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</si>
  <si>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</si>
  <si>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</si>
  <si>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</si>
  <si>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</si>
  <si>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</si>
  <si>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</si>
  <si>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</si>
  <si>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</si>
  <si>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</si>
  <si>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</si>
  <si>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</si>
  <si>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</si>
  <si>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</si>
  <si>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</si>
  <si>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</si>
  <si>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</si>
  <si>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</si>
  <si>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</si>
  <si>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</si>
  <si>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</si>
  <si>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</si>
  <si>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</si>
  <si>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</si>
  <si>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</si>
  <si>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</si>
  <si>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</si>
  <si>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</si>
  <si>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</si>
  <si>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</si>
  <si>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</si>
  <si>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</si>
  <si>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</si>
  <si>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</si>
  <si>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</si>
  <si>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</si>
  <si>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</si>
  <si>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</si>
  <si>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</si>
  <si>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</si>
  <si>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</si>
  <si>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</si>
  <si>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</si>
  <si>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</si>
  <si>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</si>
  <si>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</si>
  <si>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</si>
  <si>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</si>
  <si>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</si>
  <si>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</si>
  <si>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</si>
  <si>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</si>
  <si>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</si>
  <si>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</si>
  <si>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</si>
  <si>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</si>
  <si>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</si>
  <si>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</si>
  <si>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</si>
  <si>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</si>
  <si>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</si>
  <si>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</si>
  <si>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</si>
  <si>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</si>
  <si>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</si>
  <si>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</si>
  <si>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</si>
  <si>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</si>
  <si>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</si>
  <si>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</si>
  <si>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</si>
  <si>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</si>
  <si>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</si>
  <si>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</si>
  <si>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</si>
  <si>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</si>
  <si>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</si>
  <si>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</si>
  <si>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</si>
  <si>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</si>
  <si>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</si>
  <si>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</si>
  <si>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</si>
  <si>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</si>
  <si>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</si>
  <si>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</si>
  <si>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</si>
  <si>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</si>
  <si>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</si>
  <si>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</si>
  <si>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</si>
  <si>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</si>
  <si>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</si>
  <si>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</si>
  <si>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</si>
  <si>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</si>
  <si>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</si>
  <si>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</si>
  <si>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</si>
  <si>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</si>
  <si>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</si>
  <si>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</si>
  <si>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</si>
  <si>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</si>
  <si>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</si>
  <si>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</si>
  <si>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</si>
  <si>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</si>
  <si>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</si>
  <si>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</si>
  <si>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</si>
  <si>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</si>
  <si>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</si>
  <si>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</si>
  <si>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</si>
  <si>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</si>
  <si>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</si>
  <si>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</si>
  <si>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</si>
  <si>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</si>
  <si>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</si>
  <si>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</si>
  <si>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</si>
  <si>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</si>
  <si>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</si>
  <si>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</si>
  <si>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</si>
  <si>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</si>
  <si>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</si>
  <si>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</si>
  <si>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</si>
  <si>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</si>
  <si>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</si>
  <si>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</si>
  <si>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</si>
  <si>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</si>
  <si>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</si>
  <si>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</si>
  <si>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</si>
  <si>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</si>
  <si>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</si>
  <si>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</si>
  <si>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</si>
  <si>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</si>
  <si>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</si>
  <si>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</si>
  <si>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</si>
  <si>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</si>
  <si>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</si>
  <si>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</si>
  <si>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</si>
  <si>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</si>
  <si>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</si>
  <si>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</si>
  <si>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</si>
  <si>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</si>
  <si>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</si>
  <si>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</si>
  <si>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</si>
  <si>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</si>
  <si>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</si>
  <si>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</si>
  <si>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</si>
  <si>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</si>
  <si>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</si>
  <si>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</si>
  <si>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</si>
  <si>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</si>
  <si>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</si>
  <si>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</si>
  <si>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</si>
  <si>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</si>
  <si>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</si>
  <si>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</si>
  <si>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</si>
  <si>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</si>
  <si>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</si>
  <si>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</si>
  <si>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</si>
  <si>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</si>
  <si>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</si>
  <si>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</si>
  <si>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</si>
  <si>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</si>
  <si>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</si>
  <si>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</si>
  <si>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</si>
  <si>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</si>
  <si>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</si>
  <si>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</si>
  <si>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</si>
  <si>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</si>
  <si>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</si>
  <si>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</si>
  <si>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</si>
  <si>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</si>
  <si>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</si>
  <si>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</si>
  <si>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</si>
  <si>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</si>
  <si>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</si>
  <si>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</si>
  <si>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</si>
  <si>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</si>
  <si>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</si>
  <si>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</si>
  <si>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</si>
  <si>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</si>
  <si>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</si>
  <si>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</si>
  <si>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</si>
  <si>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</si>
  <si>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</si>
  <si>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</si>
  <si>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</si>
  <si>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</si>
  <si>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</si>
  <si>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</si>
  <si>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</si>
  <si>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</si>
  <si>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</si>
  <si>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</si>
  <si>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</si>
  <si>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</si>
  <si>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</si>
  <si>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</si>
  <si>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</si>
  <si>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</si>
  <si>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</si>
  <si>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</si>
  <si>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</si>
  <si>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</si>
  <si>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</si>
  <si>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</si>
  <si>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</si>
  <si>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</si>
  <si>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</si>
  <si>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</si>
  <si>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</si>
  <si>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</si>
  <si>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</si>
  <si>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</si>
  <si>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</si>
  <si>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</si>
  <si>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</si>
  <si>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</si>
  <si>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</si>
  <si>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</si>
  <si>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</si>
  <si>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</si>
  <si>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</si>
  <si>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</si>
  <si>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</si>
  <si>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</si>
  <si>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</si>
  <si>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</si>
  <si>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</si>
  <si>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</si>
  <si>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</si>
  <si>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</si>
  <si>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</si>
  <si>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</si>
  <si>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</si>
  <si>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</si>
  <si>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</si>
  <si>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</si>
  <si>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</si>
  <si>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</si>
  <si>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</si>
  <si>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</si>
  <si>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</si>
  <si>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</si>
  <si>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</si>
  <si>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</si>
  <si>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</si>
  <si>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</si>
  <si>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</si>
  <si>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</si>
  <si>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</si>
  <si>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</si>
  <si>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</si>
  <si>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</si>
  <si>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</si>
  <si>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</si>
  <si>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</si>
  <si>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</si>
  <si>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</si>
  <si>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</si>
  <si>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</si>
  <si>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</si>
  <si>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</si>
  <si>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</si>
  <si>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</si>
  <si>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</si>
  <si>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</si>
  <si>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</si>
  <si>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</si>
  <si>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</si>
  <si>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</si>
  <si>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</si>
  <si>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</si>
  <si>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</si>
  <si>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</si>
  <si>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</si>
  <si>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</si>
  <si>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</si>
  <si>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</si>
  <si>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</si>
  <si>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</si>
  <si>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</si>
  <si>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</si>
  <si>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</si>
  <si>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</si>
  <si>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</si>
  <si>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</si>
  <si>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</si>
  <si>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</si>
  <si>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</si>
  <si>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</si>
  <si>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</si>
  <si>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</si>
  <si>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</si>
  <si>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</si>
  <si>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</si>
  <si>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</si>
  <si>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</si>
  <si>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</si>
  <si>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</si>
  <si>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</si>
  <si>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</si>
  <si>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</si>
  <si>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</si>
  <si>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</si>
  <si>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</si>
  <si>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</si>
  <si>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</si>
  <si>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</si>
  <si>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</si>
  <si>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</si>
  <si>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</si>
  <si>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</si>
  <si>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</si>
  <si>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</si>
  <si>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</si>
  <si>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</si>
  <si>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</si>
  <si>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</si>
  <si>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</si>
  <si>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</si>
  <si>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</si>
  <si>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</si>
  <si>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</si>
  <si>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</si>
  <si>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</si>
  <si>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</si>
  <si>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</si>
  <si>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</si>
  <si>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</si>
  <si>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</si>
  <si>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</si>
  <si>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</si>
  <si>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</si>
  <si>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</si>
  <si>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</si>
  <si>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</si>
  <si>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</si>
  <si>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</si>
  <si>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</si>
  <si>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</si>
  <si>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</si>
  <si>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</si>
  <si>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</si>
  <si>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</si>
  <si>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</si>
  <si>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</si>
  <si>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</si>
  <si>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</si>
  <si>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</si>
  <si>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</si>
  <si>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</si>
  <si>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</si>
  <si>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</si>
  <si>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</si>
  <si>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</si>
  <si>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</si>
  <si>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</si>
  <si>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</si>
  <si>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</si>
  <si>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</si>
  <si>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</si>
  <si>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</si>
  <si>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</si>
  <si>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</si>
  <si>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</si>
  <si>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</si>
  <si>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</si>
  <si>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</si>
  <si>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</si>
  <si>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</si>
  <si>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</si>
  <si>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</si>
  <si>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</si>
  <si>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</si>
  <si>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</si>
  <si>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</si>
  <si>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</si>
  <si>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</si>
  <si>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</si>
  <si>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</si>
  <si>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</si>
  <si>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</si>
  <si>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</si>
  <si>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</si>
  <si>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</si>
  <si>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</si>
  <si>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</si>
  <si>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</si>
  <si>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</si>
  <si>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</si>
  <si>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</si>
  <si>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</si>
  <si>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</si>
  <si>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</si>
  <si>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</si>
  <si>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</si>
  <si>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</si>
  <si>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</si>
  <si>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</si>
  <si>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</si>
  <si>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</si>
  <si>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</si>
  <si>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</si>
  <si>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</si>
  <si>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</si>
  <si>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</si>
  <si>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</si>
  <si>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</si>
  <si>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</si>
  <si>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</si>
  <si>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</si>
  <si>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</si>
  <si>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</si>
  <si>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</si>
  <si>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</si>
  <si>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</si>
  <si>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</si>
  <si>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</si>
  <si>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</si>
  <si>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</si>
  <si>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</si>
  <si>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</si>
  <si>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</si>
  <si>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</si>
  <si>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</si>
  <si>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</si>
  <si>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</si>
  <si>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</si>
  <si>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</si>
  <si>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</si>
  <si>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</si>
  <si>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</si>
  <si>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</si>
  <si>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</si>
  <si>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</si>
  <si>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</si>
  <si>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</si>
  <si>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</si>
  <si>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</si>
  <si>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</si>
  <si>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</si>
  <si>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</si>
  <si>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</si>
  <si>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</si>
  <si>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</si>
  <si>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</si>
  <si>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</si>
  <si>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</si>
  <si>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</si>
  <si>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</si>
  <si>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</si>
  <si>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</si>
  <si>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</si>
  <si>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</si>
  <si>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</si>
  <si>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</si>
  <si>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</si>
  <si>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</si>
  <si>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</si>
  <si>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</si>
  <si>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</si>
  <si>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</si>
  <si>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</si>
  <si>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</si>
  <si>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</si>
  <si>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</si>
  <si>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</si>
  <si>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</si>
  <si>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</si>
  <si>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</si>
  <si>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</si>
  <si>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</si>
  <si>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</si>
  <si>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</si>
  <si>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</si>
  <si>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</si>
  <si>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</si>
  <si>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</si>
  <si>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</si>
  <si>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</si>
  <si>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</si>
  <si>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</si>
  <si>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</si>
  <si>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</si>
  <si>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</si>
  <si>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</si>
  <si>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</si>
  <si>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</si>
  <si>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</si>
  <si>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</si>
  <si>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</si>
  <si>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</si>
  <si>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</si>
  <si>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</si>
  <si>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</si>
  <si>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</si>
  <si>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</si>
  <si>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</si>
  <si>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</si>
  <si>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</si>
  <si>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</si>
  <si>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</si>
  <si>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</si>
  <si>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</si>
  <si>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</si>
  <si>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</si>
  <si>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</si>
  <si>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</si>
  <si>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</si>
  <si>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</si>
  <si>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</si>
  <si>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</si>
  <si>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</si>
  <si>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</si>
  <si>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</si>
  <si>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</si>
  <si>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</si>
  <si>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</si>
  <si>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</si>
  <si>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</si>
  <si>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</si>
  <si>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</si>
  <si>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</si>
  <si>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</si>
  <si>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</si>
  <si>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</si>
  <si>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</si>
  <si>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</si>
  <si>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</si>
  <si>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</si>
  <si>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</si>
  <si>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</si>
  <si>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</si>
  <si>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</si>
  <si>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</si>
  <si>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</si>
  <si>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</si>
  <si>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</si>
  <si>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</si>
  <si>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</si>
  <si>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</si>
  <si>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</si>
  <si>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</si>
  <si>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</si>
  <si>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</si>
  <si>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</si>
  <si>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</si>
  <si>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</si>
  <si>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</si>
  <si>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</si>
  <si>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</si>
  <si>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</si>
  <si>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</si>
  <si>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</si>
  <si>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</si>
  <si>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</si>
  <si>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</si>
  <si>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</si>
  <si>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</si>
  <si>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</si>
  <si>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</si>
  <si>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</si>
  <si>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</si>
  <si>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</si>
  <si>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</si>
  <si>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</si>
  <si>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</si>
  <si>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</si>
  <si>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</si>
  <si>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</si>
  <si>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</si>
  <si>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</si>
  <si>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</si>
  <si>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</si>
  <si>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</si>
  <si>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</si>
  <si>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</si>
  <si>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</si>
  <si>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</si>
  <si>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</si>
  <si>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</si>
  <si>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</si>
  <si>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</si>
  <si>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</si>
  <si>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</si>
  <si>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</si>
  <si>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</si>
  <si>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</si>
  <si>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</si>
  <si>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</si>
  <si>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</si>
  <si>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</si>
  <si>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</si>
  <si>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</si>
  <si>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</si>
  <si>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</si>
  <si>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</si>
  <si>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</si>
  <si>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</si>
  <si>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</si>
  <si>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</si>
  <si>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</si>
  <si>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</si>
  <si>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</si>
  <si>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</si>
  <si>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</si>
  <si>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</si>
  <si>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</si>
  <si>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</si>
  <si>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</si>
  <si>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</si>
  <si>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</si>
  <si>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</si>
  <si>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</si>
  <si>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</si>
  <si>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</si>
  <si>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</si>
  <si>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</si>
  <si>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</si>
  <si>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</si>
  <si>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</si>
  <si>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</si>
  <si>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</si>
  <si>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</si>
  <si>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</si>
  <si>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</si>
  <si>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</si>
  <si>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</si>
  <si>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</si>
  <si>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</si>
  <si>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</si>
  <si>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</si>
  <si>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</si>
  <si>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</si>
  <si>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</si>
  <si>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</si>
  <si>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</si>
  <si>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</si>
  <si>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</si>
  <si>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</si>
  <si>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</si>
  <si>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</si>
  <si>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</si>
  <si>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</si>
  <si>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</si>
  <si>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</si>
  <si>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</si>
  <si>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</si>
  <si>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</si>
  <si>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</si>
  <si>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</si>
  <si>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</si>
  <si>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</si>
  <si>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</si>
  <si>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</si>
  <si>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</si>
  <si>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</si>
  <si>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</si>
  <si>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</si>
  <si>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</si>
  <si>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</si>
  <si>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</si>
  <si>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</si>
  <si>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</si>
  <si>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</si>
  <si>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</si>
  <si>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</si>
  <si>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</si>
  <si>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</si>
  <si>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</si>
  <si>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</si>
  <si>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</si>
  <si>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</si>
  <si>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</si>
  <si>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</si>
  <si>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</si>
  <si>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</si>
  <si>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</si>
  <si>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</si>
  <si>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</si>
  <si>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</si>
  <si>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</si>
  <si>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</si>
  <si>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</si>
  <si>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</si>
  <si>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</si>
  <si>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</si>
  <si>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</si>
  <si>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</si>
  <si>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</si>
  <si>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</si>
  <si>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</si>
  <si>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</si>
  <si>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</si>
  <si>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</si>
  <si>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</si>
  <si>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</si>
  <si>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</si>
  <si>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</si>
  <si>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</si>
  <si>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</si>
  <si>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</si>
  <si>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</si>
  <si>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</si>
  <si>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</si>
  <si>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</si>
  <si>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</si>
  <si>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</si>
  <si>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</si>
  <si>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</si>
  <si>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</si>
  <si>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</si>
  <si>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</si>
  <si>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</si>
  <si>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</si>
  <si>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</si>
  <si>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</si>
  <si>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</si>
  <si>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</si>
  <si>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</si>
  <si>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</si>
  <si>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</si>
  <si>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</si>
  <si>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</si>
  <si>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</si>
  <si>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</si>
  <si>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</si>
  <si>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</si>
  <si>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</si>
  <si>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</si>
  <si>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</si>
  <si>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</si>
  <si>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</si>
  <si>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</si>
  <si>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</si>
  <si>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</si>
  <si>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</si>
  <si>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</si>
  <si>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</si>
  <si>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</si>
  <si>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</si>
  <si>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</si>
  <si>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</si>
  <si>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</si>
  <si>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</si>
  <si>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</si>
  <si>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</si>
  <si>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</si>
  <si>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</si>
  <si>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</si>
  <si>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</si>
  <si>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</si>
  <si>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</si>
  <si>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</si>
  <si>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</si>
  <si>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</si>
  <si>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</si>
  <si>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</si>
  <si>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</si>
  <si>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</si>
  <si>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</si>
  <si>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</si>
  <si>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</si>
  <si>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</si>
  <si>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</si>
  <si>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</si>
  <si>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</si>
  <si>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</si>
  <si>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</si>
  <si>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</si>
  <si>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</si>
  <si>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</si>
  <si>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</si>
  <si>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</si>
  <si>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</si>
  <si>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</si>
  <si>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</si>
  <si>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</si>
  <si>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</si>
  <si>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</si>
  <si>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</si>
  <si>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</si>
  <si>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</si>
  <si>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</si>
  <si>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</si>
  <si>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</si>
  <si>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</si>
  <si>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</si>
  <si>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</si>
  <si>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</si>
  <si>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</si>
  <si>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</si>
  <si>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</si>
  <si>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</si>
  <si>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</si>
  <si>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</si>
  <si>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</si>
  <si>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</si>
  <si>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</si>
  <si>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</si>
  <si>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</si>
  <si>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</si>
  <si>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</si>
  <si>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</si>
  <si>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</si>
  <si>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</si>
  <si>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</si>
  <si>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</si>
  <si>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</si>
  <si>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</si>
  <si>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</si>
  <si>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</si>
  <si>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</si>
  <si>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</si>
  <si>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</si>
  <si>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</si>
  <si>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</si>
  <si>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</si>
  <si>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</si>
  <si>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</si>
  <si>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</si>
  <si>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</si>
  <si>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</si>
  <si>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</si>
  <si>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</si>
  <si>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</si>
  <si>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</si>
  <si>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</si>
  <si>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</si>
  <si>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</si>
  <si>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</si>
  <si>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</si>
  <si>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</si>
  <si>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</si>
  <si>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</si>
  <si>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</si>
  <si>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</si>
  <si>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</si>
  <si>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</si>
  <si>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</si>
  <si>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</si>
  <si>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</si>
  <si>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</si>
  <si>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</si>
  <si>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</si>
  <si>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</si>
  <si>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</si>
  <si>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</si>
  <si>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</si>
  <si>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</si>
  <si>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</si>
  <si>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</si>
  <si>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</si>
  <si>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</si>
  <si>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</si>
  <si>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</si>
  <si>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</si>
  <si>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</si>
  <si>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</si>
  <si>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</si>
  <si>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</si>
  <si>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</si>
  <si>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</si>
  <si>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</si>
  <si>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</si>
  <si>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</si>
  <si>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</si>
  <si>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</si>
  <si>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</si>
  <si>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</si>
  <si>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</si>
  <si>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</si>
  <si>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</si>
  <si>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</si>
  <si>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</si>
  <si>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</si>
  <si>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</si>
  <si>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</si>
  <si>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</si>
  <si>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</si>
  <si>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</si>
  <si>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</si>
  <si>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</si>
  <si>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</si>
  <si>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</si>
  <si>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</si>
  <si>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</si>
  <si>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</si>
  <si>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</si>
  <si>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</si>
  <si>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</si>
  <si>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</si>
  <si>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</si>
  <si>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</si>
  <si>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</si>
  <si>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</si>
  <si>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</si>
  <si>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</si>
  <si>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</si>
  <si>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</si>
  <si>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</si>
  <si>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</si>
  <si>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</si>
  <si>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</si>
  <si>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</si>
  <si>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</si>
  <si>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</si>
  <si>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</si>
  <si>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</si>
  <si>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</si>
  <si>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</si>
  <si>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</si>
  <si>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</si>
  <si>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</si>
  <si>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</si>
  <si>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</si>
  <si>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</si>
  <si>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</si>
  <si>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</si>
  <si>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</si>
  <si>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</si>
  <si>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</si>
  <si>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</si>
  <si>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</si>
  <si>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</si>
  <si>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</si>
  <si>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</si>
  <si>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</si>
  <si>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</si>
  <si>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</si>
  <si>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</si>
  <si>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</si>
  <si>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</si>
  <si>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</si>
  <si>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</si>
  <si>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</si>
  <si>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</si>
  <si>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</si>
  <si>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</si>
  <si>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</si>
  <si>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</si>
  <si>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</si>
  <si>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</si>
  <si>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</si>
  <si>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</si>
  <si>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</si>
  <si>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</si>
  <si>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</si>
  <si>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</si>
  <si>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</si>
  <si>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</si>
  <si>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</si>
  <si>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</si>
  <si>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</si>
  <si>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</si>
  <si>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</si>
  <si>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</si>
  <si>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</si>
  <si>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</si>
  <si>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</si>
  <si>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</si>
  <si>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</si>
  <si>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</si>
  <si>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</si>
  <si>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</si>
  <si>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</si>
  <si>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</si>
  <si>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</si>
  <si>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</si>
  <si>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</si>
  <si>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</si>
  <si>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</si>
  <si>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</si>
  <si>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</si>
  <si>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</si>
  <si>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</si>
  <si>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</si>
  <si>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</si>
  <si>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</si>
  <si>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</si>
  <si>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</si>
  <si>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</si>
  <si>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</si>
  <si>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</si>
  <si>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</si>
  <si>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</si>
  <si>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</si>
  <si>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</si>
  <si>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</si>
  <si>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</si>
  <si>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</si>
  <si>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</si>
  <si>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</si>
  <si>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</si>
  <si>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</si>
  <si>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</si>
  <si>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</si>
  <si>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</si>
  <si>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</si>
  <si>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</si>
  <si>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</si>
  <si>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</si>
  <si>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</si>
  <si>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</si>
  <si>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</si>
  <si>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</si>
  <si>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</si>
  <si>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</si>
  <si>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</si>
  <si>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</si>
  <si>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</si>
  <si>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</si>
  <si>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</si>
  <si>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</si>
  <si>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</si>
  <si>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</si>
  <si>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</si>
  <si>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</si>
  <si>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</si>
  <si>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</si>
  <si>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</si>
  <si>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</si>
  <si>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</si>
  <si>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</si>
  <si>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</si>
  <si>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</si>
  <si>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</si>
  <si>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</si>
  <si>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</si>
  <si>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</si>
  <si>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</si>
  <si>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</si>
  <si>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</si>
  <si>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</si>
  <si>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</si>
  <si>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</si>
  <si>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</si>
  <si>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</si>
  <si>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</si>
  <si>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</si>
  <si>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</si>
  <si>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</si>
  <si>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</si>
  <si>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</si>
  <si>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</si>
  <si>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</si>
  <si>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</si>
  <si>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</si>
  <si>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</si>
  <si>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</si>
  <si>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</si>
  <si>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</si>
  <si>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</si>
  <si>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</si>
  <si>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</si>
  <si>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</si>
  <si>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</si>
  <si>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</si>
  <si>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</si>
  <si>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</si>
  <si>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</si>
  <si>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</si>
  <si>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</si>
  <si>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</si>
  <si>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</si>
  <si>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</si>
  <si>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</si>
  <si>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</si>
  <si>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</si>
  <si>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</si>
  <si>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</si>
  <si>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</si>
  <si>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</si>
  <si>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</si>
  <si>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</si>
  <si>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</si>
  <si>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</si>
  <si>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</si>
  <si>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</si>
  <si>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</si>
  <si>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</si>
  <si>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</si>
  <si>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</si>
  <si>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</si>
  <si>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</si>
  <si>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</si>
  <si>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</si>
  <si>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</si>
  <si>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</si>
  <si>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</si>
  <si>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</si>
  <si>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</si>
  <si>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</si>
  <si>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</si>
  <si>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</si>
  <si>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</si>
  <si>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</si>
  <si>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</si>
  <si>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</si>
  <si>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</si>
  <si>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</si>
  <si>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</si>
  <si>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</si>
  <si>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</si>
  <si>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</si>
  <si>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</si>
  <si>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</si>
  <si>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</si>
  <si>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</si>
  <si>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</si>
  <si>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</si>
  <si>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</si>
  <si>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</si>
  <si>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</si>
  <si>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</si>
  <si>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</si>
  <si>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</si>
  <si>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</si>
  <si>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</si>
  <si>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</si>
  <si>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</si>
  <si>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</si>
  <si>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</si>
  <si>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</si>
  <si>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</si>
  <si>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</si>
  <si>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</si>
  <si>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</si>
  <si>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</si>
  <si>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</si>
  <si>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</si>
  <si>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</si>
  <si>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</si>
  <si>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</si>
  <si>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</si>
  <si>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</si>
  <si>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</si>
  <si>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</si>
  <si>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</si>
  <si>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</si>
  <si>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</si>
  <si>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</si>
  <si>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</si>
  <si>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</si>
  <si>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</si>
  <si>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</si>
  <si>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</si>
  <si>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</si>
  <si>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</si>
  <si>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</si>
  <si>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</si>
  <si>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</si>
  <si>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</si>
  <si>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</si>
  <si>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</si>
  <si>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</si>
  <si>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</si>
  <si>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</si>
  <si>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</si>
  <si>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</si>
  <si>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</si>
  <si>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</si>
  <si>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</si>
  <si>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</si>
  <si>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</si>
  <si>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</si>
  <si>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</si>
  <si>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</si>
  <si>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</si>
  <si>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</si>
  <si>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</si>
  <si>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</si>
  <si>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</si>
  <si>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</si>
  <si>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</si>
  <si>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</si>
  <si>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</si>
  <si>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</si>
  <si>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</si>
  <si>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</si>
  <si>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</si>
  <si>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</si>
  <si>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</si>
  <si>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</si>
  <si>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</si>
  <si>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</si>
  <si>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</si>
  <si>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</si>
  <si>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</si>
  <si>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</si>
  <si>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</si>
  <si>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</si>
  <si>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</si>
  <si>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</si>
  <si>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</si>
  <si>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</si>
  <si>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</si>
  <si>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</si>
  <si>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</si>
  <si>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</si>
  <si>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</si>
  <si>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</si>
  <si>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</si>
  <si>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</si>
  <si>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</si>
  <si>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</si>
  <si>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</si>
  <si>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</si>
  <si>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</si>
  <si>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</si>
  <si>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</si>
  <si>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</si>
  <si>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</si>
  <si>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</si>
  <si>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</si>
  <si>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</si>
  <si>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</si>
  <si>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</si>
  <si>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</si>
  <si>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</si>
  <si>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</si>
  <si>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</si>
  <si>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</si>
  <si>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</si>
  <si>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</si>
  <si>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</si>
  <si>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</si>
  <si>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</si>
  <si>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</si>
  <si>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</si>
  <si>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</si>
  <si>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</si>
  <si>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</si>
  <si>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</si>
  <si>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</si>
  <si>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</si>
  <si>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</si>
  <si>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</si>
  <si>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</si>
  <si>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</si>
  <si>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</si>
  <si>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</si>
  <si>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</si>
  <si>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</si>
  <si>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</si>
  <si>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</si>
  <si>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</si>
  <si>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</si>
  <si>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</si>
  <si>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</si>
  <si>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</si>
  <si>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</si>
  <si>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</si>
  <si>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</si>
  <si>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</si>
  <si>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</si>
  <si>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</si>
  <si>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</si>
  <si>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</si>
  <si>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</si>
  <si>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</si>
  <si>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</si>
  <si>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</si>
  <si>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</si>
  <si>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</si>
  <si>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</si>
  <si>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</si>
  <si>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</si>
  <si>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</si>
  <si>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</si>
  <si>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</si>
  <si>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</si>
  <si>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</si>
  <si>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</si>
  <si>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</si>
  <si>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</si>
  <si>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</si>
  <si>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</si>
  <si>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</si>
  <si>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</si>
  <si>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</si>
  <si>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</si>
  <si>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</si>
  <si>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</si>
  <si>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</si>
  <si>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</si>
  <si>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</si>
  <si>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</si>
  <si>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</si>
  <si>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</si>
  <si>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</si>
  <si>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</si>
  <si>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</si>
  <si>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</si>
  <si>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</si>
  <si>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</si>
  <si>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</si>
  <si>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</si>
  <si>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</si>
  <si>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</si>
  <si>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</si>
  <si>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</si>
  <si>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</si>
  <si>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</si>
  <si>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</si>
  <si>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</si>
  <si>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</si>
  <si>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</si>
  <si>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</si>
  <si>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</si>
  <si>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</si>
  <si>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</si>
  <si>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</si>
  <si>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</si>
  <si>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</si>
  <si>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</si>
  <si>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</si>
  <si>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</si>
  <si>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</si>
  <si>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</si>
  <si>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</si>
  <si>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</si>
  <si>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</si>
  <si>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</si>
  <si>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</si>
  <si>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</si>
  <si>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</si>
  <si>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</si>
  <si>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</si>
  <si>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</si>
  <si>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</si>
  <si>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</si>
  <si>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</si>
  <si>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</si>
  <si>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</si>
  <si>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</si>
  <si>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</si>
  <si>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</si>
  <si>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</si>
  <si>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</si>
  <si>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</si>
  <si>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</si>
  <si>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</si>
  <si>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</si>
  <si>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</si>
  <si>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</si>
  <si>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</si>
  <si>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</si>
  <si>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</si>
  <si>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</si>
  <si>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</si>
  <si>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</si>
  <si>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</si>
  <si>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</si>
  <si>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</si>
  <si>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</si>
  <si>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</si>
  <si>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</si>
  <si>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</si>
  <si>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</si>
  <si>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</si>
  <si>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</si>
  <si>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</si>
  <si>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</si>
  <si>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</si>
  <si>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</si>
  <si>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</si>
  <si>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</si>
  <si>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</si>
  <si>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</si>
  <si>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</si>
  <si>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</si>
  <si>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</si>
  <si>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</si>
  <si>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</si>
  <si>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</si>
  <si>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</si>
  <si>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</si>
  <si>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</si>
  <si>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</si>
  <si>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</si>
  <si>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</si>
  <si>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</si>
  <si>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</si>
  <si>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</si>
  <si>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</si>
  <si>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</si>
  <si>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</si>
  <si>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</si>
  <si>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</si>
  <si>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</si>
  <si>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</si>
  <si>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</si>
  <si>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</si>
  <si>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</si>
  <si>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</si>
  <si>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</si>
  <si>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</si>
  <si>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</si>
  <si>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</si>
  <si>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</si>
  <si>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</si>
  <si>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</si>
  <si>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</si>
  <si>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</si>
  <si>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</si>
  <si>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</si>
  <si>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</si>
  <si>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</si>
  <si>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</si>
  <si>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</si>
  <si>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</si>
  <si>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</si>
  <si>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</si>
  <si>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</si>
  <si>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</si>
  <si>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</si>
  <si>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</si>
  <si>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</si>
  <si>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</si>
  <si>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</si>
  <si>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</si>
  <si>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</si>
  <si>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</si>
  <si>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</si>
  <si>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</si>
  <si>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</si>
  <si>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</si>
  <si>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</si>
  <si>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</si>
  <si>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</si>
  <si>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</si>
  <si>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</si>
  <si>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</si>
  <si>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</si>
  <si>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</si>
  <si>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</si>
  <si>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</si>
  <si>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</si>
  <si>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</si>
  <si>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</si>
  <si>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</si>
  <si>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</si>
  <si>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</si>
  <si>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</si>
  <si>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</si>
  <si>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</si>
  <si>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</si>
  <si>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</si>
  <si>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</si>
  <si>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</si>
  <si>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</si>
  <si>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</si>
  <si>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</si>
  <si>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</si>
  <si>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</si>
  <si>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</si>
  <si>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</si>
  <si>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</si>
  <si>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</si>
  <si>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</si>
  <si>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</si>
  <si>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</si>
  <si>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</si>
  <si>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</si>
  <si>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</si>
  <si>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</si>
  <si>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</si>
  <si>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</si>
  <si>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</si>
  <si>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</si>
  <si>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</si>
  <si>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</si>
  <si>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</si>
  <si>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</si>
  <si>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</si>
  <si>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</si>
  <si>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</si>
  <si>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</si>
  <si>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</si>
  <si>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</si>
  <si>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</si>
  <si>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</si>
  <si>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</si>
  <si>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</si>
  <si>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</si>
  <si>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</si>
  <si>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</si>
  <si>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</si>
  <si>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</si>
  <si>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</si>
  <si>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</si>
  <si>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</si>
  <si>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</si>
  <si>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</si>
  <si>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</si>
  <si>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</si>
  <si>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</si>
  <si>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</si>
  <si>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</si>
  <si>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</si>
  <si>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</si>
  <si>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</si>
  <si>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</si>
  <si>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</si>
  <si>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</si>
  <si>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</si>
  <si>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</si>
  <si>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</si>
  <si>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</si>
  <si>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</si>
  <si>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</si>
  <si>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</si>
  <si>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</si>
  <si>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</si>
  <si>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</si>
  <si>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</si>
  <si>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</si>
  <si>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</si>
  <si>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</si>
  <si>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</si>
  <si>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</si>
  <si>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</si>
  <si>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</si>
  <si>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</si>
  <si>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</si>
  <si>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</si>
  <si>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</si>
  <si>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</si>
  <si>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</si>
  <si>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</si>
  <si>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</si>
  <si>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</si>
  <si>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</si>
  <si>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</si>
  <si>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</si>
  <si>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</si>
  <si>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</si>
  <si>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</si>
  <si>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</si>
  <si>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</si>
  <si>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</si>
  <si>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</si>
  <si>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</si>
  <si>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</si>
  <si>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</si>
  <si>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</si>
  <si>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</si>
  <si>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</si>
  <si>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</si>
  <si>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</si>
  <si>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</si>
  <si>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</si>
  <si>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</si>
  <si>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</si>
  <si>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</si>
  <si>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</si>
  <si>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</si>
  <si>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</si>
  <si>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</si>
  <si>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</si>
  <si>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</si>
  <si>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</si>
  <si>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</si>
  <si>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</si>
  <si>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</si>
  <si>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</si>
  <si>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</si>
  <si>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</si>
  <si>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</si>
  <si>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</si>
  <si>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</si>
  <si>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</si>
  <si>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</si>
  <si>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</si>
  <si>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</si>
  <si>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</si>
  <si>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</si>
  <si>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</si>
  <si>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</si>
  <si>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</si>
  <si>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</si>
  <si>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</si>
  <si>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</si>
  <si>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</si>
  <si>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</si>
  <si>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</si>
  <si>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</si>
  <si>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</si>
  <si>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</si>
  <si>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</si>
  <si>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</si>
  <si>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</si>
  <si>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</si>
  <si>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</si>
  <si>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</si>
  <si>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</si>
  <si>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</si>
  <si>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</si>
  <si>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</si>
  <si>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</si>
  <si>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</si>
  <si>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</si>
  <si>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</si>
  <si>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</si>
  <si>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</si>
  <si>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</si>
  <si>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</si>
  <si>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</si>
  <si>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</si>
  <si>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</si>
  <si>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</si>
  <si>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</si>
  <si>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</si>
  <si>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</si>
  <si>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</si>
  <si>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</si>
  <si>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</si>
  <si>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</si>
  <si>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</si>
  <si>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</si>
  <si>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</si>
  <si>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</si>
  <si>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</si>
  <si>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</si>
  <si>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</si>
  <si>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</si>
  <si>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</si>
  <si>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</si>
  <si>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</si>
  <si>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</si>
  <si>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</si>
  <si>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</si>
  <si>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</si>
  <si>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</si>
  <si>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</si>
  <si>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</si>
  <si>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</si>
  <si>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</si>
  <si>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</si>
  <si>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</si>
  <si>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</si>
  <si>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</si>
  <si>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</si>
  <si>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</si>
  <si>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</si>
  <si>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</si>
  <si>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</si>
  <si>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</si>
  <si>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</si>
  <si>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</si>
  <si>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</si>
  <si>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</si>
  <si>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</si>
  <si>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</si>
  <si>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</si>
  <si>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</si>
  <si>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</si>
  <si>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</si>
  <si>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</si>
  <si>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</si>
  <si>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</si>
  <si>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</si>
  <si>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</si>
  <si>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</si>
  <si>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</si>
  <si>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</si>
  <si>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</si>
  <si>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</si>
  <si>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</si>
  <si>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</si>
  <si>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</si>
  <si>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</si>
  <si>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</si>
  <si>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</si>
  <si>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</si>
  <si>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</si>
  <si>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</si>
  <si>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</si>
  <si>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</si>
  <si>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</si>
  <si>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</si>
  <si>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</si>
  <si>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</si>
  <si>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</si>
  <si>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</si>
  <si>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</si>
  <si>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</si>
  <si>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</si>
  <si>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</si>
  <si>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</si>
  <si>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</si>
  <si>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</si>
  <si>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</si>
  <si>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</si>
  <si>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</si>
  <si>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</si>
  <si>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</si>
  <si>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</si>
  <si>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</si>
  <si>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</si>
  <si>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</si>
  <si>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</si>
  <si>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</si>
  <si>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</si>
  <si>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</si>
  <si>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</si>
  <si>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</si>
  <si>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</si>
  <si>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</si>
  <si>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</si>
  <si>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</si>
  <si>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</si>
  <si>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</si>
  <si>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</si>
  <si>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</si>
  <si>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</si>
  <si>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</si>
  <si>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</si>
  <si>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</si>
  <si>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</si>
  <si>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</si>
  <si>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</si>
  <si>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</si>
  <si>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</si>
  <si>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</si>
  <si>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</si>
  <si>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</si>
  <si>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</si>
  <si>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</si>
  <si>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</si>
  <si>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</si>
  <si>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</si>
  <si>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</si>
  <si>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</si>
  <si>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</si>
  <si>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</si>
  <si>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</si>
  <si>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</si>
  <si>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</si>
  <si>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</si>
  <si>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</si>
  <si>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</si>
  <si>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</si>
  <si>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</si>
  <si>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</si>
  <si>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</si>
  <si>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</si>
  <si>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</si>
  <si>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</si>
  <si>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</si>
  <si>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</si>
  <si>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</si>
  <si>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</si>
  <si>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</si>
  <si>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</si>
  <si>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</si>
  <si>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</si>
  <si>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</si>
  <si>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</si>
  <si>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</si>
  <si>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</si>
  <si>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</si>
  <si>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</si>
  <si>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</si>
  <si>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</si>
  <si>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</si>
  <si>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</si>
  <si>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</si>
  <si>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</si>
  <si>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</si>
  <si>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</si>
  <si>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</si>
  <si>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</si>
  <si>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</si>
  <si>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</si>
  <si>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</si>
  <si>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</si>
  <si>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</si>
  <si>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</si>
  <si>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</si>
  <si>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</si>
  <si>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</si>
  <si>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</si>
  <si>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</si>
  <si>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</si>
  <si>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</si>
  <si>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</si>
  <si>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</si>
  <si>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</si>
  <si>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</si>
  <si>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</si>
  <si>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</si>
  <si>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</si>
  <si>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</si>
  <si>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</si>
  <si>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</si>
  <si>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</si>
  <si>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</si>
  <si>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</si>
  <si>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</si>
  <si>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</si>
  <si>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</si>
  <si>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</si>
  <si>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</si>
  <si>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</si>
  <si>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</si>
  <si>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</si>
  <si>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</si>
  <si>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</si>
  <si>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</si>
  <si>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</si>
  <si>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</si>
  <si>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</si>
  <si>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</si>
  <si>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</si>
  <si>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</si>
  <si>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</si>
  <si>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</si>
  <si>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</si>
  <si>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</si>
  <si>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</si>
  <si>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</si>
  <si>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</si>
  <si>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</si>
  <si>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</si>
  <si>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</si>
  <si>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</si>
  <si>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</si>
  <si>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</si>
  <si>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</si>
  <si>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</si>
  <si>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</si>
  <si>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</si>
  <si>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</si>
  <si>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</si>
  <si>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</si>
  <si>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</si>
  <si>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</si>
  <si>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</si>
  <si>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</si>
  <si>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</si>
  <si>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</si>
  <si>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</si>
  <si>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</si>
  <si>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</si>
  <si>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</si>
  <si>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</si>
  <si>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</si>
  <si>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</si>
  <si>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</si>
  <si>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</si>
  <si>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</si>
  <si>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</si>
  <si>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</si>
  <si>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</si>
  <si>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</si>
  <si>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</si>
  <si>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</si>
  <si>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</si>
  <si>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</si>
  <si>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</si>
  <si>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</si>
  <si>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</si>
  <si>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</si>
  <si>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</si>
  <si>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</si>
  <si>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</si>
  <si>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</si>
  <si>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</si>
  <si>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</si>
  <si>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</si>
  <si>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</si>
  <si>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</si>
  <si>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</si>
  <si>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</si>
  <si>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</si>
  <si>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</si>
  <si>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</si>
  <si>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</si>
  <si>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</si>
  <si>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</si>
  <si>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</si>
  <si>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</si>
  <si>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</si>
  <si>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</si>
  <si>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</si>
  <si>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</si>
  <si>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</si>
  <si>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</si>
  <si>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</si>
  <si>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</si>
  <si>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</si>
  <si>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</si>
  <si>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</si>
  <si>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</si>
  <si>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Tazewell</t>
  </si>
  <si>
    <t>Rankin Community School District No. 98</t>
  </si>
  <si>
    <t>13716 South 5th Street</t>
  </si>
  <si>
    <t>Pekin</t>
  </si>
  <si>
    <t>Matt Gordon</t>
  </si>
  <si>
    <t>mgordon@rankin98.org</t>
  </si>
  <si>
    <t>x</t>
  </si>
  <si>
    <t>2015 Series A Bond</t>
  </si>
  <si>
    <t>2015 Series B Bond</t>
  </si>
  <si>
    <t>2015 Working Cash Bond</t>
  </si>
  <si>
    <t>2017 Building Bond</t>
  </si>
  <si>
    <t>TMCSEA</t>
  </si>
  <si>
    <t>Soth Pekin Grade School, Spring Lake Grade School</t>
  </si>
  <si>
    <t>Russell J. Rumbold II, CPA</t>
  </si>
  <si>
    <t>Lack of segregation of duties</t>
  </si>
  <si>
    <t>2017-002</t>
  </si>
  <si>
    <t>2017-001</t>
  </si>
  <si>
    <t>Lack of expertise to prepare financial statements</t>
  </si>
  <si>
    <t>Unresolved - See Finding 2018-001</t>
  </si>
  <si>
    <t>Unresolved - See Finding 2018-002</t>
  </si>
  <si>
    <t>In accordance with prescribed definitions in AU-C 265, it is a strong indication of a significant deficiency in internal control if an entity lacks sufficient controls over the period-end financial reporting process. The standard provides guidance regarding the extent to which the auditor may be involved in drafting an entity's financial statements.</t>
  </si>
  <si>
    <t>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t>
  </si>
  <si>
    <t>Although the auditor can propose adjustments and assist in assembling or drafting the financial statements, the auditor cannnot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</si>
  <si>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misstatemetns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</si>
  <si>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</si>
  <si>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</si>
  <si>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</si>
  <si>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</si>
  <si>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</si>
  <si>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t>
  </si>
  <si>
    <t>Two individuals have the ability to complete and record accounting transactions which ideally would be segregated.</t>
  </si>
  <si>
    <t>The Board of Education has determined that two individuals is sufficient to perform the required duties.</t>
  </si>
  <si>
    <t>The Board should take steps it considers necessary to limit the risks that a lack of segregation of duties presents; such as, but not limitied to, hiring additional staff.</t>
  </si>
  <si>
    <t>The District will take the auditors' recommendations under consideration.</t>
  </si>
  <si>
    <t>Adverse due to the use of the Regulatory Basis of Accounting.</t>
  </si>
  <si>
    <t xml:space="preserve">
Part C - 20 - See Findings 2018-001 and 2018-002</t>
  </si>
  <si>
    <t>Special Ed Private Facility</t>
  </si>
  <si>
    <t>Tort - Insurance</t>
  </si>
  <si>
    <t>Electric Service</t>
  </si>
  <si>
    <t>Gas Service</t>
  </si>
  <si>
    <t>Baby Fold</t>
  </si>
  <si>
    <t>James Unland</t>
  </si>
  <si>
    <t>Nextra Energy</t>
  </si>
  <si>
    <t>Constellation Energy</t>
  </si>
  <si>
    <t>10-2540-400</t>
  </si>
  <si>
    <t>10-2300-300</t>
  </si>
  <si>
    <t>Page 11, Line 107 - Miscellaneous Refunds and Reimbursements</t>
  </si>
  <si>
    <t>Page 12, Line 171 - Healthy Schools Grant</t>
  </si>
  <si>
    <t>Page 12, Line 183 - REAP Grant</t>
  </si>
  <si>
    <t>Page 15, Line 41 - Hearing and Vision Screening, PBIS Banners and Supplies, Calibration of Audiometer</t>
  </si>
  <si>
    <t>Page 18, Line 171 - Bond Service Fee</t>
  </si>
  <si>
    <t>rrumbold@gorenzcpa.com</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</si>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</sst>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2077</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2077</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53090098002</v>
      </c>
      <c r="B13" s="2006"/>
      <c r="C13" s="2006"/>
      <c r="D13" s="2006"/>
      <c r="E13" s="2006"/>
      <c r="F13" s="2006"/>
      <c r="G13" s="2006"/>
      <c r="H13" s="2007"/>
      <c r="I13" s="31"/>
      <c r="J13" s="30"/>
      <c r="K13" s="28"/>
      <c r="L13" s="30"/>
      <c r="M13" s="30"/>
      <c r="N13" s="30"/>
      <c r="O13" s="30"/>
      <c r="P13" s="30"/>
      <c r="Q13" s="30"/>
      <c r="R13" s="30"/>
      <c r="S13" s="30"/>
      <c r="T13" s="2010" t="s">
        <v>2078</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2086</v>
      </c>
      <c r="B15" s="2008"/>
      <c r="C15" s="2008"/>
      <c r="D15" s="2008"/>
      <c r="E15" s="2008"/>
      <c r="F15" s="2008"/>
      <c r="G15" s="2008"/>
      <c r="H15" s="2009"/>
      <c r="T15" s="1971" t="s">
        <v>2099</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2087</v>
      </c>
      <c r="B17" s="2033"/>
      <c r="C17" s="2033"/>
      <c r="D17" s="2033"/>
      <c r="E17" s="2033"/>
      <c r="F17" s="2033"/>
      <c r="G17" s="2033"/>
      <c r="H17" s="2034"/>
      <c r="T17" s="2020" t="s">
        <v>2079</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2088</v>
      </c>
      <c r="B19" s="2004"/>
      <c r="C19" s="2004"/>
      <c r="D19" s="2004"/>
      <c r="E19" s="2004"/>
      <c r="F19" s="2004"/>
      <c r="G19" s="2004"/>
      <c r="H19" s="2002"/>
      <c r="I19" s="30"/>
      <c r="J19" s="99"/>
      <c r="K19" s="40"/>
      <c r="L19" s="38"/>
      <c r="M19" s="112" t="s">
        <v>333</v>
      </c>
      <c r="P19" s="27"/>
      <c r="Q19" s="27"/>
      <c r="R19" s="27"/>
      <c r="S19" s="31"/>
      <c r="T19" s="2003" t="s">
        <v>2080</v>
      </c>
      <c r="U19" s="2001"/>
      <c r="V19" s="2001"/>
      <c r="W19" s="2002"/>
      <c r="X19" s="2018" t="s">
        <v>2081</v>
      </c>
      <c r="Y19" s="2019"/>
      <c r="Z19" s="2016">
        <v>61614</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2089</v>
      </c>
      <c r="B21" s="2001"/>
      <c r="C21" s="2001"/>
      <c r="D21" s="2001"/>
      <c r="E21" s="2001"/>
      <c r="F21" s="2001"/>
      <c r="G21" s="2001"/>
      <c r="H21" s="2002"/>
      <c r="I21" s="2026" t="s">
        <v>699</v>
      </c>
      <c r="J21" s="1989"/>
      <c r="K21" s="1989"/>
      <c r="L21" s="1989"/>
      <c r="M21" s="1989"/>
      <c r="N21" s="1989"/>
      <c r="O21" s="1989"/>
      <c r="P21" s="1989"/>
      <c r="Q21" s="1989"/>
      <c r="R21" s="1989"/>
      <c r="S21" s="1990"/>
      <c r="T21" s="1968" t="s">
        <v>2082</v>
      </c>
      <c r="U21" s="1969"/>
      <c r="V21" s="1969"/>
      <c r="W21" s="1969"/>
      <c r="X21" s="1982" t="s">
        <v>2083</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t="s">
        <v>2091</v>
      </c>
      <c r="B23" s="2024"/>
      <c r="C23" s="2024"/>
      <c r="D23" s="2024"/>
      <c r="E23" s="2024"/>
      <c r="F23" s="2024"/>
      <c r="G23" s="2024"/>
      <c r="H23" s="2025"/>
      <c r="T23" s="1963" t="s">
        <v>2138</v>
      </c>
      <c r="U23" s="1964"/>
      <c r="V23" s="1964"/>
      <c r="W23" s="1964"/>
      <c r="X23" s="1979">
        <v>44530</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61554</v>
      </c>
      <c r="B25" s="2001"/>
      <c r="C25" s="2001"/>
      <c r="D25" s="2001"/>
      <c r="E25" s="2001"/>
      <c r="F25" s="2001"/>
      <c r="G25" s="2001"/>
      <c r="H25" s="2002"/>
      <c r="I25" s="113"/>
      <c r="J25" s="2067"/>
      <c r="K25" s="2067"/>
      <c r="L25" s="2067"/>
      <c r="M25" s="2067"/>
      <c r="N25" s="2067"/>
      <c r="O25" s="2067"/>
      <c r="P25" s="2067"/>
      <c r="Q25" s="2067"/>
      <c r="R25" s="2067"/>
      <c r="S25" s="2068"/>
      <c r="T25" s="1960" t="s">
        <v>2137</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2090</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2091</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v>3093463182</v>
      </c>
      <c r="B42" s="2050"/>
      <c r="C42" s="2051"/>
      <c r="D42" s="2064">
        <v>3093467928</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2" t="s">
        <v>1905</v>
      </c>
      <c r="B2" s="1548" t="s">
        <v>2037</v>
      </c>
      <c r="C2" s="713" t="s">
        <v>1910</v>
      </c>
      <c r="D2" s="713" t="s">
        <v>1911</v>
      </c>
      <c r="E2" s="713" t="s">
        <v>1912</v>
      </c>
      <c r="F2" s="713" t="s">
        <v>1913</v>
      </c>
    </row>
    <row r="3" spans="1:6" ht="12" customHeight="1" x14ac:dyDescent="0.2">
      <c r="A3" s="2203"/>
      <c r="B3" s="1545"/>
      <c r="C3" s="1546"/>
      <c r="D3" s="1547" t="s">
        <v>274</v>
      </c>
      <c r="E3" s="1546"/>
      <c r="F3" s="1547" t="s">
        <v>275</v>
      </c>
    </row>
    <row r="4" spans="1:6" ht="13.7" customHeight="1" x14ac:dyDescent="0.2">
      <c r="A4" s="714" t="s">
        <v>1217</v>
      </c>
      <c r="B4" s="1769">
        <f>'Revenues 9-14'!C5</f>
        <v>1588297</v>
      </c>
      <c r="C4" s="1544">
        <v>0</v>
      </c>
      <c r="D4" s="1772">
        <f>B4-C4</f>
        <v>1588297</v>
      </c>
      <c r="E4" s="1544">
        <v>1653342</v>
      </c>
      <c r="F4" s="1772">
        <f>E4-C4</f>
        <v>1653342</v>
      </c>
    </row>
    <row r="5" spans="1:6" ht="13.7" customHeight="1" x14ac:dyDescent="0.2">
      <c r="A5" s="714" t="s">
        <v>925</v>
      </c>
      <c r="B5" s="1770">
        <f>'Revenues 9-14'!D5</f>
        <v>194896</v>
      </c>
      <c r="C5" s="583">
        <v>0</v>
      </c>
      <c r="D5" s="1773">
        <f t="shared" ref="D5:D18" si="0">B5-C5</f>
        <v>194896</v>
      </c>
      <c r="E5" s="583">
        <v>202883</v>
      </c>
      <c r="F5" s="1773">
        <f>E5-C5</f>
        <v>202883</v>
      </c>
    </row>
    <row r="6" spans="1:6" ht="13.7" customHeight="1" x14ac:dyDescent="0.2">
      <c r="A6" s="714" t="s">
        <v>431</v>
      </c>
      <c r="B6" s="1770">
        <f>'Revenues 9-14'!E5</f>
        <v>233678</v>
      </c>
      <c r="C6" s="583">
        <v>0</v>
      </c>
      <c r="D6" s="1773">
        <f t="shared" si="0"/>
        <v>233678</v>
      </c>
      <c r="E6" s="583">
        <v>246872</v>
      </c>
      <c r="F6" s="1773">
        <f t="shared" ref="F6:F18" si="1">E6-C6</f>
        <v>246872</v>
      </c>
    </row>
    <row r="7" spans="1:6" ht="13.7" customHeight="1" x14ac:dyDescent="0.2">
      <c r="A7" s="714" t="s">
        <v>157</v>
      </c>
      <c r="B7" s="1770">
        <f>'Revenues 9-14'!F5</f>
        <v>112066</v>
      </c>
      <c r="C7" s="583">
        <v>0</v>
      </c>
      <c r="D7" s="1773">
        <f t="shared" si="0"/>
        <v>112066</v>
      </c>
      <c r="E7" s="583">
        <v>116663</v>
      </c>
      <c r="F7" s="1773">
        <f t="shared" si="1"/>
        <v>116663</v>
      </c>
    </row>
    <row r="8" spans="1:6" ht="13.7" customHeight="1" x14ac:dyDescent="0.2">
      <c r="A8" s="714" t="s">
        <v>1241</v>
      </c>
      <c r="B8" s="1770">
        <f>'Revenues 9-14'!G5</f>
        <v>38988</v>
      </c>
      <c r="C8" s="583">
        <v>0</v>
      </c>
      <c r="D8" s="1773">
        <f t="shared" si="0"/>
        <v>38988</v>
      </c>
      <c r="E8" s="583">
        <v>40593</v>
      </c>
      <c r="F8" s="1773">
        <f t="shared" si="1"/>
        <v>40593</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29484</v>
      </c>
      <c r="C10" s="583">
        <v>0</v>
      </c>
      <c r="D10" s="1773">
        <f t="shared" si="0"/>
        <v>29484</v>
      </c>
      <c r="E10" s="583">
        <v>30636</v>
      </c>
      <c r="F10" s="1773">
        <f t="shared" si="1"/>
        <v>30636</v>
      </c>
    </row>
    <row r="11" spans="1:6" x14ac:dyDescent="0.2">
      <c r="A11" s="714" t="s">
        <v>429</v>
      </c>
      <c r="B11" s="1770">
        <f>'Revenues 9-14'!J5</f>
        <v>0</v>
      </c>
      <c r="C11" s="583">
        <v>0</v>
      </c>
      <c r="D11" s="1773">
        <f t="shared" si="0"/>
        <v>0</v>
      </c>
      <c r="E11" s="583">
        <v>0</v>
      </c>
      <c r="F11" s="1773">
        <f t="shared" si="1"/>
        <v>0</v>
      </c>
    </row>
    <row r="12" spans="1:6" ht="13.7" customHeight="1" x14ac:dyDescent="0.2">
      <c r="A12" s="714" t="s">
        <v>159</v>
      </c>
      <c r="B12" s="1770">
        <f>'Revenues 9-14'!K5</f>
        <v>38008</v>
      </c>
      <c r="C12" s="583">
        <v>0</v>
      </c>
      <c r="D12" s="1773">
        <f t="shared" si="0"/>
        <v>38008</v>
      </c>
      <c r="E12" s="583">
        <v>39571</v>
      </c>
      <c r="F12" s="1773">
        <f t="shared" si="1"/>
        <v>39571</v>
      </c>
    </row>
    <row r="13" spans="1:6" ht="13.7" customHeight="1" x14ac:dyDescent="0.2">
      <c r="A13" s="714" t="s">
        <v>993</v>
      </c>
      <c r="B13" s="1770">
        <f>SUM('Revenues 9-14'!C6:D6)</f>
        <v>0</v>
      </c>
      <c r="C13" s="583">
        <v>0</v>
      </c>
      <c r="D13" s="1773">
        <f t="shared" si="0"/>
        <v>0</v>
      </c>
      <c r="E13" s="583">
        <v>0</v>
      </c>
      <c r="F13" s="1773">
        <f t="shared" si="1"/>
        <v>0</v>
      </c>
    </row>
    <row r="14" spans="1:6" ht="13.7" customHeight="1" x14ac:dyDescent="0.2">
      <c r="A14" s="714" t="s">
        <v>430</v>
      </c>
      <c r="B14" s="1770">
        <f>SUM('Revenues 9-14'!C7:D7,'Revenues 9-14'!F7:H7)</f>
        <v>14618</v>
      </c>
      <c r="C14" s="583">
        <v>0</v>
      </c>
      <c r="D14" s="1773">
        <f t="shared" si="0"/>
        <v>14618</v>
      </c>
      <c r="E14" s="583">
        <v>15222</v>
      </c>
      <c r="F14" s="1773">
        <f t="shared" si="1"/>
        <v>15222</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52626</v>
      </c>
      <c r="C16" s="583">
        <v>0</v>
      </c>
      <c r="D16" s="1773">
        <f t="shared" si="0"/>
        <v>52626</v>
      </c>
      <c r="E16" s="583">
        <v>54786</v>
      </c>
      <c r="F16" s="1773">
        <f t="shared" si="1"/>
        <v>54786</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2302661</v>
      </c>
      <c r="C19" s="1771">
        <f>SUM(C4:C18)</f>
        <v>0</v>
      </c>
      <c r="D19" s="1771">
        <f>SUM(D4:D18)</f>
        <v>2302661</v>
      </c>
      <c r="E19" s="1771">
        <f>SUM(E4:E18)</f>
        <v>2400568</v>
      </c>
      <c r="F19" s="1771">
        <f>SUM(F4:F18)</f>
        <v>2400568</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0"/>
    </row>
    <row r="2" spans="1:7" ht="33.75" x14ac:dyDescent="0.2">
      <c r="A2" s="2217" t="s">
        <v>1905</v>
      </c>
      <c r="B2" s="2218"/>
      <c r="C2" s="1907" t="s">
        <v>2038</v>
      </c>
      <c r="D2" s="722" t="s">
        <v>2045</v>
      </c>
      <c r="E2" s="722" t="s">
        <v>2046</v>
      </c>
      <c r="F2" s="1907" t="s">
        <v>2039</v>
      </c>
    </row>
    <row r="3" spans="1:7" ht="15.75" customHeight="1" x14ac:dyDescent="0.2">
      <c r="A3" s="2221" t="s">
        <v>1176</v>
      </c>
      <c r="B3" s="2222"/>
      <c r="C3" s="2210"/>
      <c r="D3" s="2211"/>
      <c r="E3" s="2211"/>
      <c r="F3" s="2212"/>
    </row>
    <row r="4" spans="1:7" ht="12.75" customHeight="1" thickBot="1" x14ac:dyDescent="0.25">
      <c r="A4" s="2219" t="s">
        <v>651</v>
      </c>
      <c r="B4" s="2220"/>
      <c r="C4" s="579"/>
      <c r="D4" s="579"/>
      <c r="E4" s="579"/>
      <c r="F4" s="1775">
        <f>SUM(C4+D4)-E4</f>
        <v>0</v>
      </c>
    </row>
    <row r="5" spans="1:7" ht="15.75" customHeight="1" thickTop="1" x14ac:dyDescent="0.2">
      <c r="A5" s="2204" t="s">
        <v>1172</v>
      </c>
      <c r="B5" s="2205"/>
      <c r="C5" s="2213"/>
      <c r="D5" s="2214"/>
      <c r="E5" s="2214"/>
      <c r="F5" s="2215"/>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6" t="s">
        <v>652</v>
      </c>
      <c r="B15" s="2207"/>
      <c r="C15" s="1775">
        <f>SUM(C6:C14)</f>
        <v>0</v>
      </c>
      <c r="D15" s="1775">
        <f>SUM(D6:D14)</f>
        <v>0</v>
      </c>
      <c r="E15" s="1775">
        <f>SUM(E6:E14)</f>
        <v>0</v>
      </c>
      <c r="F15" s="1775">
        <f>SUM(F6:F14)</f>
        <v>0</v>
      </c>
      <c r="G15" s="550"/>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5"/>
      <c r="D17" s="583"/>
      <c r="E17" s="725"/>
      <c r="F17" s="1775">
        <f>SUM(C17+D17)-E17</f>
        <v>0</v>
      </c>
    </row>
    <row r="18" spans="1:11" ht="12.75" customHeight="1" thickTop="1" thickBot="1" x14ac:dyDescent="0.25">
      <c r="A18" s="2229" t="s">
        <v>6</v>
      </c>
      <c r="B18" s="2230"/>
      <c r="C18" s="725"/>
      <c r="D18" s="583"/>
      <c r="E18" s="725"/>
      <c r="F18" s="1775">
        <f>SUM(C18+D18)-E18</f>
        <v>0</v>
      </c>
    </row>
    <row r="19" spans="1:11" ht="12.75" customHeight="1" thickTop="1" thickBot="1" x14ac:dyDescent="0.25">
      <c r="A19" s="2229" t="s">
        <v>406</v>
      </c>
      <c r="B19" s="2230"/>
      <c r="C19" s="725"/>
      <c r="D19" s="583"/>
      <c r="E19" s="725"/>
      <c r="F19" s="1775">
        <f>SUM(C19+D19)-E19</f>
        <v>0</v>
      </c>
    </row>
    <row r="20" spans="1:11" ht="12.75" customHeight="1" thickTop="1" thickBot="1" x14ac:dyDescent="0.25">
      <c r="A20" s="2229" t="s">
        <v>468</v>
      </c>
      <c r="B20" s="2230"/>
      <c r="C20" s="725"/>
      <c r="D20" s="583"/>
      <c r="E20" s="725"/>
      <c r="F20" s="1775">
        <f>SUM(C20+D20)-E20</f>
        <v>0</v>
      </c>
    </row>
    <row r="21" spans="1:11" ht="14.25" thickTop="1" thickBot="1" x14ac:dyDescent="0.25">
      <c r="A21" s="2206" t="s">
        <v>653</v>
      </c>
      <c r="B21" s="2207"/>
      <c r="C21" s="1775">
        <f>SUM(C17:C20)</f>
        <v>0</v>
      </c>
      <c r="D21" s="1775">
        <f>SUM(D17:D20)</f>
        <v>0</v>
      </c>
      <c r="E21" s="1775">
        <f>SUM(E17:E20)</f>
        <v>0</v>
      </c>
      <c r="F21" s="1775">
        <f>SUM(F17:F20)</f>
        <v>0</v>
      </c>
      <c r="G21" s="550"/>
    </row>
    <row r="22" spans="1:11" ht="15.75" customHeight="1" thickTop="1" x14ac:dyDescent="0.2">
      <c r="A22" s="2231" t="s">
        <v>1174</v>
      </c>
      <c r="B22" s="2205"/>
      <c r="C22" s="2213"/>
      <c r="D22" s="2214"/>
      <c r="E22" s="2214"/>
      <c r="F22" s="2215"/>
    </row>
    <row r="23" spans="1:11" ht="13.5" thickBot="1" x14ac:dyDescent="0.25">
      <c r="A23" s="2219" t="s">
        <v>654</v>
      </c>
      <c r="B23" s="2220"/>
      <c r="C23" s="579"/>
      <c r="D23" s="579"/>
      <c r="E23" s="579"/>
      <c r="F23" s="1775">
        <f>SUM(C23+D23)-E23</f>
        <v>0</v>
      </c>
      <c r="G23" s="550"/>
    </row>
    <row r="24" spans="1:11" ht="15.75" customHeight="1" thickTop="1" x14ac:dyDescent="0.2">
      <c r="A24" s="2231" t="s">
        <v>1175</v>
      </c>
      <c r="B24" s="2205"/>
      <c r="C24" s="2213"/>
      <c r="D24" s="2214"/>
      <c r="E24" s="2214"/>
      <c r="F24" s="2215"/>
    </row>
    <row r="25" spans="1:11" ht="13.5" thickBot="1" x14ac:dyDescent="0.25">
      <c r="A25" s="2219" t="s">
        <v>655</v>
      </c>
      <c r="B25" s="2220"/>
      <c r="C25" s="579"/>
      <c r="D25" s="579"/>
      <c r="E25" s="579"/>
      <c r="F25" s="1775">
        <f>SUM(C25+D25)-E25</f>
        <v>0</v>
      </c>
      <c r="G25" s="550"/>
    </row>
    <row r="26" spans="1:11" ht="15.75" customHeight="1" thickTop="1" x14ac:dyDescent="0.2">
      <c r="A26" s="2204" t="s">
        <v>678</v>
      </c>
      <c r="B26" s="2205"/>
      <c r="C26" s="726"/>
      <c r="D26" s="726"/>
      <c r="E26" s="726"/>
      <c r="F26" s="727"/>
    </row>
    <row r="27" spans="1:11" ht="13.5" thickBot="1" x14ac:dyDescent="0.25">
      <c r="A27" s="2206" t="s">
        <v>1130</v>
      </c>
      <c r="B27" s="2207"/>
      <c r="C27" s="583"/>
      <c r="D27" s="583"/>
      <c r="E27" s="583"/>
      <c r="F27" s="1775">
        <f>SUM(C27+D27)-E27</f>
        <v>0</v>
      </c>
      <c r="G27" s="550"/>
    </row>
    <row r="28" spans="1:11" ht="7.5" customHeight="1" thickTop="1" x14ac:dyDescent="0.2">
      <c r="A28" s="592"/>
    </row>
    <row r="29" spans="1:11" ht="23.25" customHeight="1" x14ac:dyDescent="0.2">
      <c r="A29" s="2232" t="s">
        <v>603</v>
      </c>
      <c r="B29" s="2209"/>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t="s">
        <v>2093</v>
      </c>
      <c r="B31" s="732">
        <v>42073</v>
      </c>
      <c r="C31" s="733">
        <v>270000</v>
      </c>
      <c r="D31" s="734">
        <v>4</v>
      </c>
      <c r="E31" s="733">
        <v>196000</v>
      </c>
      <c r="F31" s="733"/>
      <c r="G31" s="733"/>
      <c r="H31" s="733">
        <v>35000</v>
      </c>
      <c r="I31" s="1776">
        <f>((E31+F31)-H31)+G31</f>
        <v>161000</v>
      </c>
      <c r="J31" s="733">
        <f>I31-618</f>
        <v>160382</v>
      </c>
      <c r="K31" s="735"/>
    </row>
    <row r="32" spans="1:11" ht="12" customHeight="1" x14ac:dyDescent="0.2">
      <c r="A32" s="731" t="s">
        <v>2094</v>
      </c>
      <c r="B32" s="732">
        <v>42073</v>
      </c>
      <c r="C32" s="733">
        <v>1040000</v>
      </c>
      <c r="D32" s="734">
        <v>4</v>
      </c>
      <c r="E32" s="733">
        <v>920000</v>
      </c>
      <c r="F32" s="733"/>
      <c r="G32" s="733"/>
      <c r="H32" s="733">
        <v>70000</v>
      </c>
      <c r="I32" s="1776">
        <f>((E32+F32)-H32)+G32</f>
        <v>850000</v>
      </c>
      <c r="J32" s="733">
        <f>I32-1990</f>
        <v>848010</v>
      </c>
      <c r="K32" s="735"/>
    </row>
    <row r="33" spans="1:11" ht="12" customHeight="1" x14ac:dyDescent="0.2">
      <c r="A33" s="731" t="s">
        <v>2095</v>
      </c>
      <c r="B33" s="732">
        <v>42136</v>
      </c>
      <c r="C33" s="733">
        <v>205000</v>
      </c>
      <c r="D33" s="734">
        <v>1</v>
      </c>
      <c r="E33" s="733">
        <v>205000</v>
      </c>
      <c r="F33" s="733"/>
      <c r="G33" s="733"/>
      <c r="H33" s="733"/>
      <c r="I33" s="1776">
        <f t="shared" ref="I33:I48" si="1">((E33+F33)-H33)+G33</f>
        <v>205000</v>
      </c>
      <c r="J33" s="733">
        <f>I33-9141</f>
        <v>195859</v>
      </c>
      <c r="K33" s="735"/>
    </row>
    <row r="34" spans="1:11" ht="12" customHeight="1" x14ac:dyDescent="0.2">
      <c r="A34" s="731" t="s">
        <v>2096</v>
      </c>
      <c r="B34" s="732">
        <v>42769</v>
      </c>
      <c r="C34" s="733">
        <v>2250000</v>
      </c>
      <c r="D34" s="734">
        <v>6</v>
      </c>
      <c r="E34" s="733">
        <v>2250000</v>
      </c>
      <c r="F34" s="733"/>
      <c r="G34" s="733"/>
      <c r="H34" s="733"/>
      <c r="I34" s="1776">
        <f t="shared" si="1"/>
        <v>2250000</v>
      </c>
      <c r="J34" s="733">
        <f>I34-629</f>
        <v>2249371</v>
      </c>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3765000</v>
      </c>
      <c r="D49" s="744"/>
      <c r="E49" s="1776">
        <f t="shared" ref="E49:J49" si="2">SUM(E31:E48)</f>
        <v>3571000</v>
      </c>
      <c r="F49" s="1776">
        <f t="shared" si="2"/>
        <v>0</v>
      </c>
      <c r="G49" s="1776">
        <f t="shared" si="2"/>
        <v>0</v>
      </c>
      <c r="H49" s="1776">
        <f t="shared" si="2"/>
        <v>105000</v>
      </c>
      <c r="I49" s="1776">
        <f t="shared" si="2"/>
        <v>3466000</v>
      </c>
      <c r="J49" s="1776">
        <f t="shared" si="2"/>
        <v>3453622</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3" t="s">
        <v>605</v>
      </c>
      <c r="C52" s="2224"/>
      <c r="D52" s="2224"/>
      <c r="E52" s="748" t="s">
        <v>900</v>
      </c>
      <c r="F52" s="2225"/>
      <c r="G52" s="2226"/>
      <c r="H52" s="735"/>
      <c r="I52" s="735"/>
      <c r="J52" s="745"/>
    </row>
    <row r="53" spans="1:11" ht="11.25" customHeight="1" x14ac:dyDescent="0.2">
      <c r="A53" s="749" t="s">
        <v>969</v>
      </c>
      <c r="B53" s="750" t="s">
        <v>1008</v>
      </c>
      <c r="C53" s="745"/>
      <c r="D53" s="736"/>
      <c r="E53" s="748" t="s">
        <v>518</v>
      </c>
      <c r="F53" s="2227"/>
      <c r="G53" s="2228"/>
      <c r="H53" s="735"/>
      <c r="I53" s="735"/>
      <c r="J53" s="745"/>
    </row>
    <row r="54" spans="1:11" ht="11.25" customHeight="1" x14ac:dyDescent="0.2">
      <c r="A54" s="751" t="s">
        <v>970</v>
      </c>
      <c r="B54" s="746" t="s">
        <v>1009</v>
      </c>
      <c r="C54" s="745"/>
      <c r="D54" s="736"/>
      <c r="E54" s="748" t="s">
        <v>519</v>
      </c>
      <c r="F54" s="2227"/>
      <c r="G54" s="222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0"/>
      <c r="I1" s="759"/>
      <c r="J1" s="433"/>
    </row>
    <row r="2" spans="1:11" ht="26.25" x14ac:dyDescent="0.2">
      <c r="A2" s="2236" t="s">
        <v>1776</v>
      </c>
      <c r="B2" s="2237"/>
      <c r="C2" s="2237"/>
      <c r="D2" s="2237"/>
      <c r="E2" s="2238"/>
      <c r="F2" s="760" t="s">
        <v>960</v>
      </c>
      <c r="G2" s="761" t="s">
        <v>1773</v>
      </c>
      <c r="H2" s="761" t="s">
        <v>430</v>
      </c>
      <c r="I2" s="761" t="s">
        <v>1220</v>
      </c>
      <c r="J2" s="761" t="s">
        <v>1919</v>
      </c>
      <c r="K2" s="761" t="s">
        <v>140</v>
      </c>
    </row>
    <row r="3" spans="1:11" x14ac:dyDescent="0.2">
      <c r="A3" s="2239" t="s">
        <v>1698</v>
      </c>
      <c r="B3" s="2240"/>
      <c r="C3" s="2240"/>
      <c r="D3" s="2240"/>
      <c r="E3" s="2241"/>
      <c r="F3" s="762"/>
      <c r="G3" s="763"/>
      <c r="H3" s="763"/>
      <c r="I3" s="763"/>
      <c r="J3" s="764"/>
      <c r="K3" s="764"/>
    </row>
    <row r="4" spans="1:11" x14ac:dyDescent="0.2">
      <c r="A4" s="2242" t="s">
        <v>387</v>
      </c>
      <c r="B4" s="2243"/>
      <c r="C4" s="2243"/>
      <c r="D4" s="2243"/>
      <c r="E4" s="2224"/>
      <c r="F4" s="765"/>
      <c r="G4" s="766"/>
      <c r="H4" s="767"/>
      <c r="I4" s="766"/>
      <c r="J4" s="768"/>
      <c r="K4" s="768"/>
    </row>
    <row r="5" spans="1:11" x14ac:dyDescent="0.2">
      <c r="A5" s="2260" t="s">
        <v>1129</v>
      </c>
      <c r="B5" s="2233"/>
      <c r="C5" s="2233"/>
      <c r="D5" s="2233"/>
      <c r="E5" s="2261"/>
      <c r="F5" s="769" t="s">
        <v>903</v>
      </c>
      <c r="G5" s="770"/>
      <c r="H5" s="763">
        <v>14618</v>
      </c>
      <c r="I5" s="771"/>
      <c r="J5" s="772"/>
      <c r="K5" s="772"/>
    </row>
    <row r="6" spans="1:11" x14ac:dyDescent="0.2">
      <c r="A6" s="773" t="s">
        <v>744</v>
      </c>
      <c r="B6" s="774"/>
      <c r="C6" s="774"/>
      <c r="D6" s="774"/>
      <c r="E6" s="775"/>
      <c r="F6" s="776" t="s">
        <v>904</v>
      </c>
      <c r="G6" s="763"/>
      <c r="H6" s="763">
        <v>10</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60" t="s">
        <v>1920</v>
      </c>
      <c r="B10" s="2233"/>
      <c r="C10" s="2233"/>
      <c r="D10" s="2233"/>
      <c r="E10" s="2262"/>
      <c r="F10" s="782" t="s">
        <v>917</v>
      </c>
      <c r="G10" s="781"/>
      <c r="H10" s="783"/>
      <c r="I10" s="763"/>
      <c r="J10" s="764"/>
      <c r="K10" s="764"/>
    </row>
    <row r="11" spans="1:11" x14ac:dyDescent="0.2">
      <c r="A11" s="2260" t="s">
        <v>162</v>
      </c>
      <c r="B11" s="2233"/>
      <c r="C11" s="2233"/>
      <c r="D11" s="2233"/>
      <c r="E11" s="2261"/>
      <c r="F11" s="769" t="s">
        <v>907</v>
      </c>
      <c r="G11" s="770"/>
      <c r="H11" s="763"/>
      <c r="I11" s="763"/>
      <c r="J11" s="764"/>
      <c r="K11" s="772"/>
    </row>
    <row r="12" spans="1:11" ht="13.5" thickBot="1" x14ac:dyDescent="0.25">
      <c r="A12" s="2250" t="s">
        <v>961</v>
      </c>
      <c r="B12" s="2251"/>
      <c r="C12" s="2251"/>
      <c r="D12" s="2251"/>
      <c r="E12" s="2252"/>
      <c r="F12" s="1777"/>
      <c r="G12" s="1778">
        <f>SUM(G5:G11)</f>
        <v>0</v>
      </c>
      <c r="H12" s="1778">
        <f>SUM(H5:H11)</f>
        <v>14628</v>
      </c>
      <c r="I12" s="1778">
        <f>SUM(I5:I11)</f>
        <v>0</v>
      </c>
      <c r="J12" s="1778">
        <f>SUM(J5:J11)</f>
        <v>0</v>
      </c>
      <c r="K12" s="1778">
        <f>SUM(K5:K11)</f>
        <v>0</v>
      </c>
    </row>
    <row r="13" spans="1:11" ht="13.5" thickTop="1" x14ac:dyDescent="0.2">
      <c r="A13" s="2244" t="s">
        <v>388</v>
      </c>
      <c r="B13" s="2245"/>
      <c r="C13" s="2245"/>
      <c r="D13" s="2245"/>
      <c r="E13" s="2246"/>
      <c r="F13" s="784"/>
      <c r="G13" s="785"/>
      <c r="H13" s="786"/>
      <c r="I13" s="787"/>
      <c r="J13" s="787"/>
      <c r="K13" s="787"/>
    </row>
    <row r="14" spans="1:11" x14ac:dyDescent="0.2">
      <c r="A14" s="2266" t="s">
        <v>476</v>
      </c>
      <c r="B14" s="2266"/>
      <c r="C14" s="2266"/>
      <c r="D14" s="2266"/>
      <c r="E14" s="2267"/>
      <c r="F14" s="788" t="s">
        <v>909</v>
      </c>
      <c r="G14" s="781"/>
      <c r="H14" s="763">
        <v>14628</v>
      </c>
      <c r="I14" s="770"/>
      <c r="J14" s="772"/>
      <c r="K14" s="764"/>
    </row>
    <row r="15" spans="1:11" x14ac:dyDescent="0.2">
      <c r="A15" s="2233" t="s">
        <v>4</v>
      </c>
      <c r="B15" s="2233"/>
      <c r="C15" s="2233"/>
      <c r="D15" s="2233"/>
      <c r="E15" s="2261"/>
      <c r="F15" s="788" t="s">
        <v>910</v>
      </c>
      <c r="G15" s="770"/>
      <c r="H15" s="763"/>
      <c r="I15" s="763"/>
      <c r="J15" s="764"/>
      <c r="K15" s="764"/>
    </row>
    <row r="16" spans="1:11" x14ac:dyDescent="0.2">
      <c r="A16" s="2233" t="s">
        <v>316</v>
      </c>
      <c r="B16" s="2233"/>
      <c r="C16" s="2233"/>
      <c r="D16" s="2233"/>
      <c r="E16" s="2261"/>
      <c r="F16" s="788" t="s">
        <v>980</v>
      </c>
      <c r="G16" s="771"/>
      <c r="H16" s="766"/>
      <c r="I16" s="766"/>
      <c r="J16" s="768"/>
      <c r="K16" s="768"/>
    </row>
    <row r="17" spans="1:11" x14ac:dyDescent="0.2">
      <c r="A17" s="2255" t="s">
        <v>992</v>
      </c>
      <c r="B17" s="2255"/>
      <c r="C17" s="2255"/>
      <c r="D17" s="2255"/>
      <c r="E17" s="2256"/>
      <c r="F17" s="789"/>
      <c r="G17" s="790"/>
      <c r="H17" s="791"/>
      <c r="I17" s="791"/>
      <c r="J17" s="792"/>
      <c r="K17" s="793"/>
    </row>
    <row r="18" spans="1:11" x14ac:dyDescent="0.2">
      <c r="A18" s="2247" t="s">
        <v>386</v>
      </c>
      <c r="B18" s="2248"/>
      <c r="C18" s="2248"/>
      <c r="D18" s="2248"/>
      <c r="E18" s="2249"/>
      <c r="F18" s="788" t="s">
        <v>989</v>
      </c>
      <c r="G18" s="781"/>
      <c r="H18" s="781"/>
      <c r="I18" s="781"/>
      <c r="J18" s="764"/>
      <c r="K18" s="794"/>
    </row>
    <row r="19" spans="1:11" ht="21.75" customHeight="1" x14ac:dyDescent="0.2">
      <c r="A19" s="2268" t="s">
        <v>1916</v>
      </c>
      <c r="B19" s="2268"/>
      <c r="C19" s="2268"/>
      <c r="D19" s="2268"/>
      <c r="E19" s="2269"/>
      <c r="F19" s="788" t="s">
        <v>990</v>
      </c>
      <c r="G19" s="781"/>
      <c r="H19" s="781"/>
      <c r="I19" s="781"/>
      <c r="J19" s="764"/>
      <c r="K19" s="794"/>
    </row>
    <row r="20" spans="1:11" x14ac:dyDescent="0.2">
      <c r="A20" s="2247" t="s">
        <v>1921</v>
      </c>
      <c r="B20" s="2248"/>
      <c r="C20" s="2248"/>
      <c r="D20" s="2248"/>
      <c r="E20" s="2249"/>
      <c r="F20" s="788" t="s">
        <v>991</v>
      </c>
      <c r="G20" s="781"/>
      <c r="H20" s="781"/>
      <c r="I20" s="781"/>
      <c r="J20" s="764"/>
      <c r="K20" s="794"/>
    </row>
    <row r="21" spans="1:11" ht="13.5" thickBot="1" x14ac:dyDescent="0.25">
      <c r="A21" s="2253" t="s">
        <v>659</v>
      </c>
      <c r="B21" s="2253"/>
      <c r="C21" s="2253"/>
      <c r="D21" s="2253"/>
      <c r="E21" s="2253"/>
      <c r="F21" s="1779"/>
      <c r="G21" s="791"/>
      <c r="H21" s="795"/>
      <c r="I21" s="795"/>
      <c r="J21" s="1780">
        <f>SUM(J18:J20)</f>
        <v>0</v>
      </c>
      <c r="K21" s="792"/>
    </row>
    <row r="22" spans="1:11" ht="13.5" thickTop="1" x14ac:dyDescent="0.2">
      <c r="A22" s="2233" t="s">
        <v>1922</v>
      </c>
      <c r="B22" s="2233"/>
      <c r="C22" s="2233"/>
      <c r="D22" s="2233"/>
      <c r="E22" s="2261"/>
      <c r="F22" s="788" t="s">
        <v>917</v>
      </c>
      <c r="G22" s="781"/>
      <c r="H22" s="763"/>
      <c r="I22" s="763"/>
      <c r="J22" s="796"/>
      <c r="K22" s="764"/>
    </row>
    <row r="23" spans="1:11" ht="13.5" thickBot="1" x14ac:dyDescent="0.25">
      <c r="A23" s="2254" t="s">
        <v>962</v>
      </c>
      <c r="B23" s="2253"/>
      <c r="C23" s="2253"/>
      <c r="D23" s="2253"/>
      <c r="E23" s="2253"/>
      <c r="F23" s="1781"/>
      <c r="G23" s="1778">
        <f>SUM(G14:G16,G21,G22)</f>
        <v>0</v>
      </c>
      <c r="H23" s="1778">
        <f>SUM(H14:H16,H21,H22)</f>
        <v>14628</v>
      </c>
      <c r="I23" s="1778">
        <f>SUM(I14:I16,I21,I22)</f>
        <v>0</v>
      </c>
      <c r="J23" s="1778">
        <f>SUM(J14:J16,J21,J22)</f>
        <v>0</v>
      </c>
      <c r="K23" s="1778">
        <f>SUM(K14:K16,K21,K22)</f>
        <v>0</v>
      </c>
    </row>
    <row r="24" spans="1:11" ht="14.25" thickTop="1" thickBot="1" x14ac:dyDescent="0.25">
      <c r="A24" s="2254" t="s">
        <v>2026</v>
      </c>
      <c r="B24" s="2253"/>
      <c r="C24" s="2253"/>
      <c r="D24" s="2253"/>
      <c r="E24" s="2253"/>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3"/>
      <c r="I31" s="2264"/>
      <c r="J31" s="2264"/>
      <c r="K31" s="2264"/>
    </row>
    <row r="32" spans="1:11" x14ac:dyDescent="0.2">
      <c r="A32" s="808"/>
      <c r="B32" s="237"/>
      <c r="C32" s="237"/>
      <c r="D32" s="237"/>
      <c r="E32" s="804"/>
      <c r="F32" s="810" t="s">
        <v>561</v>
      </c>
      <c r="G32" s="763"/>
      <c r="H32" s="2265"/>
      <c r="I32" s="2264"/>
      <c r="J32" s="2264"/>
      <c r="K32" s="2264"/>
    </row>
    <row r="33" spans="1:11" ht="1.5" customHeight="1" x14ac:dyDescent="0.2">
      <c r="A33" s="811" t="s">
        <v>1231</v>
      </c>
      <c r="B33" s="364"/>
      <c r="C33" s="364"/>
      <c r="D33" s="364"/>
      <c r="E33" s="364"/>
      <c r="F33" s="364"/>
      <c r="G33" s="812"/>
      <c r="H33" s="2265"/>
      <c r="I33" s="2264"/>
      <c r="J33" s="2264"/>
      <c r="K33" s="2264"/>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3" t="s">
        <v>562</v>
      </c>
      <c r="B41" s="2234"/>
      <c r="C41" s="2234"/>
      <c r="D41" s="2234"/>
      <c r="E41" s="2234"/>
      <c r="F41" s="223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5"/>
      <c r="E1" s="826"/>
      <c r="F1" s="826"/>
      <c r="G1" s="827"/>
      <c r="H1" s="828"/>
      <c r="I1" s="829"/>
      <c r="J1" s="2270"/>
      <c r="K1" s="2271"/>
      <c r="L1" s="2271"/>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125600</v>
      </c>
      <c r="D5" s="840"/>
      <c r="E5" s="840"/>
      <c r="F5" s="1780">
        <f>(C5+D5)-E5</f>
        <v>125600</v>
      </c>
      <c r="G5" s="836"/>
      <c r="H5" s="841"/>
      <c r="I5" s="841"/>
      <c r="J5" s="841"/>
      <c r="K5" s="792"/>
      <c r="L5" s="1789">
        <f>F5-K5</f>
        <v>125600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5836734</v>
      </c>
      <c r="D8" s="843">
        <v>1756964</v>
      </c>
      <c r="E8" s="843"/>
      <c r="F8" s="1780">
        <f>(C8+D8)-E8</f>
        <v>7593698</v>
      </c>
      <c r="G8" s="842">
        <v>50</v>
      </c>
      <c r="H8" s="764">
        <v>1829916</v>
      </c>
      <c r="I8" s="764">
        <v>146840</v>
      </c>
      <c r="J8" s="764"/>
      <c r="K8" s="1789">
        <f>(H8+I8)-J8</f>
        <v>1976756</v>
      </c>
      <c r="L8" s="1789">
        <f>F8-K8</f>
        <v>5616942</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837566</v>
      </c>
      <c r="D10" s="845">
        <v>14586</v>
      </c>
      <c r="E10" s="845"/>
      <c r="F10" s="1784">
        <f>(C10+D10)-E10</f>
        <v>852152</v>
      </c>
      <c r="G10" s="842">
        <v>20</v>
      </c>
      <c r="H10" s="846">
        <v>488125</v>
      </c>
      <c r="I10" s="846">
        <v>41720</v>
      </c>
      <c r="J10" s="846"/>
      <c r="K10" s="1789">
        <f>(H10+I10)-J10</f>
        <v>529845</v>
      </c>
      <c r="L10" s="1789">
        <f>F10-K10</f>
        <v>322307</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277146</v>
      </c>
      <c r="D12" s="843">
        <v>108302</v>
      </c>
      <c r="E12" s="843">
        <v>30996</v>
      </c>
      <c r="F12" s="1780">
        <f>(C12+D12)-E12</f>
        <v>354452</v>
      </c>
      <c r="G12" s="842">
        <v>10</v>
      </c>
      <c r="H12" s="764">
        <v>123222</v>
      </c>
      <c r="I12" s="764">
        <v>35446</v>
      </c>
      <c r="J12" s="764">
        <v>30996</v>
      </c>
      <c r="K12" s="1789">
        <f>(H12+I12)-J12</f>
        <v>127672</v>
      </c>
      <c r="L12" s="1789">
        <f>F12-K12</f>
        <v>226780</v>
      </c>
    </row>
    <row r="13" spans="1:14" ht="14.25" thickTop="1" thickBot="1" x14ac:dyDescent="0.25">
      <c r="A13" s="847" t="s">
        <v>1184</v>
      </c>
      <c r="B13" s="839">
        <v>252</v>
      </c>
      <c r="C13" s="843">
        <v>23260</v>
      </c>
      <c r="D13" s="843"/>
      <c r="E13" s="843"/>
      <c r="F13" s="1780">
        <f>(C13+D13)-E13</f>
        <v>23260</v>
      </c>
      <c r="G13" s="842">
        <v>5</v>
      </c>
      <c r="H13" s="764">
        <v>23260</v>
      </c>
      <c r="I13" s="764"/>
      <c r="J13" s="764"/>
      <c r="K13" s="1789">
        <f>(H13+I13)-J13</f>
        <v>23260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252245</v>
      </c>
      <c r="D15" s="843"/>
      <c r="E15" s="843">
        <v>252245</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7352551</v>
      </c>
      <c r="D16" s="1780">
        <f>SUM(D3,D5:D6,D8:D10,D12:D15)</f>
        <v>1879852</v>
      </c>
      <c r="E16" s="1780">
        <f>SUM(E3,E5:E6,E8:E10,E12:E15)</f>
        <v>283241</v>
      </c>
      <c r="F16" s="1780">
        <f>SUM(F3,F5:F6,F8:F10,F12:F15)</f>
        <v>8949162</v>
      </c>
      <c r="G16" s="842"/>
      <c r="H16" s="1780">
        <f>SUM(H3,H6,H8:H10,H12:H14,)</f>
        <v>2464523</v>
      </c>
      <c r="I16" s="1780">
        <f>SUM(I3,I6,I8:I10,I12:I14,)</f>
        <v>224006</v>
      </c>
      <c r="J16" s="1780">
        <f>SUM(J3,J6,J8:J10,J12:J14,)</f>
        <v>30996</v>
      </c>
      <c r="K16" s="1780">
        <f>(H16+I16)-J16</f>
        <v>2657533</v>
      </c>
      <c r="L16" s="1780">
        <f>F16-K16</f>
        <v>6291629</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224006</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C33" sqref="C33"/>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8" t="s">
        <v>1699</v>
      </c>
      <c r="B1" s="2279"/>
      <c r="C1" s="2279"/>
      <c r="D1" s="2279"/>
      <c r="E1" s="2279"/>
      <c r="F1" s="2280"/>
      <c r="G1" s="854"/>
    </row>
    <row r="2" spans="1:7" ht="15" customHeight="1" thickBot="1" x14ac:dyDescent="0.25">
      <c r="A2" s="2281" t="s">
        <v>498</v>
      </c>
      <c r="B2" s="2282"/>
      <c r="C2" s="2282"/>
      <c r="D2" s="2282"/>
      <c r="E2" s="2282"/>
      <c r="F2" s="2283"/>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2251833</v>
      </c>
      <c r="G8" s="864"/>
    </row>
    <row r="9" spans="1:7" x14ac:dyDescent="0.2">
      <c r="A9" s="868" t="s">
        <v>480</v>
      </c>
      <c r="B9" s="869" t="s">
        <v>1989</v>
      </c>
      <c r="C9" s="870"/>
      <c r="D9" s="868" t="s">
        <v>522</v>
      </c>
      <c r="E9" s="867"/>
      <c r="F9" s="1933">
        <f>'Expenditures 15-22'!K151</f>
        <v>262944</v>
      </c>
      <c r="G9" s="871"/>
    </row>
    <row r="10" spans="1:7" x14ac:dyDescent="0.2">
      <c r="A10" s="868" t="s">
        <v>520</v>
      </c>
      <c r="B10" s="869" t="s">
        <v>1990</v>
      </c>
      <c r="C10" s="870"/>
      <c r="D10" s="868" t="s">
        <v>522</v>
      </c>
      <c r="E10" s="867"/>
      <c r="F10" s="1933">
        <f>'Expenditures 15-22'!K174</f>
        <v>272432</v>
      </c>
      <c r="G10" s="871"/>
    </row>
    <row r="11" spans="1:7" x14ac:dyDescent="0.2">
      <c r="A11" s="868" t="s">
        <v>481</v>
      </c>
      <c r="B11" s="869" t="s">
        <v>1991</v>
      </c>
      <c r="C11" s="870"/>
      <c r="D11" s="868" t="s">
        <v>522</v>
      </c>
      <c r="E11" s="867"/>
      <c r="F11" s="1933">
        <f>'Expenditures 15-22'!K210</f>
        <v>210049</v>
      </c>
      <c r="G11" s="871"/>
    </row>
    <row r="12" spans="1:7" x14ac:dyDescent="0.2">
      <c r="A12" s="868" t="s">
        <v>482</v>
      </c>
      <c r="B12" s="869" t="s">
        <v>1992</v>
      </c>
      <c r="C12" s="870"/>
      <c r="D12" s="868" t="s">
        <v>522</v>
      </c>
      <c r="E12" s="867"/>
      <c r="F12" s="1933">
        <f>'Expenditures 15-22'!K295</f>
        <v>83299</v>
      </c>
      <c r="G12" s="871"/>
    </row>
    <row r="13" spans="1:7" x14ac:dyDescent="0.2">
      <c r="A13" s="868" t="s">
        <v>108</v>
      </c>
      <c r="B13" s="869" t="s">
        <v>1993</v>
      </c>
      <c r="C13" s="870"/>
      <c r="D13" s="868" t="s">
        <v>522</v>
      </c>
      <c r="E13" s="867"/>
      <c r="F13" s="1933">
        <f>'Expenditures 15-22'!K342</f>
        <v>0</v>
      </c>
      <c r="G13" s="872"/>
    </row>
    <row r="14" spans="1:7" ht="12" customHeight="1" thickBot="1" x14ac:dyDescent="0.25">
      <c r="A14" s="1790"/>
      <c r="B14" s="1791"/>
      <c r="C14" s="1792"/>
      <c r="D14" s="1793" t="s">
        <v>522</v>
      </c>
      <c r="E14" s="1794" t="s">
        <v>1015</v>
      </c>
      <c r="F14" s="1795">
        <f>SUM(F8:F13)</f>
        <v>3080557</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54282</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1624</v>
      </c>
      <c r="G52" s="864"/>
    </row>
    <row r="53" spans="1:7" x14ac:dyDescent="0.2">
      <c r="A53" s="868" t="s">
        <v>479</v>
      </c>
      <c r="B53" s="868" t="s">
        <v>1551</v>
      </c>
      <c r="C53" s="888">
        <f>'Expenditures 15-22'!B102</f>
        <v>4000</v>
      </c>
      <c r="D53" s="887" t="str">
        <f>'Expenditures 15-22'!A102</f>
        <v>Total Payments to Other Govt Units</v>
      </c>
      <c r="E53" s="867"/>
      <c r="F53" s="1937">
        <f>'Expenditures 15-22'!K102</f>
        <v>72923</v>
      </c>
      <c r="G53" s="864"/>
    </row>
    <row r="54" spans="1:7" x14ac:dyDescent="0.2">
      <c r="A54" s="868" t="s">
        <v>479</v>
      </c>
      <c r="B54" s="868" t="s">
        <v>1552</v>
      </c>
      <c r="C54" s="888" t="s">
        <v>1039</v>
      </c>
      <c r="D54" s="884" t="s">
        <v>1157</v>
      </c>
      <c r="E54" s="867"/>
      <c r="F54" s="1937">
        <f>'Expenditures 15-22'!G114</f>
        <v>23262</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0</v>
      </c>
      <c r="G57" s="864"/>
    </row>
    <row r="58" spans="1:7" x14ac:dyDescent="0.2">
      <c r="A58" s="868" t="s">
        <v>480</v>
      </c>
      <c r="B58" s="868" t="s">
        <v>1995</v>
      </c>
      <c r="C58" s="885" t="s">
        <v>1039</v>
      </c>
      <c r="D58" s="884" t="s">
        <v>1157</v>
      </c>
      <c r="E58" s="867"/>
      <c r="F58" s="1939">
        <f>'Expenditures 15-22'!G151</f>
        <v>20910</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105000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210049</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0</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488050</v>
      </c>
      <c r="G76" s="864"/>
    </row>
    <row r="77" spans="1:8" s="892" customFormat="1" ht="12" customHeight="1" thickTop="1" thickBot="1" x14ac:dyDescent="0.25">
      <c r="A77" s="1799"/>
      <c r="B77" s="1796"/>
      <c r="C77" s="1792"/>
      <c r="D77" s="1797" t="s">
        <v>2012</v>
      </c>
      <c r="E77" s="1794"/>
      <c r="F77" s="1800">
        <f>(F14-F76)</f>
        <v>2592507</v>
      </c>
      <c r="G77" s="868"/>
    </row>
    <row r="78" spans="1:8" s="892" customFormat="1" ht="12" customHeight="1" thickTop="1" x14ac:dyDescent="0.2">
      <c r="A78" s="1801"/>
      <c r="B78" s="1796"/>
      <c r="C78" s="1792"/>
      <c r="D78" s="1797" t="s">
        <v>2059</v>
      </c>
      <c r="E78" s="1794"/>
      <c r="F78" s="897">
        <v>217.11</v>
      </c>
      <c r="G78" s="898"/>
      <c r="H78" s="868"/>
    </row>
    <row r="79" spans="1:8" s="892" customFormat="1" ht="12" customHeight="1" thickBot="1" x14ac:dyDescent="0.25">
      <c r="A79" s="1802"/>
      <c r="B79" s="1796"/>
      <c r="C79" s="1792"/>
      <c r="D79" s="1797" t="s">
        <v>2013</v>
      </c>
      <c r="E79" s="1794" t="s">
        <v>1015</v>
      </c>
      <c r="F79" s="1803">
        <f>IF(F78&gt;0,F77/F78," Complete Line 78")</f>
        <v>11940.983833080005</v>
      </c>
      <c r="G79" s="868"/>
    </row>
    <row r="80" spans="1:8" s="892" customFormat="1" ht="8.25" customHeight="1" thickTop="1" x14ac:dyDescent="0.2">
      <c r="A80" s="899"/>
      <c r="B80" s="868"/>
      <c r="C80" s="870"/>
      <c r="D80" s="900"/>
      <c r="E80" s="867"/>
      <c r="F80" s="901"/>
      <c r="G80" s="868"/>
    </row>
    <row r="81" spans="1:7" s="892" customFormat="1" ht="12" thickBot="1" x14ac:dyDescent="0.25">
      <c r="A81" s="2275" t="s">
        <v>1167</v>
      </c>
      <c r="B81" s="2276"/>
      <c r="C81" s="2276"/>
      <c r="D81" s="2276"/>
      <c r="E81" s="2276"/>
      <c r="F81" s="2277"/>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33077</v>
      </c>
      <c r="G94" s="911"/>
    </row>
    <row r="95" spans="1:7" x14ac:dyDescent="0.2">
      <c r="A95" s="907" t="s">
        <v>142</v>
      </c>
      <c r="B95" s="907" t="s">
        <v>177</v>
      </c>
      <c r="C95" s="909">
        <v>1700</v>
      </c>
      <c r="D95" s="917" t="str">
        <f>'Revenues 9-14'!A82</f>
        <v>Total District/School Activity Income</v>
      </c>
      <c r="E95" s="905"/>
      <c r="F95" s="1809">
        <f>SUM('Revenues 9-14'!C82,'Revenues 9-14'!D82)</f>
        <v>5772</v>
      </c>
      <c r="G95" s="911"/>
    </row>
    <row r="96" spans="1:7" x14ac:dyDescent="0.2">
      <c r="A96" s="907" t="s">
        <v>479</v>
      </c>
      <c r="B96" s="907" t="s">
        <v>178</v>
      </c>
      <c r="C96" s="909">
        <f>'Revenues 9-14'!B84</f>
        <v>1811</v>
      </c>
      <c r="D96" s="910" t="str">
        <f>'Revenues 9-14'!A84</f>
        <v>Rentals - Regular Textbooks</v>
      </c>
      <c r="E96" s="905"/>
      <c r="F96" s="1809">
        <f>'Revenues 9-14'!C84</f>
        <v>11828</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27977</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59898</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598</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124491</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26490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28418</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36254</v>
      </c>
      <c r="G129" s="929"/>
    </row>
    <row r="130" spans="1:7" x14ac:dyDescent="0.2">
      <c r="A130" s="926" t="s">
        <v>689</v>
      </c>
      <c r="B130" s="926" t="s">
        <v>804</v>
      </c>
      <c r="C130" s="931">
        <v>4300</v>
      </c>
      <c r="D130" s="932" t="str">
        <f>'Revenues 9-14'!A211</f>
        <v>Total Title I</v>
      </c>
      <c r="E130" s="905"/>
      <c r="F130" s="1809">
        <f>SUM('Revenues 9-14'!C211,'Revenues 9-14'!D211,'Revenues 9-14'!F211,'Revenues 9-14'!G211)</f>
        <v>35587</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19806</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6369</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4526</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6980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65902.720000000001</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493973.72</v>
      </c>
    </row>
    <row r="179" spans="1:7" ht="12" customHeight="1" x14ac:dyDescent="0.2">
      <c r="A179" s="1790"/>
      <c r="B179" s="1804"/>
      <c r="C179" s="1805"/>
      <c r="D179" s="1806" t="s">
        <v>2015</v>
      </c>
      <c r="E179" s="1807"/>
      <c r="F179" s="1809">
        <f>'PCTC-OEPP 27-28'!F77-F178</f>
        <v>2098533.2800000003</v>
      </c>
    </row>
    <row r="180" spans="1:7" ht="12" customHeight="1" x14ac:dyDescent="0.2">
      <c r="A180" s="1790"/>
      <c r="B180" s="1804"/>
      <c r="C180" s="1805"/>
      <c r="D180" s="1806" t="s">
        <v>1924</v>
      </c>
      <c r="E180" s="1807"/>
      <c r="F180" s="1809">
        <f>'Cap Outlay Deprec 26'!I18</f>
        <v>224006</v>
      </c>
    </row>
    <row r="181" spans="1:7" ht="12" customHeight="1" x14ac:dyDescent="0.2">
      <c r="A181" s="1790"/>
      <c r="B181" s="1804"/>
      <c r="C181" s="1805"/>
      <c r="D181" s="1806" t="s">
        <v>2016</v>
      </c>
      <c r="E181" s="1807"/>
      <c r="F181" s="1809">
        <f>F179+F180</f>
        <v>2322539.2800000003</v>
      </c>
    </row>
    <row r="182" spans="1:7" ht="12" customHeight="1" x14ac:dyDescent="0.2">
      <c r="A182" s="1790"/>
      <c r="B182" s="1810"/>
      <c r="C182" s="1805"/>
      <c r="D182" s="1806" t="str">
        <f>D78</f>
        <v>9 Month ADA from District Average Daily Attendance/Prior General State Aid Inquiry 2017-2018</v>
      </c>
      <c r="E182" s="1807"/>
      <c r="F182" s="1811">
        <f>'PCTC-OEPP 27-28'!F78</f>
        <v>217.11</v>
      </c>
      <c r="G182" s="929"/>
    </row>
    <row r="183" spans="1:7" ht="12" customHeight="1" thickBot="1" x14ac:dyDescent="0.25">
      <c r="A183" s="1790"/>
      <c r="B183" s="1810"/>
      <c r="C183" s="1805"/>
      <c r="D183" s="1806" t="s">
        <v>2017</v>
      </c>
      <c r="E183" s="1807" t="s">
        <v>1626</v>
      </c>
      <c r="F183" s="1812">
        <f>F181/F182</f>
        <v>10697.523283128368</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4" t="s">
        <v>1926</v>
      </c>
      <c r="B6" s="1555"/>
      <c r="C6" s="1555"/>
      <c r="D6" s="1555"/>
      <c r="E6" s="1555"/>
      <c r="F6" s="1555"/>
      <c r="G6" s="1556"/>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7" t="s">
        <v>1927</v>
      </c>
      <c r="B10" s="1558"/>
      <c r="C10" s="1558"/>
      <c r="D10" s="1558"/>
      <c r="E10" s="1558"/>
      <c r="F10" s="1558"/>
      <c r="G10" s="1559"/>
    </row>
    <row r="11" spans="1:7" ht="17.25" customHeight="1" x14ac:dyDescent="0.25">
      <c r="A11" s="2295" t="s">
        <v>1941</v>
      </c>
      <c r="B11" s="2296"/>
      <c r="C11" s="2296"/>
      <c r="D11" s="2296"/>
      <c r="E11" s="2296"/>
      <c r="F11" s="2296"/>
      <c r="G11" s="2297"/>
    </row>
    <row r="12" spans="1:7" ht="15" customHeight="1" x14ac:dyDescent="0.25">
      <c r="A12" s="1557" t="s">
        <v>1932</v>
      </c>
      <c r="B12" s="1558"/>
      <c r="C12" s="1558"/>
      <c r="D12" s="1558"/>
      <c r="E12" s="1558"/>
      <c r="F12" s="1558"/>
      <c r="G12" s="1559"/>
    </row>
    <row r="13" spans="1:7" ht="32.25" customHeight="1" x14ac:dyDescent="0.25">
      <c r="A13" s="2286" t="s">
        <v>1933</v>
      </c>
      <c r="B13" s="2287"/>
      <c r="C13" s="2287"/>
      <c r="D13" s="2287"/>
      <c r="E13" s="2287"/>
      <c r="F13" s="2287"/>
      <c r="G13" s="2288"/>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675"/>
      <c r="B17" s="1866"/>
      <c r="C17" s="1676"/>
      <c r="D17" s="1865"/>
      <c r="E17" s="1560">
        <f t="shared" ref="E17:E141" si="1">IF(D17&lt;=25000,D17,IF(D17&gt;25000,25000,0))</f>
        <v>0</v>
      </c>
      <c r="F17" s="1813">
        <f t="shared" si="0"/>
        <v>0</v>
      </c>
      <c r="G17" s="1814">
        <f>IF(F17=0,0,D17-F17)</f>
        <v>0</v>
      </c>
      <c r="H17" s="1667"/>
    </row>
    <row r="18" spans="1:8" x14ac:dyDescent="0.25">
      <c r="A18" s="1957" t="s">
        <v>2122</v>
      </c>
      <c r="B18" s="1958" t="s">
        <v>1931</v>
      </c>
      <c r="C18" s="1959" t="s">
        <v>2126</v>
      </c>
      <c r="D18" s="1865">
        <v>46774</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21774</v>
      </c>
    </row>
    <row r="19" spans="1:8" x14ac:dyDescent="0.25">
      <c r="A19" s="1957" t="s">
        <v>2123</v>
      </c>
      <c r="B19" s="1958" t="s">
        <v>2131</v>
      </c>
      <c r="C19" s="1959" t="s">
        <v>2127</v>
      </c>
      <c r="D19" s="1865">
        <v>55250</v>
      </c>
      <c r="E19" s="1560">
        <f t="shared" si="2"/>
        <v>25000</v>
      </c>
      <c r="F19" s="1813">
        <f t="shared" si="3"/>
        <v>25000</v>
      </c>
      <c r="G19" s="1814">
        <f t="shared" si="4"/>
        <v>30250</v>
      </c>
    </row>
    <row r="20" spans="1:8" x14ac:dyDescent="0.25">
      <c r="A20" s="1957" t="s">
        <v>2124</v>
      </c>
      <c r="B20" s="1958" t="s">
        <v>2130</v>
      </c>
      <c r="C20" s="1959" t="s">
        <v>2128</v>
      </c>
      <c r="D20" s="1865">
        <v>64828</v>
      </c>
      <c r="E20" s="1560">
        <f t="shared" si="2"/>
        <v>25000</v>
      </c>
      <c r="F20" s="1813">
        <f t="shared" si="3"/>
        <v>25000</v>
      </c>
      <c r="G20" s="1814">
        <f t="shared" si="4"/>
        <v>39828</v>
      </c>
    </row>
    <row r="21" spans="1:8" x14ac:dyDescent="0.25">
      <c r="A21" s="1957" t="s">
        <v>2125</v>
      </c>
      <c r="B21" s="1958" t="s">
        <v>2130</v>
      </c>
      <c r="C21" s="1959" t="s">
        <v>2129</v>
      </c>
      <c r="D21" s="1865">
        <v>27624</v>
      </c>
      <c r="E21" s="1560">
        <f t="shared" si="2"/>
        <v>25000</v>
      </c>
      <c r="F21" s="1813">
        <f t="shared" si="3"/>
        <v>25000</v>
      </c>
      <c r="G21" s="1814">
        <f t="shared" si="4"/>
        <v>2624</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194476</v>
      </c>
      <c r="E141" s="1561">
        <f t="shared" si="1"/>
        <v>25000</v>
      </c>
      <c r="F141" s="1815">
        <f>SUM(F17:F140)</f>
        <v>100000</v>
      </c>
      <c r="G141" s="1816">
        <f>SUM(G17:G140)</f>
        <v>94476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1" t="s">
        <v>1778</v>
      </c>
      <c r="B5" s="2302"/>
      <c r="C5" s="2302"/>
      <c r="D5" s="2302"/>
      <c r="E5" s="2302"/>
      <c r="F5" s="2302"/>
      <c r="G5" s="2303"/>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44545</v>
      </c>
      <c r="F10" s="973"/>
      <c r="G10" s="974"/>
      <c r="H10" s="162"/>
      <c r="I10" s="162"/>
    </row>
    <row r="11" spans="1:9" s="667" customFormat="1" ht="22.5" customHeight="1" x14ac:dyDescent="0.2">
      <c r="A11" s="2306" t="s">
        <v>1945</v>
      </c>
      <c r="B11" s="2307"/>
      <c r="C11" s="2307"/>
      <c r="D11" s="2308"/>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1446032</v>
      </c>
      <c r="F19" s="1820"/>
      <c r="G19" s="1822">
        <f>'Expenditures 15-22'!K33-SUM('Expenditures 15-22'!G33,'Expenditures 15-22'!I33)+'Expenditures 15-22'!D229</f>
        <v>1446032</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90235</v>
      </c>
      <c r="F21" s="1823"/>
      <c r="G21" s="1826">
        <f>'Expenditures 15-22'!K42-SUM('Expenditures 15-22'!G42,'Expenditures 15-22'!I42)+'Expenditures 15-22'!K120-SUM('Expenditures 15-22'!G120,'Expenditures 15-22'!I120)+'Expenditures 15-22'!K180-SUM('Expenditures 15-22'!G180,'Expenditures 15-22'!I180)+'Expenditures 15-22'!D238</f>
        <v>90235</v>
      </c>
      <c r="H21" s="986"/>
      <c r="I21" s="162"/>
    </row>
    <row r="22" spans="1:9" s="667" customFormat="1" ht="12" customHeight="1" x14ac:dyDescent="0.2">
      <c r="A22" s="993" t="s">
        <v>585</v>
      </c>
      <c r="B22" s="994"/>
      <c r="C22" s="992">
        <v>2200</v>
      </c>
      <c r="D22" s="1823"/>
      <c r="E22" s="1825">
        <f>'Expenditures 15-22'!K47-SUM('Expenditures 15-22'!G47,'Expenditures 15-22'!I47)+'Expenditures 15-22'!D243</f>
        <v>36125</v>
      </c>
      <c r="F22" s="1823"/>
      <c r="G22" s="1826">
        <f>'Expenditures 15-22'!K47-SUM('Expenditures 15-22'!G47,'Expenditures 15-22'!I47)+'Expenditures 15-22'!D243</f>
        <v>36125</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287406</v>
      </c>
      <c r="F23" s="1823"/>
      <c r="G23" s="1825">
        <f>'Expenditures 15-22'!K53-SUM('Expenditures 15-22'!G53,'Expenditures 15-22'!I53)+'Expenditures 15-22'!D257+'Expenditures 15-22'!K330-SUM('Expenditures 15-22'!G330,'Expenditures 15-22'!I330)</f>
        <v>287406</v>
      </c>
      <c r="H23" s="986"/>
      <c r="I23" s="162"/>
    </row>
    <row r="24" spans="1:9" s="667" customFormat="1" ht="12" customHeight="1" x14ac:dyDescent="0.2">
      <c r="A24" s="993" t="s">
        <v>587</v>
      </c>
      <c r="B24" s="994"/>
      <c r="C24" s="992">
        <v>2400</v>
      </c>
      <c r="D24" s="1823"/>
      <c r="E24" s="1825">
        <f>'Expenditures 15-22'!K57-SUM('Expenditures 15-22'!G57,'Expenditures 15-22'!I57)+'Expenditures 15-22'!D261</f>
        <v>120577</v>
      </c>
      <c r="F24" s="1823"/>
      <c r="G24" s="1826">
        <f>'Expenditures 15-22'!K57-SUM('Expenditures 15-22'!G57,'Expenditures 15-22'!I57)+'Expenditures 15-22'!D261</f>
        <v>120577</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67636</v>
      </c>
      <c r="E27" s="1825">
        <f>E8</f>
        <v>0</v>
      </c>
      <c r="F27" s="1825">
        <f>'Expenditures 15-22'!K60-SUM('Expenditures 15-22'!G60,'Expenditures 15-22'!I60)+'Expenditures 15-22'!D264-E8</f>
        <v>67636</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357690</v>
      </c>
      <c r="F28" s="1827">
        <f>'Expenditures 15-22'!K61-SUM('Expenditures 15-22'!G61,'Expenditures 15-22'!I61)+'Expenditures 15-22'!K124-SUM('Expenditures 15-22'!G124,'Expenditures 15-22'!I124)+'Expenditures 15-22'!D266-E9</f>
        <v>357690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0</v>
      </c>
      <c r="F29" s="1823"/>
      <c r="G29" s="1826">
        <f>'Expenditures 15-22'!K62-SUM('Expenditures 15-22'!G62,'Expenditures 15-22'!I62)+'Expenditures 15-22'!K125-SUM('Expenditures 15-22'!G125,'Expenditures 15-22'!I125)+'Expenditures 15-22'!K182-SUM('Expenditures 15-22'!G182,'Expenditures 15-22'!I182)+'Expenditures 15-22'!D267</f>
        <v>0</v>
      </c>
      <c r="H29" s="984"/>
    </row>
    <row r="30" spans="1:9" ht="12" customHeight="1" x14ac:dyDescent="0.2">
      <c r="A30" s="993" t="s">
        <v>102</v>
      </c>
      <c r="B30" s="996"/>
      <c r="C30" s="992">
        <v>2560</v>
      </c>
      <c r="D30" s="1823"/>
      <c r="E30" s="1825">
        <f>'Expenditures 15-22'!K63-SUM('Expenditures 15-22'!G63,'Expenditures 15-22'!I63)+'Expenditures 15-22'!D268-E10</f>
        <v>29111</v>
      </c>
      <c r="F30" s="1823"/>
      <c r="G30" s="1825">
        <f>'Expenditures 15-22'!K63-SUM('Expenditures 15-22'!G63,'Expenditures 15-22'!I63)+'Expenditures 15-22'!D268-E10</f>
        <v>29111</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1624</v>
      </c>
      <c r="F39" s="1823"/>
      <c r="G39" s="1825">
        <f>'Expenditures 15-22'!K75-SUM('Expenditures 15-22'!G75,'Expenditures 15-22'!I75)+'Expenditures 15-22'!K130-SUM('Expenditures 15-22'!G130,'Expenditures 15-22'!I130)+'Expenditures 15-22'!K185-SUM('Expenditures 15-22'!G185,'Expenditures 15-22'!I185)+'Expenditures 15-22'!D280</f>
        <v>1624</v>
      </c>
    </row>
    <row r="40" spans="1:7" ht="12" customHeight="1" x14ac:dyDescent="0.2">
      <c r="A40" s="989" t="s">
        <v>1930</v>
      </c>
      <c r="B40" s="990"/>
      <c r="C40" s="992"/>
      <c r="D40" s="1823"/>
      <c r="E40" s="1827">
        <f>-'Contracts Paid in CY 29'!G141</f>
        <v>-94476</v>
      </c>
      <c r="F40" s="1823"/>
      <c r="G40" s="1827">
        <f>-'Contracts Paid in CY 29'!G141</f>
        <v>-94476</v>
      </c>
    </row>
    <row r="41" spans="1:7" ht="12" customHeight="1" x14ac:dyDescent="0.2">
      <c r="A41" s="997" t="s">
        <v>158</v>
      </c>
      <c r="B41" s="998"/>
      <c r="C41" s="999"/>
      <c r="D41" s="1827">
        <f>SUM(D19:D39)</f>
        <v>67636</v>
      </c>
      <c r="E41" s="1827">
        <f>SUM(E19:E40)</f>
        <v>2274324</v>
      </c>
      <c r="F41" s="1827">
        <f>SUM(F19:F39)</f>
        <v>425326</v>
      </c>
      <c r="G41" s="1827">
        <f>SUM(G19:G40)</f>
        <v>1916634</v>
      </c>
    </row>
    <row r="42" spans="1:7" x14ac:dyDescent="0.2">
      <c r="A42" s="986"/>
      <c r="B42" s="162"/>
      <c r="C42" s="1000"/>
      <c r="D42" s="2304" t="s">
        <v>543</v>
      </c>
      <c r="E42" s="2305"/>
      <c r="F42" s="1001" t="s">
        <v>544</v>
      </c>
      <c r="G42" s="1002"/>
    </row>
    <row r="43" spans="1:7" ht="12" customHeight="1" x14ac:dyDescent="0.2">
      <c r="A43" s="986"/>
      <c r="B43" s="162"/>
      <c r="C43" s="1000"/>
      <c r="D43" s="1828" t="s">
        <v>493</v>
      </c>
      <c r="E43" s="1829">
        <f>D41</f>
        <v>67636</v>
      </c>
      <c r="F43" s="1828" t="s">
        <v>495</v>
      </c>
      <c r="G43" s="1829">
        <f>F41</f>
        <v>425326</v>
      </c>
    </row>
    <row r="44" spans="1:7" ht="12" customHeight="1" x14ac:dyDescent="0.2">
      <c r="A44" s="986"/>
      <c r="B44" s="162"/>
      <c r="C44" s="1000"/>
      <c r="D44" s="1828" t="s">
        <v>494</v>
      </c>
      <c r="E44" s="1829">
        <f>E41</f>
        <v>2274324</v>
      </c>
      <c r="F44" s="1828" t="s">
        <v>494</v>
      </c>
      <c r="G44" s="1829">
        <f>G41</f>
        <v>1916634</v>
      </c>
    </row>
    <row r="45" spans="1:7" ht="12" customHeight="1" x14ac:dyDescent="0.2">
      <c r="A45" s="986"/>
      <c r="B45" s="162"/>
      <c r="C45" s="162"/>
      <c r="D45" s="1830" t="s">
        <v>1063</v>
      </c>
      <c r="E45" s="1831">
        <f>(E43/E44)</f>
        <v>2.9738946605672719E-2</v>
      </c>
      <c r="F45" s="1830" t="s">
        <v>1063</v>
      </c>
      <c r="G45" s="1831">
        <f>(G43/G44)</f>
        <v>0.22191299956068816</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2" t="s">
        <v>1446</v>
      </c>
      <c r="B1" s="2312"/>
      <c r="C1" s="2312"/>
      <c r="D1" s="2312"/>
      <c r="E1" s="2312"/>
      <c r="F1" s="2312"/>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3" t="s">
        <v>1627</v>
      </c>
      <c r="B5" s="2314"/>
      <c r="C5" s="2315"/>
      <c r="D5" s="2315"/>
      <c r="E5" s="2315"/>
      <c r="F5" s="2315"/>
    </row>
    <row r="6" spans="1:10" ht="12" customHeight="1" x14ac:dyDescent="0.25">
      <c r="A6" s="1873"/>
      <c r="B6" s="1874"/>
      <c r="C6" s="2316" t="str">
        <f>COVER!A17</f>
        <v>Rankin Community School District No. 98</v>
      </c>
      <c r="D6" s="2316"/>
      <c r="E6" s="2316"/>
      <c r="F6" s="1875"/>
    </row>
    <row r="7" spans="1:10" ht="11.25" customHeight="1" thickBot="1" x14ac:dyDescent="0.3">
      <c r="A7" s="1873"/>
      <c r="B7" s="1874"/>
      <c r="C7" s="2317">
        <f>COVER!A13</f>
        <v>53090098002</v>
      </c>
      <c r="D7" s="2317"/>
      <c r="E7" s="2317"/>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2092</v>
      </c>
      <c r="D26" s="1888" t="s">
        <v>2092</v>
      </c>
      <c r="E26" s="1891"/>
      <c r="F26" s="1890" t="s">
        <v>2097</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t="s">
        <v>2092</v>
      </c>
      <c r="D32" s="1888" t="s">
        <v>2092</v>
      </c>
      <c r="E32" s="1891"/>
      <c r="F32" s="1890" t="s">
        <v>2098</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0</v>
      </c>
      <c r="K34" s="1901">
        <f>SUM(H34:J34)</f>
        <v>20</v>
      </c>
    </row>
    <row r="35" spans="1:11" ht="12" customHeight="1" x14ac:dyDescent="0.2">
      <c r="A35" s="1894" t="s">
        <v>1459</v>
      </c>
      <c r="B35" s="1895"/>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6"/>
      <c r="B39" s="1896"/>
      <c r="C39" s="1896"/>
      <c r="D39" s="1896"/>
      <c r="E39" s="1896"/>
      <c r="F39" s="1896"/>
    </row>
    <row r="40" spans="1:11" s="1893" customFormat="1" ht="12" customHeight="1" x14ac:dyDescent="0.25">
      <c r="A40" s="1897" t="s">
        <v>1458</v>
      </c>
      <c r="B40" s="1898"/>
      <c r="C40" s="2326"/>
      <c r="D40" s="2326"/>
      <c r="E40" s="2326"/>
      <c r="F40" s="2327"/>
      <c r="H40" s="1902"/>
      <c r="I40" s="1902"/>
      <c r="J40" s="1902"/>
      <c r="K40" s="1902"/>
    </row>
    <row r="41" spans="1:11" s="1893" customFormat="1" ht="12" customHeight="1" x14ac:dyDescent="0.25">
      <c r="A41" s="2328"/>
      <c r="B41" s="2329"/>
      <c r="C41" s="2329"/>
      <c r="D41" s="2329"/>
      <c r="E41" s="2329"/>
      <c r="F41" s="2330"/>
      <c r="H41" s="1902"/>
      <c r="I41" s="1902"/>
      <c r="J41" s="1902"/>
      <c r="K41" s="1902"/>
    </row>
    <row r="42" spans="1:11" s="1893" customFormat="1" ht="12" customHeight="1" x14ac:dyDescent="0.25">
      <c r="A42" s="2328"/>
      <c r="B42" s="2329"/>
      <c r="C42" s="2329"/>
      <c r="D42" s="2329"/>
      <c r="E42" s="2329"/>
      <c r="F42" s="2330"/>
      <c r="H42" s="1902"/>
      <c r="I42" s="1902"/>
      <c r="J42" s="1902"/>
      <c r="K42" s="1902"/>
    </row>
    <row r="43" spans="1:11" s="1893" customFormat="1" ht="15" x14ac:dyDescent="0.25">
      <c r="A43" s="2320"/>
      <c r="B43" s="2321"/>
      <c r="C43" s="2321"/>
      <c r="D43" s="2321"/>
      <c r="E43" s="2321"/>
      <c r="F43" s="2322"/>
      <c r="H43" s="1902"/>
      <c r="I43" s="1902"/>
      <c r="J43" s="1902"/>
      <c r="K43" s="1902"/>
    </row>
    <row r="44" spans="1:11" s="1893" customFormat="1" ht="12" hidden="1" customHeight="1" x14ac:dyDescent="0.25">
      <c r="A44" s="2320"/>
      <c r="B44" s="2321"/>
      <c r="C44" s="2321"/>
      <c r="D44" s="2321"/>
      <c r="E44" s="2321"/>
      <c r="F44" s="2322"/>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6" t="str">
        <f>COVER!A17</f>
        <v>Rankin Community School District No. 98</v>
      </c>
      <c r="J6" s="2337"/>
      <c r="Q6" s="1684"/>
    </row>
    <row r="7" spans="1:17" x14ac:dyDescent="0.2">
      <c r="A7" s="2338" t="s">
        <v>924</v>
      </c>
      <c r="B7" s="2339"/>
      <c r="C7" s="2339"/>
      <c r="D7" s="2339"/>
      <c r="E7" s="2340"/>
      <c r="F7" s="1016"/>
      <c r="G7" s="1008"/>
      <c r="H7" s="1015" t="s">
        <v>390</v>
      </c>
      <c r="I7" s="2341">
        <f>COVER!A13</f>
        <v>53090098002</v>
      </c>
      <c r="J7" s="2341"/>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2" t="s">
        <v>502</v>
      </c>
      <c r="B11" s="2343"/>
      <c r="C11" s="2344"/>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183338</v>
      </c>
      <c r="F12" s="1038"/>
      <c r="G12" s="1832">
        <f t="shared" ref="G12:G18" si="0">SUM(E12:F12)</f>
        <v>183338</v>
      </c>
      <c r="H12" s="1039">
        <v>190003</v>
      </c>
      <c r="I12" s="1038"/>
      <c r="J12" s="1832">
        <f t="shared" ref="J12:J18" si="1">SUM(H12:I12)</f>
        <v>190003</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5" t="s">
        <v>7</v>
      </c>
      <c r="C18" s="2346"/>
      <c r="D18" s="2347"/>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183338</v>
      </c>
      <c r="F19" s="1834">
        <f t="shared" si="2"/>
        <v>0</v>
      </c>
      <c r="G19" s="1834">
        <f t="shared" si="2"/>
        <v>183338</v>
      </c>
      <c r="H19" s="1834">
        <f t="shared" si="2"/>
        <v>190003</v>
      </c>
      <c r="I19" s="1834">
        <f t="shared" si="2"/>
        <v>0</v>
      </c>
      <c r="J19" s="1834">
        <f t="shared" si="2"/>
        <v>190003</v>
      </c>
    </row>
    <row r="20" spans="1:10" ht="13.5" thickTop="1" x14ac:dyDescent="0.2">
      <c r="A20" s="1034">
        <v>9</v>
      </c>
      <c r="B20" s="2348" t="s">
        <v>1703</v>
      </c>
      <c r="C20" s="2348"/>
      <c r="D20" s="2349"/>
      <c r="E20" s="1045"/>
      <c r="F20" s="1045"/>
      <c r="G20" s="1045"/>
      <c r="H20" s="1045"/>
      <c r="I20" s="1045"/>
      <c r="J20" s="1835">
        <f>IF(AND(G19&gt;0,J19&gt;0),(((J19-G19)/G19)),"Enter Budget Data")</f>
        <v>3.6353620089670448E-2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4"/>
      <c r="D26" s="2354"/>
      <c r="E26" s="1049"/>
      <c r="F26" s="2353"/>
      <c r="G26" s="2353"/>
    </row>
    <row r="27" spans="1:10" x14ac:dyDescent="0.2">
      <c r="B27" s="1046"/>
      <c r="C27" s="1050" t="s">
        <v>1093</v>
      </c>
      <c r="D27" s="1051"/>
      <c r="E27" s="1052"/>
      <c r="F27" s="2350" t="s">
        <v>1589</v>
      </c>
      <c r="G27" s="2350"/>
    </row>
    <row r="28" spans="1:10" ht="28.5" customHeight="1" x14ac:dyDescent="0.2">
      <c r="B28" s="1046"/>
      <c r="C28" s="2352"/>
      <c r="D28" s="2352"/>
      <c r="E28" s="1053"/>
      <c r="F28" s="2352"/>
      <c r="G28" s="2352"/>
    </row>
    <row r="29" spans="1:10" x14ac:dyDescent="0.2">
      <c r="B29" s="1046"/>
      <c r="C29" s="1054" t="s">
        <v>1642</v>
      </c>
      <c r="E29" s="1055"/>
      <c r="F29" s="2351" t="s">
        <v>1590</v>
      </c>
      <c r="G29" s="2351"/>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1"/>
    </row>
    <row r="36" spans="1:10" ht="13.5" customHeight="1" x14ac:dyDescent="0.2">
      <c r="B36" s="1060"/>
      <c r="C36" s="2335" t="s">
        <v>1944</v>
      </c>
      <c r="D36" s="2334"/>
      <c r="E36" s="2334"/>
      <c r="F36" s="2334"/>
      <c r="G36" s="2334"/>
      <c r="H36" s="2334"/>
      <c r="I36" s="2334"/>
      <c r="J36" s="1062"/>
    </row>
    <row r="37" spans="1:10" ht="22.5" customHeight="1" x14ac:dyDescent="0.2">
      <c r="C37" s="2334"/>
      <c r="D37" s="2334"/>
      <c r="E37" s="2334"/>
      <c r="F37" s="2334"/>
      <c r="G37" s="2334"/>
      <c r="H37" s="2334"/>
      <c r="I37" s="2334"/>
      <c r="J37" s="1062"/>
    </row>
    <row r="38" spans="1:10" ht="7.5" customHeight="1" x14ac:dyDescent="0.2">
      <c r="C38" s="1061"/>
      <c r="D38" s="1063"/>
      <c r="E38" s="1064"/>
      <c r="F38" s="1065"/>
      <c r="G38" s="1064"/>
    </row>
    <row r="39" spans="1:10" ht="13.5" customHeight="1" x14ac:dyDescent="0.2">
      <c r="B39" s="1060"/>
      <c r="C39" s="2331" t="s">
        <v>937</v>
      </c>
      <c r="D39" s="2332"/>
      <c r="E39" s="2332"/>
      <c r="F39" s="2332"/>
      <c r="G39" s="2332"/>
      <c r="H39" s="2332"/>
      <c r="I39" s="2332"/>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2132</v>
      </c>
    </row>
    <row r="6" spans="1:2" x14ac:dyDescent="0.2">
      <c r="A6" s="1067">
        <v>2</v>
      </c>
      <c r="B6" s="329" t="s">
        <v>2133</v>
      </c>
    </row>
    <row r="7" spans="1:2" x14ac:dyDescent="0.2">
      <c r="A7" s="1067">
        <v>3</v>
      </c>
      <c r="B7" s="329" t="s">
        <v>2134</v>
      </c>
    </row>
    <row r="8" spans="1:2" x14ac:dyDescent="0.2">
      <c r="A8" s="1067">
        <v>4</v>
      </c>
      <c r="B8" s="329" t="s">
        <v>2135</v>
      </c>
    </row>
    <row r="9" spans="1:2" x14ac:dyDescent="0.2">
      <c r="A9" s="1067">
        <v>5</v>
      </c>
      <c r="B9" s="329" t="s">
        <v>2136</v>
      </c>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Rankin Community School District No. 98</v>
      </c>
    </row>
    <row r="65" spans="2:2" x14ac:dyDescent="0.2">
      <c r="B65" s="1069">
        <f>COVER!A13</f>
        <v>53090098002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3"/>
      <c r="H2" s="1073"/>
    </row>
    <row r="3" spans="1:8" ht="57" customHeight="1" x14ac:dyDescent="0.2">
      <c r="A3" s="2369" t="s">
        <v>1786</v>
      </c>
      <c r="B3" s="2370"/>
      <c r="C3" s="2370"/>
      <c r="D3" s="2370"/>
      <c r="E3" s="2370"/>
      <c r="F3" s="2371"/>
      <c r="G3" s="1073"/>
      <c r="H3" s="1073"/>
    </row>
    <row r="4" spans="1:8" ht="14.25" customHeight="1" x14ac:dyDescent="0.2">
      <c r="A4" s="2375" t="s">
        <v>2056</v>
      </c>
      <c r="B4" s="2376"/>
      <c r="C4" s="2376"/>
      <c r="D4" s="2376"/>
      <c r="E4" s="2376"/>
      <c r="F4" s="2377"/>
      <c r="G4" s="1073"/>
      <c r="H4" s="1073"/>
    </row>
    <row r="5" spans="1:8" ht="14.25" customHeight="1" x14ac:dyDescent="0.2">
      <c r="A5" s="2378" t="s">
        <v>2057</v>
      </c>
      <c r="B5" s="2379"/>
      <c r="C5" s="2379"/>
      <c r="D5" s="2379"/>
      <c r="E5" s="2379"/>
      <c r="F5" s="2380"/>
      <c r="G5" s="1073"/>
      <c r="H5" s="1073"/>
    </row>
    <row r="6" spans="1:8" s="1074" customFormat="1" ht="41.25" customHeight="1" x14ac:dyDescent="0.2">
      <c r="A6" s="2372" t="s">
        <v>1792</v>
      </c>
      <c r="B6" s="2373"/>
      <c r="C6" s="2373"/>
      <c r="D6" s="2373"/>
      <c r="E6" s="2373"/>
      <c r="F6" s="2374"/>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2377022</v>
      </c>
      <c r="C8" s="1836">
        <f>'Acct Summary 7-8'!D8</f>
        <v>290910</v>
      </c>
      <c r="D8" s="1836">
        <f>'Acct Summary 7-8'!F8</f>
        <v>249286</v>
      </c>
      <c r="E8" s="1836">
        <f>'Acct Summary 7-8'!I8</f>
        <v>29948</v>
      </c>
      <c r="F8" s="1836">
        <f>SUM(B8:E8)</f>
        <v>2947166</v>
      </c>
    </row>
    <row r="9" spans="1:8" s="1078" customFormat="1" ht="14.25" customHeight="1" thickBot="1" x14ac:dyDescent="0.25">
      <c r="A9" s="1077" t="s">
        <v>1436</v>
      </c>
      <c r="B9" s="1837">
        <f>'Acct Summary 7-8'!C17</f>
        <v>2251833</v>
      </c>
      <c r="C9" s="1837">
        <f>'Acct Summary 7-8'!D17</f>
        <v>262944</v>
      </c>
      <c r="D9" s="1837">
        <f>'Acct Summary 7-8'!F17</f>
        <v>210049</v>
      </c>
      <c r="E9" s="1836"/>
      <c r="F9" s="1836">
        <f>SUM(B9:E9)</f>
        <v>2724826</v>
      </c>
    </row>
    <row r="10" spans="1:8" s="1078" customFormat="1" ht="14.25" thickTop="1" thickBot="1" x14ac:dyDescent="0.25">
      <c r="A10" s="1079" t="s">
        <v>1437</v>
      </c>
      <c r="B10" s="1838">
        <f>(B8-B9)</f>
        <v>125189</v>
      </c>
      <c r="C10" s="1838">
        <f>(C8-C9)</f>
        <v>27966</v>
      </c>
      <c r="D10" s="1838">
        <f>(D8-D9)</f>
        <v>39237</v>
      </c>
      <c r="E10" s="1837">
        <f>(E8-E9)</f>
        <v>29948</v>
      </c>
      <c r="F10" s="1839">
        <f>SUM(F8-F9)</f>
        <v>222340</v>
      </c>
    </row>
    <row r="11" spans="1:8" s="1078" customFormat="1" ht="14.25" thickTop="1" thickBot="1" x14ac:dyDescent="0.25">
      <c r="A11" s="1080" t="s">
        <v>1785</v>
      </c>
      <c r="B11" s="1840">
        <f>'Acct Summary 7-8'!C81</f>
        <v>2278174</v>
      </c>
      <c r="C11" s="1840">
        <f>'Acct Summary 7-8'!D81</f>
        <v>344017</v>
      </c>
      <c r="D11" s="1840">
        <f>'Acct Summary 7-8'!F81</f>
        <v>325026</v>
      </c>
      <c r="E11" s="1840">
        <f>'Acct Summary 7-8'!I81</f>
        <v>268845</v>
      </c>
      <c r="F11" s="1841">
        <f>SUM(B11:E11)</f>
        <v>3216062</v>
      </c>
    </row>
    <row r="12" spans="1:8" ht="16.5" customHeight="1" thickTop="1" x14ac:dyDescent="0.2">
      <c r="A12" s="1081"/>
      <c r="B12" s="1082"/>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3"/>
      <c r="B13" s="1084"/>
      <c r="C13" s="2360"/>
      <c r="D13" s="2361"/>
      <c r="E13" s="2361"/>
      <c r="F13" s="2362"/>
      <c r="H13" s="1073"/>
    </row>
    <row r="14" spans="1:8" ht="19.5" customHeight="1" x14ac:dyDescent="0.2">
      <c r="A14" s="1083"/>
      <c r="B14" s="1084"/>
      <c r="C14" s="2360"/>
      <c r="D14" s="2361"/>
      <c r="E14" s="2361"/>
      <c r="F14" s="2362"/>
      <c r="H14" s="1073"/>
    </row>
    <row r="15" spans="1:8" ht="17.25" customHeight="1" x14ac:dyDescent="0.2">
      <c r="A15" s="1083"/>
      <c r="B15" s="1084"/>
      <c r="C15" s="2363"/>
      <c r="D15" s="2364"/>
      <c r="E15" s="2364"/>
      <c r="F15" s="2365"/>
      <c r="H15" s="1073"/>
    </row>
    <row r="16" spans="1:8" s="310" customFormat="1" ht="51.75" hidden="1" customHeight="1" x14ac:dyDescent="0.2">
      <c r="A16" s="2359" t="s">
        <v>1787</v>
      </c>
      <c r="B16" s="2359"/>
      <c r="C16" s="2359"/>
      <c r="D16" s="2359"/>
      <c r="E16" s="2359"/>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5"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1" t="s">
        <v>686</v>
      </c>
      <c r="B3" s="2382"/>
      <c r="C3" s="2382"/>
      <c r="D3" s="2383"/>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2" t="s">
        <v>1584</v>
      </c>
      <c r="D7" s="2393"/>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4" t="s">
        <v>1065</v>
      </c>
      <c r="B15" s="2385"/>
      <c r="C15" s="2385"/>
      <c r="D15" s="2386"/>
    </row>
    <row r="16" spans="1:4" s="667" customFormat="1" ht="24" customHeight="1" x14ac:dyDescent="0.2">
      <c r="A16" s="2387" t="s">
        <v>684</v>
      </c>
      <c r="B16" s="2388"/>
      <c r="C16" s="2388"/>
      <c r="D16" s="2389"/>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6" t="s">
        <v>332</v>
      </c>
      <c r="D21" s="2397"/>
    </row>
    <row r="22" spans="1:10" ht="12.75" x14ac:dyDescent="0.2">
      <c r="A22" s="1138"/>
      <c r="B22" s="1139">
        <v>2</v>
      </c>
      <c r="C22" s="2394" t="s">
        <v>1605</v>
      </c>
      <c r="D22" s="2395"/>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8" t="s">
        <v>557</v>
      </c>
      <c r="D43" s="239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0" t="s">
        <v>817</v>
      </c>
      <c r="D56" s="2391"/>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90" t="s">
        <v>1797</v>
      </c>
      <c r="D70" s="2391"/>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53090098002</v>
      </c>
    </row>
    <row r="3" spans="1:2" x14ac:dyDescent="0.2">
      <c r="A3" t="s">
        <v>1013</v>
      </c>
      <c r="B3" s="138" t="str">
        <f>COVER!A15</f>
        <v>Tazewell</v>
      </c>
    </row>
    <row r="4" spans="1:2" x14ac:dyDescent="0.2">
      <c r="A4" t="s">
        <v>1064</v>
      </c>
      <c r="B4" s="138" t="str">
        <f>COVER!A17</f>
        <v>Rankin Community School District No. 98</v>
      </c>
    </row>
    <row r="5" spans="1:2" x14ac:dyDescent="0.2">
      <c r="A5" t="s">
        <v>728</v>
      </c>
      <c r="B5" s="138" t="str">
        <f>COVER!A38</f>
        <v>Matt Gordon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1335426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2278198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v>
      </c>
      <c r="C91" s="2" t="s">
        <v>594</v>
      </c>
      <c r="D91" s="2" t="str">
        <f t="shared" si="0"/>
        <v>Error?</v>
      </c>
    </row>
    <row r="92" spans="1:4" x14ac:dyDescent="0.2">
      <c r="A92" s="5">
        <v>31</v>
      </c>
      <c r="B92" s="138">
        <f>'Assets-Liab 5-6'!C39</f>
        <v>2278174</v>
      </c>
      <c r="D92" s="2" t="str">
        <f t="shared" si="0"/>
        <v>Error?</v>
      </c>
    </row>
    <row r="93" spans="1:4" x14ac:dyDescent="0.2">
      <c r="A93" s="5">
        <v>32</v>
      </c>
      <c r="B93" s="138">
        <f>'Assets-Liab 5-6'!C41</f>
        <v>2278198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344017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344017</v>
      </c>
      <c r="D123" s="2" t="str">
        <f t="shared" si="0"/>
        <v>Error?</v>
      </c>
    </row>
    <row r="124" spans="1:4" x14ac:dyDescent="0.2">
      <c r="A124" s="5">
        <v>63</v>
      </c>
      <c r="B124" s="138">
        <f>'Assets-Liab 5-6'!D41</f>
        <v>344017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12378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12378</v>
      </c>
      <c r="D140" s="2" t="str">
        <f t="shared" si="1"/>
        <v>Error?</v>
      </c>
    </row>
    <row r="141" spans="1:4" x14ac:dyDescent="0.2">
      <c r="A141" s="5">
        <v>80</v>
      </c>
      <c r="B141" s="138">
        <f>'Assets-Liab 5-6'!E41</f>
        <v>12378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325026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325026</v>
      </c>
      <c r="D170" s="2" t="str">
        <f t="shared" si="1"/>
        <v>Error?</v>
      </c>
    </row>
    <row r="171" spans="1:4" x14ac:dyDescent="0.2">
      <c r="A171" s="5">
        <v>110</v>
      </c>
      <c r="B171" s="138">
        <f>'Assets-Liab 5-6'!F41</f>
        <v>325026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134661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57230</v>
      </c>
      <c r="D189" s="2" t="str">
        <f t="shared" si="1"/>
        <v>Error?</v>
      </c>
    </row>
    <row r="190" spans="1:4" x14ac:dyDescent="0.2">
      <c r="A190" s="5">
        <v>129</v>
      </c>
      <c r="B190" s="138">
        <f>'Assets-Liab 5-6'!G41</f>
        <v>134661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298681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641664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641664</v>
      </c>
      <c r="D212" s="2" t="str">
        <f t="shared" si="2"/>
        <v>Error?</v>
      </c>
    </row>
    <row r="213" spans="1:4" x14ac:dyDescent="0.2">
      <c r="A213" s="12">
        <v>152</v>
      </c>
      <c r="B213" s="138">
        <f>'Assets-Liab 5-6'!H41</f>
        <v>641664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125600</v>
      </c>
      <c r="D273" s="2" t="str">
        <f t="shared" si="3"/>
        <v>Error?</v>
      </c>
    </row>
    <row r="274" spans="1:4" x14ac:dyDescent="0.2">
      <c r="A274" s="5">
        <v>213</v>
      </c>
      <c r="B274" s="138">
        <f>'Assets-Liab 5-6'!M17</f>
        <v>7593698</v>
      </c>
      <c r="D274" s="2" t="str">
        <f t="shared" si="3"/>
        <v>Error?</v>
      </c>
    </row>
    <row r="275" spans="1:4" x14ac:dyDescent="0.2">
      <c r="A275" s="5">
        <v>214</v>
      </c>
      <c r="B275" s="138">
        <f>'Assets-Liab 5-6'!M18</f>
        <v>852152</v>
      </c>
      <c r="D275" s="2" t="str">
        <f t="shared" si="3"/>
        <v>Error?</v>
      </c>
    </row>
    <row r="276" spans="1:4" x14ac:dyDescent="0.2">
      <c r="A276" s="5">
        <v>215</v>
      </c>
      <c r="B276" s="138">
        <f>'Assets-Liab 5-6'!M19</f>
        <v>377712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8949162</v>
      </c>
      <c r="C279" s="2" t="s">
        <v>594</v>
      </c>
      <c r="D279" s="2" t="str">
        <f t="shared" si="3"/>
        <v>Error?</v>
      </c>
    </row>
    <row r="280" spans="1:4" x14ac:dyDescent="0.2">
      <c r="A280" s="5">
        <v>219</v>
      </c>
      <c r="B280" s="138">
        <f>'Assets-Liab 5-6'!M40</f>
        <v>8949162</v>
      </c>
      <c r="D280" s="2" t="str">
        <f t="shared" si="3"/>
        <v>Error?</v>
      </c>
    </row>
    <row r="281" spans="1:4" x14ac:dyDescent="0.2">
      <c r="A281" s="5">
        <v>220</v>
      </c>
      <c r="B281" s="138">
        <f>'Assets-Liab 5-6'!M41</f>
        <v>8949162</v>
      </c>
      <c r="C281" s="2" t="s">
        <v>594</v>
      </c>
      <c r="D281" s="2" t="str">
        <f t="shared" si="3"/>
        <v>Error?</v>
      </c>
    </row>
    <row r="282" spans="1:4" x14ac:dyDescent="0.2">
      <c r="A282" s="5">
        <v>221</v>
      </c>
      <c r="B282" s="138">
        <f>'Assets-Liab 5-6'!N21</f>
        <v>12378</v>
      </c>
      <c r="D282" s="2" t="str">
        <f t="shared" si="3"/>
        <v>Error?</v>
      </c>
    </row>
    <row r="283" spans="1:4" x14ac:dyDescent="0.2">
      <c r="A283" s="5">
        <v>222</v>
      </c>
      <c r="B283" s="138">
        <f>'Assets-Liab 5-6'!N22</f>
        <v>3453622</v>
      </c>
      <c r="D283" s="2" t="str">
        <f t="shared" si="3"/>
        <v>Error?</v>
      </c>
    </row>
    <row r="284" spans="1:4" x14ac:dyDescent="0.2">
      <c r="A284" s="5">
        <v>223</v>
      </c>
      <c r="B284" s="138">
        <f>'Assets-Liab 5-6'!N23</f>
        <v>3466000</v>
      </c>
      <c r="C284" s="2" t="s">
        <v>594</v>
      </c>
      <c r="D284" s="2" t="str">
        <f t="shared" si="3"/>
        <v>Error?</v>
      </c>
    </row>
    <row r="285" spans="1:4" x14ac:dyDescent="0.2">
      <c r="A285" s="5">
        <v>224</v>
      </c>
      <c r="B285" s="138">
        <f>'Assets-Liab 5-6'!N36</f>
        <v>3466000</v>
      </c>
      <c r="D285" s="2" t="str">
        <f t="shared" si="3"/>
        <v>Error?</v>
      </c>
    </row>
    <row r="286" spans="1:4" x14ac:dyDescent="0.2">
      <c r="A286" s="10">
        <v>225</v>
      </c>
      <c r="D286" s="2" t="str">
        <f t="shared" si="3"/>
        <v>OK</v>
      </c>
    </row>
    <row r="287" spans="1:4" x14ac:dyDescent="0.2">
      <c r="A287" s="5">
        <v>226</v>
      </c>
      <c r="B287" s="138">
        <f>'Assets-Liab 5-6'!N37</f>
        <v>3466000</v>
      </c>
      <c r="C287" s="2" t="s">
        <v>594</v>
      </c>
      <c r="D287" s="2" t="str">
        <f t="shared" si="3"/>
        <v>Error?</v>
      </c>
    </row>
    <row r="288" spans="1:4" x14ac:dyDescent="0.2">
      <c r="A288" s="5">
        <v>227</v>
      </c>
      <c r="B288" s="138">
        <f>'Assets-Liab 5-6'!N41</f>
        <v>3466000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817678</v>
      </c>
      <c r="D705" s="2" t="str">
        <f t="shared" si="10"/>
        <v>Error?</v>
      </c>
    </row>
    <row r="706" spans="1:4" x14ac:dyDescent="0.2">
      <c r="A706" s="5">
        <v>645</v>
      </c>
      <c r="B706" s="138">
        <f>'Expenditures 15-22'!C16</f>
        <v>668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31040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972478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31162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40600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71762</v>
      </c>
      <c r="C727" s="2" t="s">
        <v>594</v>
      </c>
      <c r="D727" s="2" t="str">
        <f t="shared" si="10"/>
        <v>Error?</v>
      </c>
    </row>
    <row r="728" spans="1:4" x14ac:dyDescent="0.2">
      <c r="A728" s="5">
        <v>667</v>
      </c>
      <c r="B728" s="138">
        <f>'Expenditures 15-22'!C44</f>
        <v>4203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4203</v>
      </c>
      <c r="C731" s="2" t="s">
        <v>594</v>
      </c>
      <c r="D731" s="2" t="str">
        <f t="shared" si="10"/>
        <v>Error?</v>
      </c>
    </row>
    <row r="732" spans="1:4" x14ac:dyDescent="0.2">
      <c r="A732" s="5">
        <v>671</v>
      </c>
      <c r="B732" s="138">
        <f>'Expenditures 15-22'!C49</f>
        <v>3812</v>
      </c>
      <c r="D732" s="2" t="str">
        <f t="shared" si="10"/>
        <v>Error?</v>
      </c>
    </row>
    <row r="733" spans="1:4" x14ac:dyDescent="0.2">
      <c r="A733" s="5">
        <v>672</v>
      </c>
      <c r="B733" s="138">
        <f>'Expenditures 15-22'!C50</f>
        <v>141284</v>
      </c>
      <c r="D733" s="2" t="str">
        <f t="shared" si="10"/>
        <v>Error?</v>
      </c>
    </row>
    <row r="734" spans="1:4" x14ac:dyDescent="0.2">
      <c r="A734" s="5">
        <v>673</v>
      </c>
      <c r="B734" s="138">
        <f>'Expenditures 15-22'!C53</f>
        <v>145096</v>
      </c>
      <c r="C734" s="2" t="s">
        <v>594</v>
      </c>
      <c r="D734" s="2" t="str">
        <f t="shared" si="10"/>
        <v>Error?</v>
      </c>
    </row>
    <row r="735" spans="1:4" x14ac:dyDescent="0.2">
      <c r="A735" s="5">
        <v>674</v>
      </c>
      <c r="B735" s="138">
        <f>'Expenditures 15-22'!C55</f>
        <v>102296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102296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47371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23578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70949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394306</v>
      </c>
      <c r="C755" s="2" t="s">
        <v>594</v>
      </c>
      <c r="D755" s="2" t="str">
        <f t="shared" si="10"/>
        <v>Error?</v>
      </c>
    </row>
    <row r="756" spans="1:4" x14ac:dyDescent="0.2">
      <c r="A756" s="5">
        <v>695</v>
      </c>
      <c r="B756" s="138">
        <f>'Expenditures 15-22'!C75</f>
        <v>1624</v>
      </c>
      <c r="D756" s="2" t="str">
        <f t="shared" si="10"/>
        <v>Error?</v>
      </c>
    </row>
    <row r="757" spans="1:4" x14ac:dyDescent="0.2">
      <c r="A757" s="5">
        <v>696</v>
      </c>
      <c r="B757" s="138">
        <f>'Expenditures 15-22'!C114</f>
        <v>1368408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201830</v>
      </c>
      <c r="D763" s="2" t="str">
        <f t="shared" si="10"/>
        <v>Error?</v>
      </c>
    </row>
    <row r="764" spans="1:4" x14ac:dyDescent="0.2">
      <c r="A764" s="5">
        <v>703</v>
      </c>
      <c r="B764" s="138">
        <f>'Expenditures 15-22'!D16</f>
        <v>80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3096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235538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6245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6245</v>
      </c>
      <c r="C785" s="2" t="s">
        <v>594</v>
      </c>
      <c r="D785" s="2" t="str">
        <f t="shared" si="11"/>
        <v>Error?</v>
      </c>
    </row>
    <row r="786" spans="1:4" x14ac:dyDescent="0.2">
      <c r="A786" s="5">
        <v>725</v>
      </c>
      <c r="B786" s="138">
        <f>'Expenditures 15-22'!D44</f>
        <v>26740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26740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24842</v>
      </c>
      <c r="D791" s="2" t="str">
        <f t="shared" si="11"/>
        <v>Error?</v>
      </c>
    </row>
    <row r="792" spans="1:4" x14ac:dyDescent="0.2">
      <c r="A792" s="5">
        <v>731</v>
      </c>
      <c r="B792" s="138">
        <f>'Expenditures 15-22'!D53</f>
        <v>24842</v>
      </c>
      <c r="C792" s="2" t="s">
        <v>594</v>
      </c>
      <c r="D792" s="2" t="str">
        <f t="shared" si="11"/>
        <v>Error?</v>
      </c>
    </row>
    <row r="793" spans="1:4" x14ac:dyDescent="0.2">
      <c r="A793" s="5">
        <v>732</v>
      </c>
      <c r="B793" s="138">
        <f>'Expenditures 15-22'!D55</f>
        <v>12793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12793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8227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78847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314385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43643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6782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50425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5153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5153</v>
      </c>
      <c r="C847" s="2" t="s">
        <v>594</v>
      </c>
      <c r="D847" s="2" t="str">
        <f t="shared" si="12"/>
        <v>Error?</v>
      </c>
    </row>
    <row r="848" spans="1:4" x14ac:dyDescent="0.2">
      <c r="A848" s="5">
        <v>787</v>
      </c>
      <c r="B848" s="138">
        <f>'Expenditures 15-22'!E49</f>
        <v>9668</v>
      </c>
      <c r="D848" s="2" t="str">
        <f t="shared" si="12"/>
        <v>Error?</v>
      </c>
    </row>
    <row r="849" spans="1:4" x14ac:dyDescent="0.2">
      <c r="A849" s="5">
        <v>788</v>
      </c>
      <c r="B849" s="138">
        <f>'Expenditures 15-22'!E50</f>
        <v>302</v>
      </c>
      <c r="D849" s="2" t="str">
        <f t="shared" si="12"/>
        <v>Error?</v>
      </c>
    </row>
    <row r="850" spans="1:4" x14ac:dyDescent="0.2">
      <c r="A850" s="5">
        <v>789</v>
      </c>
      <c r="B850" s="138">
        <f>'Expenditures 15-22'!E53</f>
        <v>78431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1079</v>
      </c>
      <c r="D855" s="2" t="str">
        <f t="shared" si="12"/>
        <v>Error?</v>
      </c>
    </row>
    <row r="856" spans="1:4" x14ac:dyDescent="0.2">
      <c r="A856" s="5">
        <v>795</v>
      </c>
      <c r="B856" s="138">
        <f>'Expenditures 15-22'!E61</f>
        <v>2585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643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4307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87891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197778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77857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8008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99789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1330</v>
      </c>
      <c r="D899" s="2" t="str">
        <f t="shared" si="13"/>
        <v>Error?</v>
      </c>
    </row>
    <row r="900" spans="1:4" x14ac:dyDescent="0.2">
      <c r="A900" s="5">
        <v>839</v>
      </c>
      <c r="B900" s="138">
        <f>'Expenditures 15-22'!F41</f>
        <v>2909</v>
      </c>
      <c r="D900" s="2" t="str">
        <f t="shared" si="13"/>
        <v>Error?</v>
      </c>
    </row>
    <row r="901" spans="1:4" x14ac:dyDescent="0.2">
      <c r="A901" s="5">
        <v>840</v>
      </c>
      <c r="B901" s="138">
        <f>'Expenditures 15-22'!F42</f>
        <v>6283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2606</v>
      </c>
      <c r="D906" s="2" t="str">
        <f t="shared" si="13"/>
        <v>Error?</v>
      </c>
    </row>
    <row r="907" spans="1:4" x14ac:dyDescent="0.2">
      <c r="A907" s="5">
        <v>846</v>
      </c>
      <c r="B907" s="138">
        <f>'Expenditures 15-22'!F50</f>
        <v>2240</v>
      </c>
      <c r="D907" s="2" t="str">
        <f t="shared" si="13"/>
        <v>Error?</v>
      </c>
    </row>
    <row r="908" spans="1:4" x14ac:dyDescent="0.2">
      <c r="A908" s="5">
        <v>847</v>
      </c>
      <c r="B908" s="138">
        <f>'Expenditures 15-22'!F53</f>
        <v>4846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2771</v>
      </c>
      <c r="D913" s="2" t="str">
        <f t="shared" si="13"/>
        <v>Error?</v>
      </c>
    </row>
    <row r="914" spans="1:4" x14ac:dyDescent="0.2">
      <c r="A914" s="5">
        <v>853</v>
      </c>
      <c r="B914" s="138">
        <f>'Expenditures 15-22'!F61</f>
        <v>92452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45364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140587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151716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251505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21664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650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22314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948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948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948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23262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1519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55801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12563</v>
      </c>
      <c r="D1022" s="2" t="str">
        <f t="shared" si="14"/>
        <v>Error?</v>
      </c>
    </row>
    <row r="1023" spans="1:4" x14ac:dyDescent="0.2">
      <c r="A1023" s="5">
        <v>962</v>
      </c>
      <c r="B1023" s="138">
        <f>'Expenditures 15-22'!H50</f>
        <v>14670</v>
      </c>
      <c r="D1023" s="2" t="str">
        <f t="shared" ref="D1023:D1086" si="15">IF(ISBLANK(B1023),"OK",IF(A1023-B1023=0,"OK","Error?"))</f>
        <v>Error?</v>
      </c>
    </row>
    <row r="1024" spans="1:4" x14ac:dyDescent="0.2">
      <c r="A1024" s="5">
        <v>963</v>
      </c>
      <c r="B1024" s="138">
        <f>'Expenditures 15-22'!H53</f>
        <v>27233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27233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13461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96495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1162672</v>
      </c>
      <c r="C1093" s="2" t="s">
        <v>594</v>
      </c>
      <c r="D1093" s="2" t="str">
        <f t="shared" si="16"/>
        <v>Error?</v>
      </c>
    </row>
    <row r="1094" spans="1:4" x14ac:dyDescent="0.2">
      <c r="A1094" s="5">
        <v>1033</v>
      </c>
      <c r="B1094" s="138">
        <f>'Expenditures 15-22'!K16</f>
        <v>748</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51095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1436345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33206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48175</v>
      </c>
      <c r="C1113" s="2" t="s">
        <v>594</v>
      </c>
      <c r="D1113" s="2" t="str">
        <f t="shared" si="16"/>
        <v>Error?</v>
      </c>
    </row>
    <row r="1114" spans="1:4" x14ac:dyDescent="0.2">
      <c r="A1114" s="5">
        <v>1053</v>
      </c>
      <c r="B1114" s="138">
        <f>'Expenditures 15-22'!K41</f>
        <v>2909</v>
      </c>
      <c r="C1114" s="2" t="s">
        <v>594</v>
      </c>
      <c r="D1114" s="2" t="str">
        <f t="shared" si="16"/>
        <v>Error?</v>
      </c>
    </row>
    <row r="1115" spans="1:4" x14ac:dyDescent="0.2">
      <c r="A1115" s="5">
        <v>1054</v>
      </c>
      <c r="B1115" s="138">
        <f>'Expenditures 15-22'!K42</f>
        <v>84290</v>
      </c>
      <c r="C1115" s="2" t="s">
        <v>594</v>
      </c>
      <c r="D1115" s="2" t="str">
        <f t="shared" si="16"/>
        <v>Error?</v>
      </c>
    </row>
    <row r="1116" spans="1:4" x14ac:dyDescent="0.2">
      <c r="A1116" s="5">
        <v>1055</v>
      </c>
      <c r="B1116" s="138">
        <f>'Expenditures 15-22'!K44</f>
        <v>36096</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36096</v>
      </c>
      <c r="C1119" s="2" t="s">
        <v>594</v>
      </c>
      <c r="D1119" s="2" t="str">
        <f t="shared" si="16"/>
        <v>Error?</v>
      </c>
    </row>
    <row r="1120" spans="1:4" x14ac:dyDescent="0.2">
      <c r="A1120" s="5">
        <v>1059</v>
      </c>
      <c r="B1120" s="138">
        <f>'Expenditures 15-22'!K49</f>
        <v>28649</v>
      </c>
      <c r="C1120" s="2" t="s">
        <v>594</v>
      </c>
      <c r="D1120" s="2" t="str">
        <f t="shared" si="16"/>
        <v>Error?</v>
      </c>
    </row>
    <row r="1121" spans="1:4" x14ac:dyDescent="0.2">
      <c r="A1121" s="5">
        <v>1060</v>
      </c>
      <c r="B1121" s="138">
        <f>'Expenditures 15-22'!K50</f>
        <v>183338</v>
      </c>
      <c r="C1121" s="2" t="s">
        <v>594</v>
      </c>
      <c r="D1121" s="2" t="str">
        <f t="shared" si="16"/>
        <v>Error?</v>
      </c>
    </row>
    <row r="1122" spans="1:4" x14ac:dyDescent="0.2">
      <c r="A1122" s="5">
        <v>1061</v>
      </c>
      <c r="B1122" s="138">
        <f>'Expenditures 15-22'!K53</f>
        <v>280448</v>
      </c>
      <c r="C1122" s="2" t="s">
        <v>594</v>
      </c>
      <c r="D1122" s="2" t="str">
        <f t="shared" si="16"/>
        <v>Error?</v>
      </c>
    </row>
    <row r="1123" spans="1:4" x14ac:dyDescent="0.2">
      <c r="A1123" s="5">
        <v>1062</v>
      </c>
      <c r="B1123" s="138">
        <f>'Expenditures 15-22'!K55</f>
        <v>115089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115089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59448</v>
      </c>
      <c r="C1127" s="2" t="s">
        <v>594</v>
      </c>
      <c r="D1127" s="2" t="str">
        <f t="shared" si="16"/>
        <v>Error?</v>
      </c>
    </row>
    <row r="1128" spans="1:4" x14ac:dyDescent="0.2">
      <c r="A1128" s="5">
        <v>1067</v>
      </c>
      <c r="B1128" s="138">
        <f>'Expenditures 15-22'!K61</f>
        <v>95037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70533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225018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740941</v>
      </c>
      <c r="C1143" s="2" t="s">
        <v>594</v>
      </c>
      <c r="D1143" s="2" t="str">
        <f t="shared" si="16"/>
        <v>Error?</v>
      </c>
    </row>
    <row r="1144" spans="1:4" x14ac:dyDescent="0.2">
      <c r="A1144" s="5">
        <v>1083</v>
      </c>
      <c r="B1144" s="138">
        <f>'Expenditures 15-22'!K75</f>
        <v>1624</v>
      </c>
      <c r="C1144" s="2" t="s">
        <v>594</v>
      </c>
      <c r="D1144" s="2" t="str">
        <f t="shared" si="16"/>
        <v>Error?</v>
      </c>
    </row>
    <row r="1145" spans="1:4" x14ac:dyDescent="0.2">
      <c r="A1145" s="5">
        <v>1084</v>
      </c>
      <c r="B1145" s="138">
        <f>'Expenditures 15-22'!K102</f>
        <v>72923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2251833</v>
      </c>
      <c r="C1152" s="2" t="s">
        <v>594</v>
      </c>
      <c r="D1152" s="2" t="str">
        <f t="shared" si="17"/>
        <v>Error?</v>
      </c>
    </row>
    <row r="1153" spans="1:4" x14ac:dyDescent="0.2">
      <c r="A1153" s="5">
        <v>1092</v>
      </c>
      <c r="B1153" s="138">
        <f>'Expenditures 15-22'!K115</f>
        <v>125189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120162</v>
      </c>
      <c r="D1221" s="2" t="str">
        <f t="shared" si="18"/>
        <v>Error?</v>
      </c>
    </row>
    <row r="1222" spans="1:4" x14ac:dyDescent="0.2">
      <c r="A1222" s="10">
        <v>1161</v>
      </c>
      <c r="D1222" s="2" t="str">
        <f t="shared" si="18"/>
        <v>OK</v>
      </c>
    </row>
    <row r="1223" spans="1:4" x14ac:dyDescent="0.2">
      <c r="A1223" s="5">
        <v>1162</v>
      </c>
      <c r="B1223" s="138">
        <f>'Expenditures 15-22'!C127</f>
        <v>120162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120162</v>
      </c>
      <c r="C1225" s="2" t="s">
        <v>594</v>
      </c>
      <c r="D1225" s="2" t="str">
        <f t="shared" si="18"/>
        <v>Error?</v>
      </c>
    </row>
    <row r="1226" spans="1:4" x14ac:dyDescent="0.2">
      <c r="A1226" s="5">
        <v>1165</v>
      </c>
      <c r="B1226" s="138">
        <f>'Expenditures 15-22'!C151</f>
        <v>120162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30154</v>
      </c>
      <c r="D1229" s="2" t="str">
        <f t="shared" si="18"/>
        <v>Error?</v>
      </c>
    </row>
    <row r="1230" spans="1:4" x14ac:dyDescent="0.2">
      <c r="A1230" s="10">
        <v>1169</v>
      </c>
      <c r="D1230" s="2" t="str">
        <f t="shared" si="18"/>
        <v>OK</v>
      </c>
    </row>
    <row r="1231" spans="1:4" x14ac:dyDescent="0.2">
      <c r="A1231" s="5">
        <v>1170</v>
      </c>
      <c r="B1231" s="138">
        <f>'Expenditures 15-22'!D127</f>
        <v>30154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30154</v>
      </c>
      <c r="C1233" s="2" t="s">
        <v>594</v>
      </c>
      <c r="D1233" s="2" t="str">
        <f t="shared" si="18"/>
        <v>Error?</v>
      </c>
    </row>
    <row r="1234" spans="1:4" x14ac:dyDescent="0.2">
      <c r="A1234" s="5">
        <v>1173</v>
      </c>
      <c r="B1234" s="138">
        <f>'Expenditures 15-22'!D151</f>
        <v>30154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70166</v>
      </c>
      <c r="D1237" s="2" t="str">
        <f t="shared" si="18"/>
        <v>Error?</v>
      </c>
    </row>
    <row r="1238" spans="1:4" x14ac:dyDescent="0.2">
      <c r="A1238" s="10">
        <v>1177</v>
      </c>
      <c r="D1238" s="2" t="str">
        <f t="shared" si="18"/>
        <v>OK</v>
      </c>
    </row>
    <row r="1239" spans="1:4" x14ac:dyDescent="0.2">
      <c r="A1239" s="5">
        <v>1178</v>
      </c>
      <c r="B1239" s="138">
        <f>'Expenditures 15-22'!E127</f>
        <v>70166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70166</v>
      </c>
      <c r="C1241" s="2" t="s">
        <v>594</v>
      </c>
      <c r="D1241" s="2" t="str">
        <f t="shared" si="18"/>
        <v>Error?</v>
      </c>
    </row>
    <row r="1242" spans="1:4" x14ac:dyDescent="0.2">
      <c r="A1242" s="5">
        <v>1181</v>
      </c>
      <c r="B1242" s="138">
        <f>'Expenditures 15-22'!E151</f>
        <v>70166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21552</v>
      </c>
      <c r="D1245" s="2" t="str">
        <f t="shared" si="18"/>
        <v>Error?</v>
      </c>
    </row>
    <row r="1246" spans="1:4" x14ac:dyDescent="0.2">
      <c r="A1246" s="10">
        <v>1185</v>
      </c>
      <c r="D1246" s="2" t="str">
        <f t="shared" si="18"/>
        <v>OK</v>
      </c>
    </row>
    <row r="1247" spans="1:4" x14ac:dyDescent="0.2">
      <c r="A1247" s="5">
        <v>1186</v>
      </c>
      <c r="B1247" s="138">
        <f>'Expenditures 15-22'!F127</f>
        <v>21552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21552</v>
      </c>
      <c r="C1249" s="2" t="s">
        <v>594</v>
      </c>
      <c r="D1249" s="2" t="str">
        <f t="shared" si="18"/>
        <v>Error?</v>
      </c>
    </row>
    <row r="1250" spans="1:4" x14ac:dyDescent="0.2">
      <c r="A1250" s="5">
        <v>1189</v>
      </c>
      <c r="B1250" s="138">
        <f>'Expenditures 15-22'!F151</f>
        <v>21552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20910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20910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20910</v>
      </c>
      <c r="C1258" s="2" t="s">
        <v>594</v>
      </c>
      <c r="D1258" s="2" t="str">
        <f t="shared" si="18"/>
        <v>Error?</v>
      </c>
    </row>
    <row r="1259" spans="1:4" x14ac:dyDescent="0.2">
      <c r="A1259" s="5">
        <v>1198</v>
      </c>
      <c r="B1259" s="138">
        <f>'Expenditures 15-22'!G151</f>
        <v>20910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262944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262944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262944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262944</v>
      </c>
      <c r="C1288" s="2" t="s">
        <v>594</v>
      </c>
      <c r="D1288" s="2" t="str">
        <f t="shared" si="19"/>
        <v>Error?</v>
      </c>
    </row>
    <row r="1289" spans="1:4" x14ac:dyDescent="0.2">
      <c r="A1289" s="5">
        <v>1228</v>
      </c>
      <c r="B1289" s="138">
        <f>'Expenditures 15-22'!K152</f>
        <v>27966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850</v>
      </c>
      <c r="D1307" s="2" t="str">
        <f t="shared" si="19"/>
        <v>Error?</v>
      </c>
    </row>
    <row r="1308" spans="1:4" x14ac:dyDescent="0.2">
      <c r="A1308" s="5">
        <v>1247</v>
      </c>
      <c r="B1308" s="138">
        <f>'Expenditures 15-22'!E172</f>
        <v>850</v>
      </c>
      <c r="C1308" s="2" t="s">
        <v>594</v>
      </c>
      <c r="D1308" s="2" t="str">
        <f t="shared" si="19"/>
        <v>Error?</v>
      </c>
    </row>
    <row r="1309" spans="1:4" x14ac:dyDescent="0.2">
      <c r="A1309" s="5">
        <v>1248</v>
      </c>
      <c r="B1309" s="138">
        <f>'Expenditures 15-22'!E174</f>
        <v>850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166582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271582</v>
      </c>
      <c r="C1317" s="2" t="s">
        <v>594</v>
      </c>
      <c r="D1317" s="2" t="str">
        <f t="shared" si="19"/>
        <v>Error?</v>
      </c>
    </row>
    <row r="1318" spans="1:4" x14ac:dyDescent="0.2">
      <c r="A1318" s="5">
        <v>1257</v>
      </c>
      <c r="B1318" s="138">
        <f>'Expenditures 15-22'!H174</f>
        <v>271582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166582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105000</v>
      </c>
      <c r="C1329" s="2" t="s">
        <v>594</v>
      </c>
      <c r="D1329" s="2" t="str">
        <f t="shared" si="19"/>
        <v>Error?</v>
      </c>
    </row>
    <row r="1330" spans="1:4" x14ac:dyDescent="0.2">
      <c r="A1330" s="5">
        <v>1269</v>
      </c>
      <c r="B1330" s="138">
        <f>'Expenditures 15-22'!K171</f>
        <v>850</v>
      </c>
      <c r="C1330" s="2" t="s">
        <v>594</v>
      </c>
      <c r="D1330" s="2" t="str">
        <f t="shared" si="19"/>
        <v>Error?</v>
      </c>
    </row>
    <row r="1331" spans="1:4" x14ac:dyDescent="0.2">
      <c r="A1331" s="5">
        <v>1270</v>
      </c>
      <c r="B1331" s="138">
        <f>'Expenditures 15-22'!K172</f>
        <v>272432</v>
      </c>
      <c r="C1331" s="2" t="s">
        <v>594</v>
      </c>
      <c r="D1331" s="2" t="str">
        <f t="shared" si="19"/>
        <v>Error?</v>
      </c>
    </row>
    <row r="1332" spans="1:4" x14ac:dyDescent="0.2">
      <c r="A1332" s="5">
        <v>1271</v>
      </c>
      <c r="B1332" s="138">
        <f>'Expenditures 15-22'!K174</f>
        <v>272432</v>
      </c>
      <c r="C1332" s="2" t="s">
        <v>594</v>
      </c>
      <c r="D1332" s="2" t="str">
        <f t="shared" si="19"/>
        <v>Error?</v>
      </c>
    </row>
    <row r="1333" spans="1:4" x14ac:dyDescent="0.2">
      <c r="A1333" s="5">
        <v>1272</v>
      </c>
      <c r="B1333" s="138">
        <f>'Expenditures 15-22'!K175</f>
        <v>-38416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210049</v>
      </c>
      <c r="C1352" s="2" t="s">
        <v>594</v>
      </c>
      <c r="D1352" s="2" t="str">
        <f t="shared" si="20"/>
        <v>Error?</v>
      </c>
    </row>
    <row r="1353" spans="1:4" x14ac:dyDescent="0.2">
      <c r="A1353" s="5">
        <v>1292</v>
      </c>
      <c r="B1353" s="138">
        <f>'Expenditures 15-22'!E210</f>
        <v>210049</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210049</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210049</v>
      </c>
      <c r="C1388" s="2" t="s">
        <v>594</v>
      </c>
      <c r="D1388" s="2" t="str">
        <f t="shared" si="20"/>
        <v>Error?</v>
      </c>
    </row>
    <row r="1389" spans="1:4" x14ac:dyDescent="0.2">
      <c r="A1389" s="5">
        <v>1328</v>
      </c>
      <c r="B1389" s="138">
        <f>'Expenditures 15-22'!K211</f>
        <v>39237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872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32001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5333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612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5945</v>
      </c>
      <c r="C1417" s="2" t="s">
        <v>594</v>
      </c>
      <c r="D1417" s="2" t="str">
        <f t="shared" si="21"/>
        <v>Error?</v>
      </c>
    </row>
    <row r="1418" spans="1:4" x14ac:dyDescent="0.2">
      <c r="A1418" s="5">
        <v>1357</v>
      </c>
      <c r="B1418" s="138">
        <f>'Expenditures 15-22'!D240</f>
        <v>29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v>
      </c>
      <c r="C1421" s="2" t="s">
        <v>594</v>
      </c>
      <c r="D1421" s="2" t="str">
        <f t="shared" si="21"/>
        <v>Error?</v>
      </c>
    </row>
    <row r="1422" spans="1:4" x14ac:dyDescent="0.2">
      <c r="A1422" s="5">
        <v>1361</v>
      </c>
      <c r="B1422" s="138">
        <f>'Expenditures 15-22'!D245</f>
        <v>292</v>
      </c>
      <c r="D1422" s="2" t="str">
        <f t="shared" si="21"/>
        <v>Error?</v>
      </c>
    </row>
    <row r="1423" spans="1:4" x14ac:dyDescent="0.2">
      <c r="A1423" s="5">
        <v>1362</v>
      </c>
      <c r="B1423" s="138">
        <f>'Expenditures 15-22'!D246</f>
        <v>6666</v>
      </c>
      <c r="D1423" s="2" t="str">
        <f t="shared" si="21"/>
        <v>Error?</v>
      </c>
    </row>
    <row r="1424" spans="1:4" x14ac:dyDescent="0.2">
      <c r="A1424" s="5">
        <v>1363</v>
      </c>
      <c r="B1424" s="138">
        <f>'Expenditures 15-22'!D257</f>
        <v>6958</v>
      </c>
      <c r="C1424" s="2" t="s">
        <v>594</v>
      </c>
      <c r="D1424" s="2" t="str">
        <f t="shared" si="21"/>
        <v>Error?</v>
      </c>
    </row>
    <row r="1425" spans="1:4" x14ac:dyDescent="0.2">
      <c r="A1425" s="5">
        <v>1364</v>
      </c>
      <c r="B1425" s="138">
        <f>'Expenditures 15-22'!D259</f>
        <v>5488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5488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8188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20619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4071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32878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51298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83299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872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32001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5333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612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5945</v>
      </c>
      <c r="C1481" s="2" t="s">
        <v>594</v>
      </c>
      <c r="D1481" s="2" t="str">
        <f t="shared" si="22"/>
        <v>Error?</v>
      </c>
    </row>
    <row r="1482" spans="1:4" x14ac:dyDescent="0.2">
      <c r="A1482" s="5">
        <v>1421</v>
      </c>
      <c r="B1482" s="138">
        <f>'Expenditures 15-22'!K240</f>
        <v>29</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29</v>
      </c>
      <c r="C1485" s="2" t="s">
        <v>594</v>
      </c>
      <c r="D1485" s="2" t="str">
        <f t="shared" si="22"/>
        <v>Error?</v>
      </c>
    </row>
    <row r="1486" spans="1:4" x14ac:dyDescent="0.2">
      <c r="A1486" s="5">
        <v>1425</v>
      </c>
      <c r="B1486" s="138">
        <f>'Expenditures 15-22'!K245</f>
        <v>292</v>
      </c>
      <c r="C1486" s="2" t="s">
        <v>594</v>
      </c>
      <c r="D1486" s="2" t="str">
        <f t="shared" si="22"/>
        <v>Error?</v>
      </c>
    </row>
    <row r="1487" spans="1:4" x14ac:dyDescent="0.2">
      <c r="A1487" s="5">
        <v>1426</v>
      </c>
      <c r="B1487" s="138">
        <f>'Expenditures 15-22'!K246</f>
        <v>6666</v>
      </c>
      <c r="C1487" s="2" t="s">
        <v>594</v>
      </c>
      <c r="D1487" s="2" t="str">
        <f t="shared" si="22"/>
        <v>Error?</v>
      </c>
    </row>
    <row r="1488" spans="1:4" x14ac:dyDescent="0.2">
      <c r="A1488" s="5">
        <v>1427</v>
      </c>
      <c r="B1488" s="138">
        <f>'Expenditures 15-22'!K257</f>
        <v>6958</v>
      </c>
      <c r="C1488" s="2" t="s">
        <v>594</v>
      </c>
      <c r="D1488" s="2" t="str">
        <f t="shared" si="22"/>
        <v>Error?</v>
      </c>
    </row>
    <row r="1489" spans="1:4" x14ac:dyDescent="0.2">
      <c r="A1489" s="5">
        <v>1428</v>
      </c>
      <c r="B1489" s="138">
        <f>'Expenditures 15-22'!K259</f>
        <v>5488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5488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8188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20619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4071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32878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51298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83299</v>
      </c>
      <c r="C1517" s="2" t="s">
        <v>594</v>
      </c>
      <c r="D1517" s="2" t="str">
        <f t="shared" si="22"/>
        <v>Error?</v>
      </c>
    </row>
    <row r="1518" spans="1:4" x14ac:dyDescent="0.2">
      <c r="A1518" s="5">
        <v>1457</v>
      </c>
      <c r="B1518" s="138">
        <f>'Expenditures 15-22'!K296</f>
        <v>16650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1575475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1575475</v>
      </c>
      <c r="C1547" s="2" t="s">
        <v>594</v>
      </c>
      <c r="D1547" s="2" t="str">
        <f t="shared" si="23"/>
        <v>Error?</v>
      </c>
    </row>
    <row r="1548" spans="1:4" x14ac:dyDescent="0.2">
      <c r="A1548" s="5">
        <v>1487</v>
      </c>
      <c r="B1548" s="138">
        <f>'Expenditures 15-22'!G312</f>
        <v>1575475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1575475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1575475</v>
      </c>
      <c r="C1559" s="2" t="s">
        <v>594</v>
      </c>
      <c r="D1559" s="2" t="str">
        <f t="shared" si="23"/>
        <v>Error?</v>
      </c>
    </row>
    <row r="1560" spans="1:4" x14ac:dyDescent="0.2">
      <c r="A1560" s="5">
        <v>1499</v>
      </c>
      <c r="B1560" s="138">
        <f>'Expenditures 15-22'!K312</f>
        <v>1575475</v>
      </c>
      <c r="C1560" s="2" t="s">
        <v>594</v>
      </c>
      <c r="D1560" s="2" t="str">
        <f t="shared" si="23"/>
        <v>Error?</v>
      </c>
    </row>
    <row r="1561" spans="1:4" x14ac:dyDescent="0.2">
      <c r="A1561" s="5">
        <v>1500</v>
      </c>
      <c r="B1561" s="138">
        <f>'Expenditures 15-22'!K313</f>
        <v>-1567887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2152985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2278174</v>
      </c>
      <c r="C1630" s="2" t="s">
        <v>594</v>
      </c>
      <c r="D1630" s="2" t="str">
        <f t="shared" si="24"/>
        <v>Error?</v>
      </c>
    </row>
    <row r="1631" spans="1:4" x14ac:dyDescent="0.2">
      <c r="A1631" s="5">
        <v>1570</v>
      </c>
      <c r="B1631" s="138">
        <f>'Acct Summary 7-8'!D79</f>
        <v>312763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344017</v>
      </c>
      <c r="C1644" s="2" t="s">
        <v>594</v>
      </c>
      <c r="D1644" s="2" t="str">
        <f t="shared" si="24"/>
        <v>Error?</v>
      </c>
    </row>
    <row r="1645" spans="1:4" x14ac:dyDescent="0.2">
      <c r="A1645" s="5">
        <v>1584</v>
      </c>
      <c r="B1645" s="138">
        <f>'Acct Summary 7-8'!E79</f>
        <v>50794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12378</v>
      </c>
      <c r="C1658" s="2" t="s">
        <v>594</v>
      </c>
      <c r="D1658" s="2" t="str">
        <f t="shared" si="24"/>
        <v>Error?</v>
      </c>
    </row>
    <row r="1659" spans="1:4" x14ac:dyDescent="0.2">
      <c r="A1659" s="5">
        <v>1598</v>
      </c>
      <c r="B1659" s="138">
        <f>'Acct Summary 7-8'!F79</f>
        <v>285789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325026</v>
      </c>
      <c r="C1672" s="2" t="s">
        <v>594</v>
      </c>
      <c r="D1672" s="2" t="str">
        <f t="shared" si="25"/>
        <v>Error?</v>
      </c>
    </row>
    <row r="1673" spans="1:4" x14ac:dyDescent="0.2">
      <c r="A1673" s="5">
        <v>1612</v>
      </c>
      <c r="B1673" s="138">
        <f>'Acct Summary 7-8'!G79</f>
        <v>118011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134661</v>
      </c>
      <c r="C1686" s="2" t="s">
        <v>594</v>
      </c>
      <c r="D1686" s="2" t="str">
        <f t="shared" si="25"/>
        <v>Error?</v>
      </c>
    </row>
    <row r="1687" spans="1:4" x14ac:dyDescent="0.2">
      <c r="A1687" s="5">
        <v>1626</v>
      </c>
      <c r="B1687" s="138">
        <f>'Acct Summary 7-8'!H79</f>
        <v>1998817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641664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1588297</v>
      </c>
      <c r="C1744" s="2" t="s">
        <v>594</v>
      </c>
      <c r="D1744" s="2" t="str">
        <f t="shared" si="26"/>
        <v>Error?</v>
      </c>
    </row>
    <row r="1745" spans="1:5" x14ac:dyDescent="0.2">
      <c r="A1745" s="5">
        <v>1684</v>
      </c>
      <c r="B1745" s="138">
        <f>'Tax Sched 23'!B5</f>
        <v>194896</v>
      </c>
      <c r="C1745" s="2" t="s">
        <v>594</v>
      </c>
      <c r="D1745" s="2" t="str">
        <f t="shared" si="26"/>
        <v>Error?</v>
      </c>
    </row>
    <row r="1746" spans="1:5" x14ac:dyDescent="0.2">
      <c r="A1746" s="5">
        <v>1685</v>
      </c>
      <c r="B1746" s="138">
        <f>'Tax Sched 23'!B6</f>
        <v>233678</v>
      </c>
      <c r="C1746" s="2" t="s">
        <v>594</v>
      </c>
      <c r="D1746" s="2" t="str">
        <f t="shared" si="26"/>
        <v>Error?</v>
      </c>
    </row>
    <row r="1747" spans="1:5" x14ac:dyDescent="0.2">
      <c r="A1747" s="5">
        <v>1686</v>
      </c>
      <c r="B1747" s="138">
        <f>'Tax Sched 23'!B7</f>
        <v>112066</v>
      </c>
      <c r="C1747" s="2" t="s">
        <v>594</v>
      </c>
      <c r="D1747" s="2" t="str">
        <f t="shared" si="26"/>
        <v>Error?</v>
      </c>
    </row>
    <row r="1748" spans="1:5" x14ac:dyDescent="0.2">
      <c r="A1748" s="5">
        <v>1687</v>
      </c>
      <c r="B1748" s="138">
        <f>'Tax Sched 23'!B8</f>
        <v>38988</v>
      </c>
      <c r="C1748" s="2" t="s">
        <v>594</v>
      </c>
      <c r="D1748" s="2" t="str">
        <f t="shared" si="26"/>
        <v>Error?</v>
      </c>
    </row>
    <row r="1749" spans="1:5" x14ac:dyDescent="0.2">
      <c r="A1749" s="5">
        <v>1688</v>
      </c>
      <c r="B1749" s="138">
        <f>'Tax Sched 23'!B10</f>
        <v>29484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38008</v>
      </c>
      <c r="C1753" s="2" t="s">
        <v>594</v>
      </c>
      <c r="D1753" s="2" t="str">
        <f t="shared" si="26"/>
        <v>Error?</v>
      </c>
    </row>
    <row r="1754" spans="1:5" x14ac:dyDescent="0.2">
      <c r="A1754" s="5">
        <v>1693</v>
      </c>
      <c r="B1754" s="138">
        <f>'Tax Sched 23'!B14</f>
        <v>14618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2302661</v>
      </c>
      <c r="C1759" s="2" t="s">
        <v>594</v>
      </c>
      <c r="D1759" s="2" t="str">
        <f t="shared" si="26"/>
        <v>Error?</v>
      </c>
    </row>
    <row r="1760" spans="1:5" x14ac:dyDescent="0.2">
      <c r="A1760" s="5">
        <v>1699</v>
      </c>
      <c r="B1760" s="138">
        <f>'Tax Sched 23'!D4</f>
        <v>1588297</v>
      </c>
      <c r="C1760" s="2" t="s">
        <v>594</v>
      </c>
      <c r="D1760" s="2" t="str">
        <f t="shared" si="26"/>
        <v>Error?</v>
      </c>
    </row>
    <row r="1761" spans="1:5" x14ac:dyDescent="0.2">
      <c r="A1761" s="5">
        <v>1700</v>
      </c>
      <c r="B1761" s="138">
        <f>'Tax Sched 23'!D5</f>
        <v>194896</v>
      </c>
      <c r="C1761" s="2" t="s">
        <v>594</v>
      </c>
      <c r="D1761" s="2" t="str">
        <f t="shared" si="26"/>
        <v>Error?</v>
      </c>
    </row>
    <row r="1762" spans="1:5" s="8" customFormat="1" x14ac:dyDescent="0.2">
      <c r="A1762" s="5">
        <v>1701</v>
      </c>
      <c r="B1762" s="138">
        <f>'Tax Sched 23'!D6</f>
        <v>233678</v>
      </c>
      <c r="C1762" s="2" t="s">
        <v>594</v>
      </c>
      <c r="D1762" s="2" t="str">
        <f t="shared" si="26"/>
        <v>Error?</v>
      </c>
      <c r="E1762" s="9"/>
    </row>
    <row r="1763" spans="1:5" x14ac:dyDescent="0.2">
      <c r="A1763" s="5">
        <v>1702</v>
      </c>
      <c r="B1763" s="138">
        <f>'Tax Sched 23'!D7</f>
        <v>112066</v>
      </c>
      <c r="C1763" s="2" t="s">
        <v>594</v>
      </c>
      <c r="D1763" s="2" t="str">
        <f t="shared" si="26"/>
        <v>Error?</v>
      </c>
    </row>
    <row r="1764" spans="1:5" x14ac:dyDescent="0.2">
      <c r="A1764" s="5">
        <v>1703</v>
      </c>
      <c r="B1764" s="138">
        <f>'Tax Sched 23'!D8</f>
        <v>38988</v>
      </c>
      <c r="C1764" s="2" t="s">
        <v>594</v>
      </c>
      <c r="D1764" s="2" t="str">
        <f t="shared" si="26"/>
        <v>Error?</v>
      </c>
    </row>
    <row r="1765" spans="1:5" x14ac:dyDescent="0.2">
      <c r="A1765" s="5">
        <v>1704</v>
      </c>
      <c r="B1765" s="138">
        <f>'Tax Sched 23'!D10</f>
        <v>29484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38008</v>
      </c>
      <c r="C1769" s="2" t="s">
        <v>594</v>
      </c>
      <c r="D1769" s="2" t="str">
        <f t="shared" si="26"/>
        <v>Error?</v>
      </c>
    </row>
    <row r="1770" spans="1:5" x14ac:dyDescent="0.2">
      <c r="A1770" s="5">
        <v>1709</v>
      </c>
      <c r="B1770" s="138">
        <f>'Tax Sched 23'!D14</f>
        <v>14618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2302661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1653342</v>
      </c>
      <c r="C1792" s="2" t="s">
        <v>594</v>
      </c>
      <c r="D1792" s="2" t="str">
        <f t="shared" si="27"/>
        <v>Error?</v>
      </c>
    </row>
    <row r="1793" spans="1:4" x14ac:dyDescent="0.2">
      <c r="A1793" s="5">
        <v>1732</v>
      </c>
      <c r="B1793" s="138">
        <f>'Tax Sched 23'!F5</f>
        <v>202883</v>
      </c>
      <c r="C1793" s="2" t="s">
        <v>594</v>
      </c>
      <c r="D1793" s="2" t="str">
        <f t="shared" si="27"/>
        <v>Error?</v>
      </c>
    </row>
    <row r="1794" spans="1:4" x14ac:dyDescent="0.2">
      <c r="A1794" s="5">
        <v>1733</v>
      </c>
      <c r="B1794" s="138">
        <f>'Tax Sched 23'!F6</f>
        <v>246872</v>
      </c>
      <c r="C1794" s="2" t="s">
        <v>594</v>
      </c>
      <c r="D1794" s="2" t="str">
        <f t="shared" si="27"/>
        <v>Error?</v>
      </c>
    </row>
    <row r="1795" spans="1:4" x14ac:dyDescent="0.2">
      <c r="A1795" s="5">
        <v>1734</v>
      </c>
      <c r="B1795" s="138">
        <f>'Tax Sched 23'!F7</f>
        <v>116663</v>
      </c>
      <c r="C1795" s="2" t="s">
        <v>594</v>
      </c>
      <c r="D1795" s="2" t="str">
        <f t="shared" si="27"/>
        <v>Error?</v>
      </c>
    </row>
    <row r="1796" spans="1:4" x14ac:dyDescent="0.2">
      <c r="A1796" s="5">
        <v>1735</v>
      </c>
      <c r="B1796" s="138">
        <f>'Tax Sched 23'!F8</f>
        <v>40593</v>
      </c>
      <c r="C1796" s="2" t="s">
        <v>594</v>
      </c>
      <c r="D1796" s="2" t="str">
        <f t="shared" si="27"/>
        <v>Error?</v>
      </c>
    </row>
    <row r="1797" spans="1:4" x14ac:dyDescent="0.2">
      <c r="A1797" s="5">
        <v>1736</v>
      </c>
      <c r="B1797" s="138">
        <f>'Tax Sched 23'!F10</f>
        <v>30636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39571</v>
      </c>
      <c r="C1801" s="2" t="s">
        <v>594</v>
      </c>
      <c r="D1801" s="2" t="str">
        <f t="shared" si="27"/>
        <v>Error?</v>
      </c>
    </row>
    <row r="1802" spans="1:4" x14ac:dyDescent="0.2">
      <c r="A1802" s="5">
        <v>1741</v>
      </c>
      <c r="B1802" s="138">
        <f>'Tax Sched 23'!F14</f>
        <v>15222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2400568</v>
      </c>
      <c r="C1807" s="2" t="s">
        <v>594</v>
      </c>
      <c r="D1807" s="2" t="str">
        <f t="shared" si="27"/>
        <v>Error?</v>
      </c>
    </row>
    <row r="1808" spans="1:4" x14ac:dyDescent="0.2">
      <c r="A1808" s="5">
        <v>1747</v>
      </c>
      <c r="B1808" s="138">
        <f>'Tax Sched 23'!E4</f>
        <v>1653342</v>
      </c>
      <c r="D1808" s="2" t="str">
        <f t="shared" si="27"/>
        <v>Error?</v>
      </c>
    </row>
    <row r="1809" spans="1:4" x14ac:dyDescent="0.2">
      <c r="A1809" s="5">
        <v>1748</v>
      </c>
      <c r="B1809" s="138">
        <f>'Tax Sched 23'!E5</f>
        <v>202883</v>
      </c>
      <c r="D1809" s="2" t="str">
        <f t="shared" si="27"/>
        <v>Error?</v>
      </c>
    </row>
    <row r="1810" spans="1:4" x14ac:dyDescent="0.2">
      <c r="A1810" s="5">
        <v>1749</v>
      </c>
      <c r="B1810" s="138">
        <f>'Tax Sched 23'!E6</f>
        <v>246872</v>
      </c>
      <c r="D1810" s="2" t="str">
        <f t="shared" si="27"/>
        <v>Error?</v>
      </c>
    </row>
    <row r="1811" spans="1:4" x14ac:dyDescent="0.2">
      <c r="A1811" s="5">
        <v>1750</v>
      </c>
      <c r="B1811" s="138">
        <f>'Tax Sched 23'!E7</f>
        <v>116663</v>
      </c>
      <c r="D1811" s="2" t="str">
        <f t="shared" si="27"/>
        <v>Error?</v>
      </c>
    </row>
    <row r="1812" spans="1:4" x14ac:dyDescent="0.2">
      <c r="A1812" s="5">
        <v>1751</v>
      </c>
      <c r="B1812" s="138">
        <f>'Tax Sched 23'!E8</f>
        <v>40593</v>
      </c>
      <c r="D1812" s="2" t="str">
        <f t="shared" si="27"/>
        <v>Error?</v>
      </c>
    </row>
    <row r="1813" spans="1:4" x14ac:dyDescent="0.2">
      <c r="A1813" s="5">
        <v>1752</v>
      </c>
      <c r="B1813" s="138">
        <f>'Tax Sched 23'!E10</f>
        <v>30636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39571</v>
      </c>
      <c r="D1817" s="2" t="str">
        <f t="shared" si="27"/>
        <v>Error?</v>
      </c>
    </row>
    <row r="1818" spans="1:4" x14ac:dyDescent="0.2">
      <c r="A1818" s="5">
        <v>1757</v>
      </c>
      <c r="B1818" s="138">
        <f>'Tax Sched 23'!E14</f>
        <v>15222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2400568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3571000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14618</v>
      </c>
      <c r="D1972" s="2" t="str">
        <f t="shared" si="29"/>
        <v>Error?</v>
      </c>
    </row>
    <row r="1973" spans="1:5" x14ac:dyDescent="0.2">
      <c r="A1973" s="5">
        <v>1912</v>
      </c>
      <c r="B1973" s="138">
        <f>'Rest Tax Levies-Tort Im 25'!H6</f>
        <v>10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14628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14628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125600</v>
      </c>
      <c r="D2008" s="2" t="str">
        <f t="shared" si="30"/>
        <v>Error?</v>
      </c>
    </row>
    <row r="2009" spans="1:4" x14ac:dyDescent="0.2">
      <c r="A2009" s="5">
        <v>1948</v>
      </c>
      <c r="B2009" s="138">
        <f>'Cap Outlay Deprec 26'!C8</f>
        <v>5836734</v>
      </c>
      <c r="D2009" s="2" t="str">
        <f t="shared" si="30"/>
        <v>Error?</v>
      </c>
    </row>
    <row r="2010" spans="1:4" x14ac:dyDescent="0.2">
      <c r="A2010" s="5">
        <v>1949</v>
      </c>
      <c r="B2010" s="138">
        <f>'Cap Outlay Deprec 26'!C10</f>
        <v>837566</v>
      </c>
      <c r="D2010" s="2" t="str">
        <f t="shared" si="30"/>
        <v>Error?</v>
      </c>
    </row>
    <row r="2011" spans="1:4" x14ac:dyDescent="0.2">
      <c r="A2011" s="5">
        <v>1950</v>
      </c>
      <c r="B2011" s="138">
        <f>'Cap Outlay Deprec 26'!C12</f>
        <v>277146</v>
      </c>
      <c r="D2011" s="2" t="str">
        <f t="shared" si="30"/>
        <v>Error?</v>
      </c>
    </row>
    <row r="2012" spans="1:4" x14ac:dyDescent="0.2">
      <c r="A2012" s="5">
        <v>1951</v>
      </c>
      <c r="B2012" s="138">
        <f>'Cap Outlay Deprec 26'!C13</f>
        <v>23260</v>
      </c>
      <c r="D2012" s="2" t="str">
        <f t="shared" si="30"/>
        <v>Error?</v>
      </c>
    </row>
    <row r="2013" spans="1:4" x14ac:dyDescent="0.2">
      <c r="A2013" s="5">
        <v>1952</v>
      </c>
      <c r="B2013" s="138">
        <f>'Cap Outlay Deprec 26'!C16</f>
        <v>7352551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1756964</v>
      </c>
      <c r="D2015" s="2" t="str">
        <f t="shared" si="30"/>
        <v>Error?</v>
      </c>
    </row>
    <row r="2016" spans="1:4" x14ac:dyDescent="0.2">
      <c r="A2016" s="5">
        <v>1955</v>
      </c>
      <c r="B2016" s="138">
        <f>'Cap Outlay Deprec 26'!D10</f>
        <v>14586</v>
      </c>
      <c r="D2016" s="2" t="str">
        <f t="shared" si="30"/>
        <v>Error?</v>
      </c>
    </row>
    <row r="2017" spans="1:4" x14ac:dyDescent="0.2">
      <c r="A2017" s="5">
        <v>1956</v>
      </c>
      <c r="B2017" s="138">
        <f>'Cap Outlay Deprec 26'!D12</f>
        <v>108302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1879852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30996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283241</v>
      </c>
      <c r="C2025" s="2" t="s">
        <v>594</v>
      </c>
      <c r="D2025" s="2" t="str">
        <f t="shared" si="30"/>
        <v>Error?</v>
      </c>
    </row>
    <row r="2026" spans="1:4" x14ac:dyDescent="0.2">
      <c r="A2026" s="5">
        <v>1965</v>
      </c>
      <c r="B2026" s="138">
        <f>'Cap Outlay Deprec 26'!F5</f>
        <v>125600</v>
      </c>
      <c r="C2026" s="2" t="s">
        <v>594</v>
      </c>
      <c r="D2026" s="2" t="str">
        <f t="shared" si="30"/>
        <v>Error?</v>
      </c>
    </row>
    <row r="2027" spans="1:4" x14ac:dyDescent="0.2">
      <c r="A2027" s="5">
        <v>1966</v>
      </c>
      <c r="B2027" s="138">
        <f>'Cap Outlay Deprec 26'!F8</f>
        <v>7593698</v>
      </c>
      <c r="C2027" s="2" t="s">
        <v>594</v>
      </c>
      <c r="D2027" s="2" t="str">
        <f t="shared" si="30"/>
        <v>Error?</v>
      </c>
    </row>
    <row r="2028" spans="1:4" x14ac:dyDescent="0.2">
      <c r="A2028" s="5">
        <v>1967</v>
      </c>
      <c r="B2028" s="138">
        <f>'Cap Outlay Deprec 26'!F10</f>
        <v>852152</v>
      </c>
      <c r="C2028" s="2" t="s">
        <v>594</v>
      </c>
      <c r="D2028" s="2" t="str">
        <f t="shared" si="30"/>
        <v>Error?</v>
      </c>
    </row>
    <row r="2029" spans="1:4" x14ac:dyDescent="0.2">
      <c r="A2029" s="5">
        <v>1968</v>
      </c>
      <c r="B2029" s="138">
        <f>'Cap Outlay Deprec 26'!F12</f>
        <v>354452</v>
      </c>
      <c r="C2029" s="2" t="s">
        <v>594</v>
      </c>
      <c r="D2029" s="2" t="str">
        <f t="shared" si="30"/>
        <v>Error?</v>
      </c>
    </row>
    <row r="2030" spans="1:4" x14ac:dyDescent="0.2">
      <c r="A2030" s="5">
        <v>1969</v>
      </c>
      <c r="B2030" s="138">
        <f>'Cap Outlay Deprec 26'!F13</f>
        <v>23260</v>
      </c>
      <c r="C2030" s="2" t="s">
        <v>594</v>
      </c>
      <c r="D2030" s="2" t="str">
        <f t="shared" si="30"/>
        <v>Error?</v>
      </c>
    </row>
    <row r="2031" spans="1:4" x14ac:dyDescent="0.2">
      <c r="A2031" s="5">
        <v>1970</v>
      </c>
      <c r="B2031" s="138">
        <f>'Cap Outlay Deprec 26'!F16</f>
        <v>8949162</v>
      </c>
      <c r="C2031" s="2" t="s">
        <v>594</v>
      </c>
      <c r="D2031" s="2" t="str">
        <f t="shared" si="30"/>
        <v>Error?</v>
      </c>
    </row>
    <row r="2032" spans="1:4" x14ac:dyDescent="0.2">
      <c r="A2032" s="10">
        <v>1971</v>
      </c>
      <c r="D2032" s="2" t="str">
        <f t="shared" si="30"/>
        <v>OK</v>
      </c>
    </row>
    <row r="2033" spans="1:4" x14ac:dyDescent="0.2">
      <c r="A2033" s="5">
        <v>1972</v>
      </c>
      <c r="B2033" s="138">
        <f>'Cap Outlay Deprec 26'!H8</f>
        <v>1829916</v>
      </c>
      <c r="D2033" s="2" t="str">
        <f t="shared" si="30"/>
        <v>Error?</v>
      </c>
    </row>
    <row r="2034" spans="1:4" x14ac:dyDescent="0.2">
      <c r="A2034" s="5">
        <v>1973</v>
      </c>
      <c r="B2034" s="138">
        <f>'Cap Outlay Deprec 26'!H10</f>
        <v>488125</v>
      </c>
      <c r="D2034" s="2" t="str">
        <f t="shared" si="30"/>
        <v>Error?</v>
      </c>
    </row>
    <row r="2035" spans="1:4" x14ac:dyDescent="0.2">
      <c r="A2035" s="5">
        <v>1974</v>
      </c>
      <c r="B2035" s="138">
        <f>'Cap Outlay Deprec 26'!H12</f>
        <v>123222</v>
      </c>
      <c r="D2035" s="2" t="str">
        <f t="shared" si="30"/>
        <v>Error?</v>
      </c>
    </row>
    <row r="2036" spans="1:4" x14ac:dyDescent="0.2">
      <c r="A2036" s="5">
        <v>1975</v>
      </c>
      <c r="B2036" s="138">
        <f>'Cap Outlay Deprec 26'!H13</f>
        <v>23260</v>
      </c>
      <c r="D2036" s="2" t="str">
        <f t="shared" si="30"/>
        <v>Error?</v>
      </c>
    </row>
    <row r="2037" spans="1:4" x14ac:dyDescent="0.2">
      <c r="A2037" s="5">
        <v>1976</v>
      </c>
      <c r="B2037" s="138">
        <f>'Cap Outlay Deprec 26'!H16</f>
        <v>2464523</v>
      </c>
      <c r="C2037" s="2" t="s">
        <v>594</v>
      </c>
      <c r="D2037" s="2" t="str">
        <f t="shared" si="30"/>
        <v>Error?</v>
      </c>
    </row>
    <row r="2038" spans="1:4" x14ac:dyDescent="0.2">
      <c r="A2038" s="10">
        <v>1977</v>
      </c>
      <c r="D2038" s="2" t="str">
        <f t="shared" si="30"/>
        <v>OK</v>
      </c>
    </row>
    <row r="2039" spans="1:4" x14ac:dyDescent="0.2">
      <c r="A2039" s="5">
        <v>1978</v>
      </c>
      <c r="B2039" s="138">
        <f>'Cap Outlay Deprec 26'!I8</f>
        <v>146840</v>
      </c>
      <c r="D2039" s="2" t="str">
        <f t="shared" si="30"/>
        <v>Error?</v>
      </c>
    </row>
    <row r="2040" spans="1:4" x14ac:dyDescent="0.2">
      <c r="A2040" s="5">
        <v>1979</v>
      </c>
      <c r="B2040" s="138">
        <f>'Cap Outlay Deprec 26'!I10</f>
        <v>41720</v>
      </c>
      <c r="D2040" s="2" t="str">
        <f t="shared" si="30"/>
        <v>Error?</v>
      </c>
    </row>
    <row r="2041" spans="1:4" x14ac:dyDescent="0.2">
      <c r="A2041" s="5">
        <v>1980</v>
      </c>
      <c r="B2041" s="138">
        <f>'Cap Outlay Deprec 26'!I12</f>
        <v>35446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224006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30996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30996</v>
      </c>
      <c r="C2049" s="2" t="s">
        <v>594</v>
      </c>
      <c r="D2049" s="2" t="str">
        <f t="shared" si="31"/>
        <v>Error?</v>
      </c>
    </row>
    <row r="2050" spans="1:4" x14ac:dyDescent="0.2">
      <c r="A2050" s="10">
        <v>1989</v>
      </c>
      <c r="D2050" s="2" t="str">
        <f t="shared" si="31"/>
        <v>OK</v>
      </c>
    </row>
    <row r="2051" spans="1:4" x14ac:dyDescent="0.2">
      <c r="A2051" s="5">
        <v>1990</v>
      </c>
      <c r="B2051" s="138">
        <f>'Cap Outlay Deprec 26'!K8</f>
        <v>1976756</v>
      </c>
      <c r="C2051" s="2" t="s">
        <v>594</v>
      </c>
      <c r="D2051" s="2" t="str">
        <f t="shared" si="31"/>
        <v>Error?</v>
      </c>
    </row>
    <row r="2052" spans="1:4" x14ac:dyDescent="0.2">
      <c r="A2052" s="5">
        <v>1991</v>
      </c>
      <c r="B2052" s="138">
        <f>'Cap Outlay Deprec 26'!K10</f>
        <v>529845</v>
      </c>
      <c r="C2052" s="2" t="s">
        <v>594</v>
      </c>
      <c r="D2052" s="2" t="str">
        <f t="shared" si="31"/>
        <v>Error?</v>
      </c>
    </row>
    <row r="2053" spans="1:4" x14ac:dyDescent="0.2">
      <c r="A2053" s="5">
        <v>1992</v>
      </c>
      <c r="B2053" s="138">
        <f>'Cap Outlay Deprec 26'!K12</f>
        <v>127672</v>
      </c>
      <c r="C2053" s="2" t="s">
        <v>594</v>
      </c>
      <c r="D2053" s="2" t="str">
        <f t="shared" si="31"/>
        <v>Error?</v>
      </c>
    </row>
    <row r="2054" spans="1:4" x14ac:dyDescent="0.2">
      <c r="A2054" s="5">
        <v>1993</v>
      </c>
      <c r="B2054" s="138">
        <f>'Cap Outlay Deprec 26'!K13</f>
        <v>23260</v>
      </c>
      <c r="C2054" s="2" t="s">
        <v>594</v>
      </c>
      <c r="D2054" s="2" t="str">
        <f t="shared" si="31"/>
        <v>Error?</v>
      </c>
    </row>
    <row r="2055" spans="1:4" x14ac:dyDescent="0.2">
      <c r="A2055" s="5">
        <v>1994</v>
      </c>
      <c r="B2055" s="138">
        <f>'Cap Outlay Deprec 26'!K16</f>
        <v>2657533</v>
      </c>
      <c r="C2055" s="2" t="s">
        <v>594</v>
      </c>
      <c r="D2055" s="2" t="str">
        <f t="shared" si="31"/>
        <v>Error?</v>
      </c>
    </row>
    <row r="2056" spans="1:4" x14ac:dyDescent="0.2">
      <c r="A2056" s="5">
        <v>1995</v>
      </c>
      <c r="B2056" s="138">
        <f>'Cap Outlay Deprec 26'!L5</f>
        <v>125600</v>
      </c>
      <c r="C2056" s="2" t="s">
        <v>594</v>
      </c>
      <c r="D2056" s="2" t="str">
        <f t="shared" si="31"/>
        <v>Error?</v>
      </c>
    </row>
    <row r="2057" spans="1:4" x14ac:dyDescent="0.2">
      <c r="A2057" s="5">
        <v>1996</v>
      </c>
      <c r="B2057" s="138">
        <f>'Cap Outlay Deprec 26'!L8</f>
        <v>5616942</v>
      </c>
      <c r="C2057" s="2" t="s">
        <v>594</v>
      </c>
      <c r="D2057" s="2" t="str">
        <f t="shared" si="31"/>
        <v>Error?</v>
      </c>
    </row>
    <row r="2058" spans="1:4" x14ac:dyDescent="0.2">
      <c r="A2058" s="5">
        <v>1997</v>
      </c>
      <c r="B2058" s="138">
        <f>'Cap Outlay Deprec 26'!L10</f>
        <v>322307</v>
      </c>
      <c r="C2058" s="2" t="s">
        <v>594</v>
      </c>
      <c r="D2058" s="2" t="str">
        <f t="shared" si="31"/>
        <v>Error?</v>
      </c>
    </row>
    <row r="2059" spans="1:4" x14ac:dyDescent="0.2">
      <c r="A2059" s="5">
        <v>1998</v>
      </c>
      <c r="B2059" s="138">
        <f>'Cap Outlay Deprec 26'!L12</f>
        <v>226780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6291629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13461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72923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77431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1844549</v>
      </c>
      <c r="C2551" s="2" t="s">
        <v>594</v>
      </c>
      <c r="D2551" s="2" t="str">
        <f t="shared" si="38"/>
        <v>Error?</v>
      </c>
    </row>
    <row r="2552" spans="1:4" x14ac:dyDescent="0.2">
      <c r="A2552" s="10">
        <v>2491</v>
      </c>
      <c r="D2552" s="2" t="str">
        <f t="shared" si="38"/>
        <v>OK</v>
      </c>
    </row>
    <row r="2553" spans="1:4" x14ac:dyDescent="0.2">
      <c r="A2553" s="5">
        <v>2492</v>
      </c>
      <c r="B2553" s="138">
        <f>'Acct Summary 7-8'!C6</f>
        <v>394533</v>
      </c>
      <c r="C2553" s="2" t="s">
        <v>594</v>
      </c>
      <c r="D2553" s="2" t="str">
        <f t="shared" si="38"/>
        <v>Error?</v>
      </c>
    </row>
    <row r="2554" spans="1:4" x14ac:dyDescent="0.2">
      <c r="A2554" s="5">
        <v>2493</v>
      </c>
      <c r="B2554" s="138">
        <f>'Acct Summary 7-8'!C7</f>
        <v>137940</v>
      </c>
      <c r="C2554" s="2" t="s">
        <v>594</v>
      </c>
      <c r="D2554" s="2" t="str">
        <f t="shared" si="38"/>
        <v>Error?</v>
      </c>
    </row>
    <row r="2555" spans="1:4" x14ac:dyDescent="0.2">
      <c r="A2555" s="5">
        <v>2494</v>
      </c>
      <c r="B2555" s="138">
        <f>'Acct Summary 7-8'!C8</f>
        <v>2377022</v>
      </c>
      <c r="C2555" s="2" t="s">
        <v>594</v>
      </c>
      <c r="D2555" s="2" t="str">
        <f t="shared" si="38"/>
        <v>Error?</v>
      </c>
    </row>
    <row r="2556" spans="1:4" x14ac:dyDescent="0.2">
      <c r="A2556" s="5">
        <v>2495</v>
      </c>
      <c r="B2556" s="138">
        <f>'Acct Summary 7-8'!C12</f>
        <v>1436345</v>
      </c>
      <c r="C2556" s="2" t="s">
        <v>594</v>
      </c>
      <c r="D2556" s="2" t="str">
        <f t="shared" si="38"/>
        <v>Error?</v>
      </c>
    </row>
    <row r="2557" spans="1:4" x14ac:dyDescent="0.2">
      <c r="A2557" s="5">
        <v>2496</v>
      </c>
      <c r="B2557" s="138">
        <f>'Acct Summary 7-8'!C13</f>
        <v>740941</v>
      </c>
      <c r="C2557" s="2" t="s">
        <v>594</v>
      </c>
      <c r="D2557" s="2" t="str">
        <f t="shared" si="38"/>
        <v>Error?</v>
      </c>
    </row>
    <row r="2558" spans="1:4" x14ac:dyDescent="0.2">
      <c r="A2558" s="5">
        <v>2497</v>
      </c>
      <c r="B2558" s="138">
        <f>'Acct Summary 7-8'!C14</f>
        <v>1624</v>
      </c>
      <c r="C2558" s="2" t="s">
        <v>594</v>
      </c>
      <c r="D2558" s="2" t="str">
        <f t="shared" si="38"/>
        <v>Error?</v>
      </c>
    </row>
    <row r="2559" spans="1:4" x14ac:dyDescent="0.2">
      <c r="A2559" s="5">
        <v>2498</v>
      </c>
      <c r="B2559" s="138">
        <f>'Acct Summary 7-8'!C15</f>
        <v>72923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2251833</v>
      </c>
      <c r="C2561" s="2" t="s">
        <v>594</v>
      </c>
      <c r="D2561" s="2" t="str">
        <f t="shared" si="39"/>
        <v>Error?</v>
      </c>
    </row>
    <row r="2562" spans="1:4" x14ac:dyDescent="0.2">
      <c r="A2562" s="5">
        <v>2501</v>
      </c>
      <c r="B2562" s="138">
        <f>'Acct Summary 7-8'!C20</f>
        <v>125189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195910</v>
      </c>
      <c r="C2564" s="2" t="s">
        <v>594</v>
      </c>
      <c r="D2564" s="2" t="str">
        <f t="shared" si="39"/>
        <v>Error?</v>
      </c>
    </row>
    <row r="2565" spans="1:4" x14ac:dyDescent="0.2">
      <c r="A2565" s="10">
        <v>2504</v>
      </c>
      <c r="D2565" s="2" t="str">
        <f t="shared" si="39"/>
        <v>OK</v>
      </c>
    </row>
    <row r="2566" spans="1:4" x14ac:dyDescent="0.2">
      <c r="A2566" s="5">
        <v>2505</v>
      </c>
      <c r="B2566" s="138">
        <f>'Acct Summary 7-8'!D6</f>
        <v>95000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290910</v>
      </c>
      <c r="C2568" s="2" t="s">
        <v>594</v>
      </c>
      <c r="D2568" s="2" t="str">
        <f t="shared" si="39"/>
        <v>Error?</v>
      </c>
    </row>
    <row r="2569" spans="1:4" x14ac:dyDescent="0.2">
      <c r="A2569" s="5">
        <v>2508</v>
      </c>
      <c r="B2569" s="138">
        <f>'Acct Summary 7-8'!D13</f>
        <v>262944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262944</v>
      </c>
      <c r="C2573" s="2" t="s">
        <v>594</v>
      </c>
      <c r="D2573" s="2" t="str">
        <f t="shared" si="39"/>
        <v>Error?</v>
      </c>
    </row>
    <row r="2574" spans="1:4" x14ac:dyDescent="0.2">
      <c r="A2574" s="5">
        <v>2513</v>
      </c>
      <c r="B2574" s="138">
        <f>'Acct Summary 7-8'!D20</f>
        <v>27966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124795</v>
      </c>
      <c r="C2591" s="2" t="s">
        <v>594</v>
      </c>
      <c r="D2591" s="2" t="str">
        <f t="shared" si="39"/>
        <v>Error?</v>
      </c>
    </row>
    <row r="2592" spans="1:4" x14ac:dyDescent="0.2">
      <c r="A2592" s="10">
        <v>2531</v>
      </c>
      <c r="D2592" s="2" t="str">
        <f t="shared" si="39"/>
        <v>OK</v>
      </c>
    </row>
    <row r="2593" spans="1:4" x14ac:dyDescent="0.2">
      <c r="A2593" s="5">
        <v>2532</v>
      </c>
      <c r="B2593" s="138">
        <f>'Acct Summary 7-8'!F6</f>
        <v>124491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249286</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210049</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210049</v>
      </c>
      <c r="C2600" s="2" t="s">
        <v>594</v>
      </c>
      <c r="D2600" s="2" t="str">
        <f t="shared" si="39"/>
        <v>Error?</v>
      </c>
    </row>
    <row r="2601" spans="1:4" x14ac:dyDescent="0.2">
      <c r="A2601" s="5">
        <v>2540</v>
      </c>
      <c r="B2601" s="138">
        <f>'Acct Summary 7-8'!F20</f>
        <v>39237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99949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99949</v>
      </c>
      <c r="C2606" s="2" t="s">
        <v>594</v>
      </c>
      <c r="D2606" s="2" t="str">
        <f t="shared" si="39"/>
        <v>Error?</v>
      </c>
    </row>
    <row r="2607" spans="1:4" x14ac:dyDescent="0.2">
      <c r="A2607" s="5">
        <v>2546</v>
      </c>
      <c r="B2607" s="138">
        <f>'Acct Summary 7-8'!G12</f>
        <v>32001</v>
      </c>
      <c r="C2607" s="2" t="s">
        <v>594</v>
      </c>
      <c r="D2607" s="2" t="str">
        <f t="shared" si="39"/>
        <v>Error?</v>
      </c>
    </row>
    <row r="2608" spans="1:4" x14ac:dyDescent="0.2">
      <c r="A2608" s="5">
        <v>2547</v>
      </c>
      <c r="B2608" s="138">
        <f>'Acct Summary 7-8'!G13</f>
        <v>51298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83299</v>
      </c>
      <c r="C2612" s="2" t="s">
        <v>594</v>
      </c>
      <c r="D2612" s="2" t="str">
        <f t="shared" si="39"/>
        <v>Error?</v>
      </c>
    </row>
    <row r="2613" spans="1:4" x14ac:dyDescent="0.2">
      <c r="A2613" s="5">
        <v>2552</v>
      </c>
      <c r="B2613" s="138">
        <f>'Acct Summary 7-8'!G20</f>
        <v>16650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234016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234016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272432</v>
      </c>
      <c r="C2634" s="2" t="s">
        <v>594</v>
      </c>
      <c r="D2634" s="2" t="str">
        <f t="shared" si="40"/>
        <v>Error?</v>
      </c>
    </row>
    <row r="2635" spans="1:4" x14ac:dyDescent="0.2">
      <c r="A2635" s="5">
        <v>2574</v>
      </c>
      <c r="B2635" s="138">
        <f>'Acct Summary 7-8'!E17</f>
        <v>272432</v>
      </c>
      <c r="C2635" s="2" t="s">
        <v>594</v>
      </c>
      <c r="D2635" s="2" t="str">
        <f t="shared" si="40"/>
        <v>Error?</v>
      </c>
    </row>
    <row r="2636" spans="1:4" x14ac:dyDescent="0.2">
      <c r="A2636" s="5">
        <v>2575</v>
      </c>
      <c r="B2636" s="138">
        <f>'Acct Summary 7-8'!E20</f>
        <v>-38416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7588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7588</v>
      </c>
      <c r="C2658" s="2" t="s">
        <v>594</v>
      </c>
      <c r="D2658" s="2" t="str">
        <f t="shared" si="40"/>
        <v>Error?</v>
      </c>
    </row>
    <row r="2659" spans="1:4" x14ac:dyDescent="0.2">
      <c r="A2659" s="5">
        <v>2598</v>
      </c>
      <c r="B2659" s="138">
        <f>'Acct Summary 7-8'!H13</f>
        <v>1575475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1575475</v>
      </c>
      <c r="C2661" s="2" t="s">
        <v>594</v>
      </c>
      <c r="D2661" s="2" t="str">
        <f t="shared" si="40"/>
        <v>Error?</v>
      </c>
    </row>
    <row r="2662" spans="1:4" x14ac:dyDescent="0.2">
      <c r="A2662" s="5">
        <v>2601</v>
      </c>
      <c r="B2662" s="138">
        <f>'Acct Summary 7-8'!H20</f>
        <v>-1567887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59462</v>
      </c>
      <c r="C2789" s="2" t="s">
        <v>594</v>
      </c>
      <c r="D2789" s="2" t="str">
        <f t="shared" si="42"/>
        <v>Error?</v>
      </c>
    </row>
    <row r="2790" spans="1:4" x14ac:dyDescent="0.2">
      <c r="A2790" s="5">
        <v>2729</v>
      </c>
      <c r="B2790" s="138">
        <f>'Expenditures 15-22'!E102</f>
        <v>59462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210049</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210049</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268845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10708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268845</v>
      </c>
      <c r="D2912" s="2" t="str">
        <f t="shared" si="44"/>
        <v>Error?</v>
      </c>
    </row>
    <row r="2913" spans="1:4" x14ac:dyDescent="0.2">
      <c r="A2913" s="5">
        <v>2852</v>
      </c>
      <c r="B2913" s="138">
        <f>'Assets-Liab 5-6'!I41</f>
        <v>268845</v>
      </c>
      <c r="C2913" s="2" t="s">
        <v>594</v>
      </c>
      <c r="D2913" s="2" t="str">
        <f t="shared" si="44"/>
        <v>Error?</v>
      </c>
    </row>
    <row r="2914" spans="1:4" x14ac:dyDescent="0.2">
      <c r="A2914" s="5">
        <v>2853</v>
      </c>
      <c r="B2914" s="138">
        <f>'Assets-Liab 5-6'!L33</f>
        <v>10708</v>
      </c>
      <c r="D2914" s="2" t="str">
        <f t="shared" si="44"/>
        <v>Error?</v>
      </c>
    </row>
    <row r="2915" spans="1:4" x14ac:dyDescent="0.2">
      <c r="A2915" s="10">
        <v>2854</v>
      </c>
      <c r="D2915" s="2" t="str">
        <f t="shared" si="44"/>
        <v>OK</v>
      </c>
    </row>
    <row r="2916" spans="1:4" x14ac:dyDescent="0.2">
      <c r="A2916" s="5">
        <v>2855</v>
      </c>
      <c r="B2916" s="138">
        <f>'Assets-Liab 5-6'!L34</f>
        <v>10708</v>
      </c>
      <c r="C2916" s="2" t="s">
        <v>594</v>
      </c>
      <c r="D2916" s="2" t="str">
        <f t="shared" si="44"/>
        <v>Error?</v>
      </c>
    </row>
    <row r="2917" spans="1:4" x14ac:dyDescent="0.2">
      <c r="A2917" s="5">
        <v>2856</v>
      </c>
      <c r="B2917" s="138">
        <f>'Assets-Liab 5-6'!L41</f>
        <v>10708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59462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13461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72923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142666</v>
      </c>
      <c r="D2989" s="2" t="str">
        <f t="shared" si="45"/>
        <v>Error?</v>
      </c>
    </row>
    <row r="2990" spans="1:4" x14ac:dyDescent="0.2">
      <c r="A2990" s="5">
        <v>2929</v>
      </c>
      <c r="B2990" s="138">
        <f>'Expenditures 15-22'!E189</f>
        <v>67383</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142666</v>
      </c>
      <c r="C3007" s="2" t="s">
        <v>594</v>
      </c>
      <c r="D3007" s="2" t="str">
        <f t="shared" ref="D3007:D3070" si="46">IF(ISBLANK(B3007),"OK",IF(A3007-B3007=0,"OK","Error?"))</f>
        <v>Error?</v>
      </c>
    </row>
    <row r="3008" spans="1:4" x14ac:dyDescent="0.2">
      <c r="A3008" s="5">
        <v>2947</v>
      </c>
      <c r="B3008" s="138">
        <f>'Expenditures 15-22'!K189</f>
        <v>67383</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37958</v>
      </c>
      <c r="D3055" s="2" t="str">
        <f t="shared" si="46"/>
        <v>Error?</v>
      </c>
    </row>
    <row r="3056" spans="1:4" x14ac:dyDescent="0.2">
      <c r="A3056" s="5">
        <v>2995</v>
      </c>
      <c r="B3056" s="138">
        <f>'Expenditures 15-22'!D10</f>
        <v>5101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12332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55391</v>
      </c>
      <c r="C3062" s="2" t="s">
        <v>594</v>
      </c>
      <c r="D3062" s="2" t="str">
        <f t="shared" si="46"/>
        <v>Error?</v>
      </c>
    </row>
    <row r="3063" spans="1:4" x14ac:dyDescent="0.2">
      <c r="A3063" s="10">
        <v>3002</v>
      </c>
      <c r="D3063" s="2" t="str">
        <f t="shared" si="46"/>
        <v>OK</v>
      </c>
    </row>
    <row r="3064" spans="1:4" x14ac:dyDescent="0.2">
      <c r="A3064" s="5">
        <v>3003</v>
      </c>
      <c r="B3064" s="138">
        <f>'Expenditures 15-22'!D219</f>
        <v>328</v>
      </c>
      <c r="D3064" s="2" t="str">
        <f t="shared" si="46"/>
        <v>Error?</v>
      </c>
    </row>
    <row r="3065" spans="1:4" x14ac:dyDescent="0.2">
      <c r="A3065" s="5">
        <v>3004</v>
      </c>
      <c r="B3065" s="138">
        <f>'Expenditures 15-22'!K219</f>
        <v>328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29948</v>
      </c>
      <c r="C3225" s="2" t="s">
        <v>594</v>
      </c>
      <c r="D3225" s="2" t="str">
        <f t="shared" si="49"/>
        <v>Error?</v>
      </c>
    </row>
    <row r="3226" spans="1:4" x14ac:dyDescent="0.2">
      <c r="A3226" s="5">
        <v>3165</v>
      </c>
      <c r="B3226" s="138">
        <f>'Acct Summary 7-8'!I8</f>
        <v>29948</v>
      </c>
      <c r="C3226" s="2" t="s">
        <v>594</v>
      </c>
      <c r="D3226" s="2" t="str">
        <f t="shared" si="49"/>
        <v>Error?</v>
      </c>
    </row>
    <row r="3227" spans="1:4" x14ac:dyDescent="0.2">
      <c r="A3227" s="5">
        <v>3166</v>
      </c>
      <c r="B3227" s="138">
        <f>'Acct Summary 7-8'!I20</f>
        <v>29948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125189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3288</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3288</v>
      </c>
      <c r="C3238" s="2" t="s">
        <v>594</v>
      </c>
      <c r="D3238" s="2" t="str">
        <f t="shared" si="49"/>
        <v>Error?</v>
      </c>
    </row>
    <row r="3239" spans="1:4" x14ac:dyDescent="0.2">
      <c r="A3239" s="5">
        <v>3178</v>
      </c>
      <c r="B3239" s="138">
        <f>'Acct Summary 7-8'!D78</f>
        <v>31254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39237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16650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-38416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210734</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210734</v>
      </c>
      <c r="C3299" s="2" t="s">
        <v>594</v>
      </c>
      <c r="D3299" s="2" t="str">
        <f t="shared" si="50"/>
        <v>Error?</v>
      </c>
    </row>
    <row r="3300" spans="1:4" x14ac:dyDescent="0.2">
      <c r="A3300" s="5">
        <v>3239</v>
      </c>
      <c r="B3300" s="138">
        <f>'Acct Summary 7-8'!H78</f>
        <v>-1357153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29948</v>
      </c>
      <c r="C3320" s="2" t="s">
        <v>594</v>
      </c>
      <c r="D3320" s="2" t="str">
        <f t="shared" si="50"/>
        <v>Error?</v>
      </c>
    </row>
    <row r="3321" spans="1:4" x14ac:dyDescent="0.2">
      <c r="A3321" s="5">
        <v>3260</v>
      </c>
      <c r="B3321" s="138">
        <f>'Acct Summary 7-8'!I79</f>
        <v>238897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268845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85134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25431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112157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29557</v>
      </c>
      <c r="D3387" s="2" t="str">
        <f t="shared" si="51"/>
        <v>Error?</v>
      </c>
    </row>
    <row r="3388" spans="1:4" x14ac:dyDescent="0.2">
      <c r="A3388" s="5">
        <v>3327</v>
      </c>
      <c r="B3388" s="138">
        <f>'Expenditures 15-22'!D217</f>
        <v>1234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29557</v>
      </c>
      <c r="C3390" s="2" t="s">
        <v>594</v>
      </c>
      <c r="D3390" s="2" t="str">
        <f t="shared" si="51"/>
        <v>Error?</v>
      </c>
    </row>
    <row r="3391" spans="1:4" x14ac:dyDescent="0.2">
      <c r="A3391" s="5">
        <v>3330</v>
      </c>
      <c r="B3391" s="138">
        <f>'Expenditures 15-22'!K217</f>
        <v>1234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942772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344017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12378</v>
      </c>
      <c r="D3417" s="2" t="str">
        <f t="shared" si="52"/>
        <v>Error?</v>
      </c>
    </row>
    <row r="3418" spans="1:4" x14ac:dyDescent="0.2">
      <c r="A3418" s="10">
        <v>3357</v>
      </c>
      <c r="D3418" s="2" t="str">
        <f t="shared" si="52"/>
        <v>OK</v>
      </c>
    </row>
    <row r="3419" spans="1:4" x14ac:dyDescent="0.2">
      <c r="A3419" s="5">
        <v>3358</v>
      </c>
      <c r="B3419" s="138">
        <f>'Assets-Liab 5-6'!F4</f>
        <v>325026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134661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342983</v>
      </c>
      <c r="D3425" s="2" t="str">
        <f t="shared" si="52"/>
        <v>Error?</v>
      </c>
    </row>
    <row r="3426" spans="1:4" x14ac:dyDescent="0.2">
      <c r="A3426" s="10">
        <v>3365</v>
      </c>
      <c r="D3426" s="2" t="str">
        <f t="shared" si="52"/>
        <v>OK</v>
      </c>
    </row>
    <row r="3427" spans="1:4" x14ac:dyDescent="0.2">
      <c r="A3427" s="5">
        <v>3366</v>
      </c>
      <c r="B3427" s="138">
        <f>'Assets-Liab 5-6'!I4</f>
        <v>268845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10708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52626</v>
      </c>
      <c r="C3446" s="2" t="s">
        <v>594</v>
      </c>
      <c r="D3446" s="2" t="str">
        <f t="shared" si="52"/>
        <v>Error?</v>
      </c>
    </row>
    <row r="3447" spans="1:4" x14ac:dyDescent="0.2">
      <c r="A3447" s="5">
        <v>3386</v>
      </c>
      <c r="B3447" s="138">
        <f>'Tax Sched 23'!D16</f>
        <v>52626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54786</v>
      </c>
      <c r="C3449" s="2" t="s">
        <v>594</v>
      </c>
      <c r="D3449" s="2" t="str">
        <f t="shared" si="52"/>
        <v>Error?</v>
      </c>
    </row>
    <row r="3450" spans="1:4" x14ac:dyDescent="0.2">
      <c r="A3450" s="5">
        <v>3389</v>
      </c>
      <c r="B3450" s="138">
        <f>'Tax Sched 23'!E16</f>
        <v>54786</v>
      </c>
      <c r="D3450" s="2" t="str">
        <f t="shared" si="52"/>
        <v>Error?</v>
      </c>
    </row>
    <row r="3451" spans="1:4" x14ac:dyDescent="0.2">
      <c r="A3451" s="5">
        <v>3390</v>
      </c>
      <c r="B3451" s="138">
        <f>'Cap Outlay Deprec 26'!C15</f>
        <v>252245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252245</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3288</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210734</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71151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71151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71151</v>
      </c>
      <c r="D3567" s="2" t="str">
        <f t="shared" si="54"/>
        <v>Error?</v>
      </c>
    </row>
    <row r="3568" spans="1:4" x14ac:dyDescent="0.2">
      <c r="A3568" s="5">
        <v>3507</v>
      </c>
      <c r="B3568" s="138">
        <f>'Assets-Liab 5-6'!K41</f>
        <v>71151</v>
      </c>
      <c r="C3568" s="2" t="s">
        <v>594</v>
      </c>
      <c r="D3568" s="2" t="str">
        <f t="shared" si="54"/>
        <v>Error?</v>
      </c>
    </row>
    <row r="3569" spans="1:4" x14ac:dyDescent="0.2">
      <c r="A3569" s="5">
        <v>3508</v>
      </c>
      <c r="B3569" s="138">
        <f>'Acct Summary 7-8'!K4</f>
        <v>38155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38155</v>
      </c>
      <c r="C3571" s="2" t="s">
        <v>594</v>
      </c>
      <c r="D3571" s="2" t="str">
        <f t="shared" si="54"/>
        <v>Error?</v>
      </c>
    </row>
    <row r="3572" spans="1:4" x14ac:dyDescent="0.2">
      <c r="A3572" s="5">
        <v>3511</v>
      </c>
      <c r="B3572" s="138">
        <f>'Acct Summary 7-8'!K13</f>
        <v>14461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14461</v>
      </c>
      <c r="C3575" s="2" t="s">
        <v>594</v>
      </c>
      <c r="D3575" s="2" t="str">
        <f t="shared" si="54"/>
        <v>Error?</v>
      </c>
    </row>
    <row r="3576" spans="1:4" x14ac:dyDescent="0.2">
      <c r="A3576" s="5">
        <v>3515</v>
      </c>
      <c r="B3576" s="138">
        <f>'Acct Summary 7-8'!K20</f>
        <v>23694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23694</v>
      </c>
      <c r="C3588" s="2" t="s">
        <v>594</v>
      </c>
      <c r="D3588" s="2" t="str">
        <f t="shared" si="55"/>
        <v>Error?</v>
      </c>
    </row>
    <row r="3589" spans="1:4" x14ac:dyDescent="0.2">
      <c r="A3589" s="5">
        <v>3528</v>
      </c>
      <c r="B3589" s="138">
        <f>'Acct Summary 7-8'!K79</f>
        <v>47457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71151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6501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6501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6501</v>
      </c>
      <c r="C3635" s="2" t="s">
        <v>594</v>
      </c>
      <c r="D3635" s="2" t="str">
        <f t="shared" si="55"/>
        <v>Error?</v>
      </c>
    </row>
    <row r="3636" spans="1:4" x14ac:dyDescent="0.2">
      <c r="A3636" s="5">
        <v>3575</v>
      </c>
      <c r="B3636" s="138">
        <f>'Expenditures 15-22'!E367</f>
        <v>6501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7960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7960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7960</v>
      </c>
      <c r="C3649" s="2" t="s">
        <v>594</v>
      </c>
      <c r="D3649" s="2" t="str">
        <f t="shared" si="56"/>
        <v>Error?</v>
      </c>
    </row>
    <row r="3650" spans="1:4" x14ac:dyDescent="0.2">
      <c r="A3650" s="5">
        <v>3589</v>
      </c>
      <c r="B3650" s="138">
        <f>'Expenditures 15-22'!G367</f>
        <v>7960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14461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14461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14461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14461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23694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44545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773734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3150756</v>
      </c>
      <c r="C4122" s="2" t="s">
        <v>594</v>
      </c>
      <c r="D4122" s="2" t="str">
        <f t="shared" si="63"/>
        <v>Error?</v>
      </c>
    </row>
    <row r="4123" spans="1:4" x14ac:dyDescent="0.2">
      <c r="A4123" s="5">
        <v>4062</v>
      </c>
      <c r="B4123" s="138">
        <f>'Acct Summary 7-8'!D10</f>
        <v>290910</v>
      </c>
      <c r="C4123" s="2" t="s">
        <v>594</v>
      </c>
      <c r="D4123" s="2" t="str">
        <f t="shared" si="63"/>
        <v>Error?</v>
      </c>
    </row>
    <row r="4124" spans="1:4" x14ac:dyDescent="0.2">
      <c r="A4124" s="5">
        <v>4063</v>
      </c>
      <c r="B4124" s="138">
        <f>'Acct Summary 7-8'!E10</f>
        <v>234016</v>
      </c>
      <c r="C4124" s="2" t="s">
        <v>594</v>
      </c>
      <c r="D4124" s="2" t="str">
        <f t="shared" si="63"/>
        <v>Error?</v>
      </c>
    </row>
    <row r="4125" spans="1:4" x14ac:dyDescent="0.2">
      <c r="A4125" s="5">
        <v>4064</v>
      </c>
      <c r="B4125" s="138">
        <f>'Acct Summary 7-8'!F10</f>
        <v>249286</v>
      </c>
      <c r="C4125" s="2" t="s">
        <v>594</v>
      </c>
      <c r="D4125" s="2" t="str">
        <f t="shared" si="63"/>
        <v>Error?</v>
      </c>
    </row>
    <row r="4126" spans="1:4" x14ac:dyDescent="0.2">
      <c r="A4126" s="5">
        <v>4065</v>
      </c>
      <c r="B4126" s="138">
        <f>'Acct Summary 7-8'!G10</f>
        <v>99949</v>
      </c>
      <c r="C4126" s="2" t="s">
        <v>594</v>
      </c>
      <c r="D4126" s="2" t="str">
        <f t="shared" si="63"/>
        <v>Error?</v>
      </c>
    </row>
    <row r="4127" spans="1:4" x14ac:dyDescent="0.2">
      <c r="A4127" s="5">
        <v>4066</v>
      </c>
      <c r="B4127" s="138">
        <f>'Acct Summary 7-8'!H10</f>
        <v>7588</v>
      </c>
      <c r="C4127" s="2" t="s">
        <v>594</v>
      </c>
      <c r="D4127" s="2" t="str">
        <f t="shared" si="63"/>
        <v>Error?</v>
      </c>
    </row>
    <row r="4128" spans="1:4" x14ac:dyDescent="0.2">
      <c r="A4128" s="5">
        <v>4067</v>
      </c>
      <c r="B4128" s="138">
        <f>'Acct Summary 7-8'!I10</f>
        <v>29948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38155</v>
      </c>
      <c r="C4130" s="2" t="s">
        <v>594</v>
      </c>
      <c r="D4130" s="2" t="str">
        <f t="shared" si="63"/>
        <v>Error?</v>
      </c>
    </row>
    <row r="4131" spans="1:4" x14ac:dyDescent="0.2">
      <c r="A4131" s="5">
        <v>4070</v>
      </c>
      <c r="B4131" s="138">
        <f>'Acct Summary 7-8'!C18</f>
        <v>773734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3025567</v>
      </c>
      <c r="C4136" s="2" t="s">
        <v>594</v>
      </c>
      <c r="D4136" s="2" t="str">
        <f t="shared" si="63"/>
        <v>Error?</v>
      </c>
    </row>
    <row r="4137" spans="1:4" x14ac:dyDescent="0.2">
      <c r="A4137" s="5">
        <v>4076</v>
      </c>
      <c r="B4137" s="138">
        <f>'Acct Summary 7-8'!D19</f>
        <v>262944</v>
      </c>
      <c r="C4137" s="2" t="s">
        <v>594</v>
      </c>
      <c r="D4137" s="2" t="str">
        <f t="shared" si="63"/>
        <v>Error?</v>
      </c>
    </row>
    <row r="4138" spans="1:4" x14ac:dyDescent="0.2">
      <c r="A4138" s="5">
        <v>4077</v>
      </c>
      <c r="B4138" s="138">
        <f>'Acct Summary 7-8'!E19</f>
        <v>272432</v>
      </c>
      <c r="C4138" s="2" t="s">
        <v>594</v>
      </c>
      <c r="D4138" s="2" t="str">
        <f t="shared" si="63"/>
        <v>Error?</v>
      </c>
    </row>
    <row r="4139" spans="1:4" x14ac:dyDescent="0.2">
      <c r="A4139" s="5">
        <v>4078</v>
      </c>
      <c r="B4139" s="138">
        <f>'Acct Summary 7-8'!F19</f>
        <v>210049</v>
      </c>
      <c r="C4139" s="2" t="s">
        <v>594</v>
      </c>
      <c r="D4139" s="2" t="str">
        <f t="shared" si="63"/>
        <v>Error?</v>
      </c>
    </row>
    <row r="4140" spans="1:4" x14ac:dyDescent="0.2">
      <c r="A4140" s="5">
        <v>4079</v>
      </c>
      <c r="B4140" s="138">
        <f>'Acct Summary 7-8'!G19</f>
        <v>83299</v>
      </c>
      <c r="C4140" s="2" t="s">
        <v>594</v>
      </c>
      <c r="D4140" s="2" t="str">
        <f t="shared" si="63"/>
        <v>Error?</v>
      </c>
    </row>
    <row r="4141" spans="1:4" x14ac:dyDescent="0.2">
      <c r="A4141" s="5">
        <v>4080</v>
      </c>
      <c r="B4141" s="138">
        <f>'Acct Summary 7-8'!H19</f>
        <v>1575475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14461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3466000</v>
      </c>
      <c r="C4171" s="2" t="s">
        <v>594</v>
      </c>
      <c r="D4171" s="2" t="str">
        <f t="shared" si="64"/>
        <v>Error?</v>
      </c>
    </row>
    <row r="4172" spans="1:4" x14ac:dyDescent="0.2">
      <c r="A4172" s="5">
        <v>4111</v>
      </c>
      <c r="B4172" s="138">
        <f>'Short-Term Long-Term Debt 24'!J49</f>
        <v>3453622</v>
      </c>
      <c r="C4172" s="2" t="s">
        <v>594</v>
      </c>
      <c r="D4172" s="2" t="str">
        <f t="shared" si="64"/>
        <v>Error?</v>
      </c>
    </row>
    <row r="4173" spans="1:4" x14ac:dyDescent="0.2">
      <c r="A4173" s="5">
        <v>4112</v>
      </c>
      <c r="B4173" s="138">
        <f>'Short-Term Long-Term Debt 24'!H49</f>
        <v>105000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2653.55</v>
      </c>
      <c r="C4265" s="2" t="s">
        <v>594</v>
      </c>
      <c r="D4265" s="2" t="str">
        <f t="shared" si="65"/>
        <v>Error?</v>
      </c>
      <c r="E4265" s="128"/>
    </row>
    <row r="4266" spans="1:5" x14ac:dyDescent="0.2">
      <c r="A4266" s="12">
        <v>4205</v>
      </c>
      <c r="B4266" s="138">
        <f>('FP Info 3'!F10)*100000</f>
        <v>325.62</v>
      </c>
      <c r="C4266" s="2" t="s">
        <v>594</v>
      </c>
      <c r="D4266" s="2" t="str">
        <f t="shared" si="65"/>
        <v>Error?</v>
      </c>
      <c r="E4266" s="128"/>
    </row>
    <row r="4267" spans="1:5" x14ac:dyDescent="0.2">
      <c r="A4267" s="12">
        <v>4206</v>
      </c>
      <c r="B4267" s="138">
        <f>('FP Info 3'!H10)*100000</f>
        <v>187.24</v>
      </c>
      <c r="C4267" s="2" t="s">
        <v>594</v>
      </c>
      <c r="D4267" s="2" t="str">
        <f t="shared" si="65"/>
        <v>Error?</v>
      </c>
      <c r="E4267" s="128"/>
    </row>
    <row r="4268" spans="1:5" x14ac:dyDescent="0.2">
      <c r="A4268" s="12">
        <v>4207</v>
      </c>
      <c r="B4268" s="138">
        <f>('FP Info 3'!J10)*100000</f>
        <v>3166</v>
      </c>
      <c r="C4268" s="2" t="s">
        <v>594</v>
      </c>
      <c r="D4268" s="2" t="str">
        <f t="shared" si="65"/>
        <v>Error?</v>
      </c>
    </row>
    <row r="4269" spans="1:5" x14ac:dyDescent="0.2">
      <c r="A4269" s="12">
        <v>4208</v>
      </c>
      <c r="B4269" s="138">
        <f>'FP Info 3'!J16</f>
        <v>3216062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4526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6980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6369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49.169999999999995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26490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28418</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62306808</v>
      </c>
      <c r="D4995" s="2" t="str">
        <f t="shared" si="77"/>
        <v>Error?</v>
      </c>
    </row>
    <row r="4996" spans="1:4" x14ac:dyDescent="0.2">
      <c r="A4996" s="12">
        <v>4935</v>
      </c>
      <c r="B4996" s="138">
        <f>'FP Info 3'!H31</f>
        <v>4299169.7520000003</v>
      </c>
      <c r="D4996" s="2" t="str">
        <f t="shared" si="77"/>
        <v>Error?</v>
      </c>
    </row>
    <row r="4997" spans="1:4" x14ac:dyDescent="0.2">
      <c r="A4997" s="12">
        <v>4936</v>
      </c>
      <c r="B4997" s="138">
        <f>'FP Info 3'!H37</f>
        <v>3466000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1588297</v>
      </c>
      <c r="D5061" s="2" t="str">
        <f t="shared" si="78"/>
        <v>Error?</v>
      </c>
    </row>
    <row r="5062" spans="1:4" x14ac:dyDescent="0.2">
      <c r="A5062" s="10">
        <v>5001</v>
      </c>
      <c r="D5062" s="2" t="str">
        <f t="shared" si="78"/>
        <v>OK</v>
      </c>
    </row>
    <row r="5063" spans="1:4" x14ac:dyDescent="0.2">
      <c r="A5063" s="5">
        <v>5002</v>
      </c>
      <c r="B5063" s="138">
        <f>'Revenues 9-14'!C7</f>
        <v>14618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1602915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57744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57744</v>
      </c>
      <c r="C5071" s="2" t="s">
        <v>594</v>
      </c>
      <c r="D5071" s="2" t="str">
        <f t="shared" si="78"/>
        <v>Error?</v>
      </c>
    </row>
    <row r="5072" spans="1:4" x14ac:dyDescent="0.2">
      <c r="A5072" s="5">
        <v>5011</v>
      </c>
      <c r="B5072" s="138">
        <f>'Revenues 9-14'!C20</f>
        <v>3800</v>
      </c>
      <c r="D5072" s="2" t="str">
        <f t="shared" si="78"/>
        <v>Error?</v>
      </c>
    </row>
    <row r="5073" spans="1:4" x14ac:dyDescent="0.2">
      <c r="A5073" s="5">
        <v>5012</v>
      </c>
      <c r="B5073" s="138">
        <f>'Revenues 9-14'!C21</f>
        <v>78817</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82617</v>
      </c>
      <c r="C5087" s="2" t="s">
        <v>594</v>
      </c>
      <c r="D5087" s="2" t="str">
        <f t="shared" si="78"/>
        <v>Error?</v>
      </c>
    </row>
    <row r="5088" spans="1:4" x14ac:dyDescent="0.2">
      <c r="A5088" s="5">
        <v>5027</v>
      </c>
      <c r="B5088" s="138">
        <f>'Revenues 9-14'!C65</f>
        <v>8025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8025</v>
      </c>
      <c r="C5090" s="2" t="s">
        <v>594</v>
      </c>
      <c r="D5090" s="2" t="str">
        <f t="shared" si="78"/>
        <v>Error?</v>
      </c>
    </row>
    <row r="5091" spans="1:4" x14ac:dyDescent="0.2">
      <c r="A5091" s="5">
        <v>5030</v>
      </c>
      <c r="B5091" s="138">
        <f>'Revenues 9-14'!C70</f>
        <v>5187</v>
      </c>
      <c r="D5091" s="2" t="str">
        <f t="shared" si="78"/>
        <v>Error?</v>
      </c>
    </row>
    <row r="5092" spans="1:4" x14ac:dyDescent="0.2">
      <c r="A5092" s="5">
        <v>5031</v>
      </c>
      <c r="B5092" s="138">
        <f>'Revenues 9-14'!C71</f>
        <v>7844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1827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33077</v>
      </c>
      <c r="C5096" s="2" t="s">
        <v>594</v>
      </c>
      <c r="D5096" s="2" t="str">
        <f t="shared" si="78"/>
        <v>Error?</v>
      </c>
    </row>
    <row r="5097" spans="1:4" x14ac:dyDescent="0.2">
      <c r="A5097" s="5">
        <v>5036</v>
      </c>
      <c r="B5097" s="138">
        <f>'Revenues 9-14'!C77</f>
        <v>5772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5772</v>
      </c>
      <c r="C5102" s="2" t="s">
        <v>594</v>
      </c>
      <c r="D5102" s="2" t="str">
        <f t="shared" si="78"/>
        <v>Error?</v>
      </c>
    </row>
    <row r="5103" spans="1:4" x14ac:dyDescent="0.2">
      <c r="A5103" s="5">
        <v>5042</v>
      </c>
      <c r="B5103" s="138">
        <f>'Revenues 9-14'!C84</f>
        <v>11828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11828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16086</v>
      </c>
      <c r="D5115" s="2" t="str">
        <f t="shared" si="78"/>
        <v>Error?</v>
      </c>
    </row>
    <row r="5116" spans="1:4" x14ac:dyDescent="0.2">
      <c r="A5116" s="5">
        <v>5055</v>
      </c>
      <c r="B5116" s="138">
        <f>'Revenues 9-14'!C99</f>
        <v>18900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7585</v>
      </c>
      <c r="D5119" s="2" t="str">
        <f t="shared" ref="D5119:D5182" si="79">IF(ISBLANK(B5119),"OK",IF(A5119-B5119=0,"OK","Error?"))</f>
        <v>Error?</v>
      </c>
    </row>
    <row r="5120" spans="1:4" x14ac:dyDescent="0.2">
      <c r="A5120" s="5">
        <v>5059</v>
      </c>
      <c r="B5120" s="138">
        <f>'Revenues 9-14'!C108</f>
        <v>42571</v>
      </c>
      <c r="C5120" s="2" t="s">
        <v>594</v>
      </c>
      <c r="D5120" s="2" t="str">
        <f t="shared" si="79"/>
        <v>Error?</v>
      </c>
    </row>
    <row r="5121" spans="1:4" x14ac:dyDescent="0.2">
      <c r="A5121" s="5">
        <v>5060</v>
      </c>
      <c r="B5121" s="138">
        <f>'Revenues 9-14'!C109</f>
        <v>1844549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307547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307547</v>
      </c>
      <c r="C5132" s="2" t="s">
        <v>594</v>
      </c>
      <c r="D5132" s="2" t="str">
        <f t="shared" si="79"/>
        <v>Error?</v>
      </c>
    </row>
    <row r="5133" spans="1:4" x14ac:dyDescent="0.2">
      <c r="A5133" s="5">
        <v>5072</v>
      </c>
      <c r="B5133" s="138">
        <f>'Revenues 9-14'!C124</f>
        <v>26889</v>
      </c>
      <c r="D5133" s="2" t="str">
        <f t="shared" si="79"/>
        <v>Error?</v>
      </c>
    </row>
    <row r="5134" spans="1:4" x14ac:dyDescent="0.2">
      <c r="A5134" s="5">
        <v>5073</v>
      </c>
      <c r="B5134" s="138">
        <f>'Revenues 9-14'!C125</f>
        <v>16197</v>
      </c>
      <c r="D5134" s="2" t="str">
        <f t="shared" si="79"/>
        <v>Error?</v>
      </c>
    </row>
    <row r="5135" spans="1:4" x14ac:dyDescent="0.2">
      <c r="A5135" s="5">
        <v>5074</v>
      </c>
      <c r="B5135" s="138">
        <f>'Revenues 9-14'!C126</f>
        <v>16075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737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59898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598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86986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394533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28418</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26919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9335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36254</v>
      </c>
      <c r="C5246" s="2" t="s">
        <v>594</v>
      </c>
      <c r="D5246" s="2" t="str">
        <f t="shared" si="80"/>
        <v>Error?</v>
      </c>
    </row>
    <row r="5247" spans="1:4" x14ac:dyDescent="0.2">
      <c r="A5247" s="5">
        <v>5186</v>
      </c>
      <c r="B5247" s="138">
        <f>'Revenues 9-14'!C203</f>
        <v>35587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35587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19806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19806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109522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137940</v>
      </c>
      <c r="C5326" s="2" t="s">
        <v>594</v>
      </c>
      <c r="D5326" s="2" t="str">
        <f t="shared" si="82"/>
        <v>Error?</v>
      </c>
    </row>
    <row r="5327" spans="1:4" x14ac:dyDescent="0.2">
      <c r="A5327" s="5">
        <v>5266</v>
      </c>
      <c r="B5327" s="138">
        <f>'Revenues 9-14'!C275</f>
        <v>2377022</v>
      </c>
      <c r="C5327" s="2" t="s">
        <v>594</v>
      </c>
      <c r="D5327" s="2" t="str">
        <f t="shared" si="82"/>
        <v>Error?</v>
      </c>
    </row>
    <row r="5328" spans="1:4" x14ac:dyDescent="0.2">
      <c r="A5328" s="5">
        <v>5267</v>
      </c>
      <c r="B5328" s="138">
        <f>'Revenues 9-14'!D5</f>
        <v>194896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194896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961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961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53</v>
      </c>
      <c r="D5354" s="2" t="str">
        <f t="shared" si="82"/>
        <v>Error?</v>
      </c>
    </row>
    <row r="5355" spans="1:4" x14ac:dyDescent="0.2">
      <c r="A5355" s="5">
        <v>5294</v>
      </c>
      <c r="B5355" s="138">
        <f>'Revenues 9-14'!D108</f>
        <v>53</v>
      </c>
      <c r="C5355" s="2" t="s">
        <v>594</v>
      </c>
      <c r="D5355" s="2" t="str">
        <f t="shared" si="82"/>
        <v>Error?</v>
      </c>
    </row>
    <row r="5356" spans="1:4" x14ac:dyDescent="0.2">
      <c r="A5356" s="5">
        <v>5295</v>
      </c>
      <c r="B5356" s="138">
        <f>'Revenues 9-14'!D109</f>
        <v>195910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95000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95000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95000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290910</v>
      </c>
      <c r="C5508" s="2" t="s">
        <v>594</v>
      </c>
      <c r="D5508" s="2" t="str">
        <f t="shared" si="85"/>
        <v>Error?</v>
      </c>
    </row>
    <row r="5509" spans="1:4" x14ac:dyDescent="0.2">
      <c r="A5509" s="5">
        <v>5448</v>
      </c>
      <c r="B5509" s="138">
        <f>'Revenues 9-14'!E5</f>
        <v>233678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233678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234016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234016</v>
      </c>
      <c r="C5552" s="2" t="s">
        <v>594</v>
      </c>
      <c r="D5552" s="2" t="str">
        <f t="shared" si="85"/>
        <v>Error?</v>
      </c>
    </row>
    <row r="5553" spans="1:4" x14ac:dyDescent="0.2">
      <c r="A5553" s="5">
        <v>5492</v>
      </c>
      <c r="B5553" s="138">
        <f>'Revenues 9-14'!F5</f>
        <v>112066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112066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11891</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159</v>
      </c>
      <c r="D5586" s="2" t="str">
        <f t="shared" si="86"/>
        <v>Error?</v>
      </c>
    </row>
    <row r="5587" spans="1:4" x14ac:dyDescent="0.2">
      <c r="A5587" s="5">
        <v>5526</v>
      </c>
      <c r="B5587" s="138">
        <f>'Revenues 9-14'!F108</f>
        <v>12050</v>
      </c>
      <c r="C5587" s="2" t="s">
        <v>594</v>
      </c>
      <c r="D5587" s="2" t="str">
        <f t="shared" si="86"/>
        <v>Error?</v>
      </c>
    </row>
    <row r="5588" spans="1:4" x14ac:dyDescent="0.2">
      <c r="A5588" s="5">
        <v>5527</v>
      </c>
      <c r="B5588" s="138">
        <f>'Revenues 9-14'!F109</f>
        <v>124795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59437</v>
      </c>
      <c r="D5615" s="2" t="str">
        <f t="shared" si="86"/>
        <v>Error?</v>
      </c>
    </row>
    <row r="5616" spans="1:4" x14ac:dyDescent="0.2">
      <c r="A5616" s="10">
        <v>5555</v>
      </c>
      <c r="D5616" s="2" t="str">
        <f t="shared" si="86"/>
        <v>OK</v>
      </c>
    </row>
    <row r="5617" spans="1:4" x14ac:dyDescent="0.2">
      <c r="A5617" s="5">
        <v>5556</v>
      </c>
      <c r="B5617" s="138">
        <f>'Revenues 9-14'!F152</f>
        <v>65054</v>
      </c>
      <c r="D5617" s="2" t="str">
        <f t="shared" si="86"/>
        <v>Error?</v>
      </c>
    </row>
    <row r="5618" spans="1:4" x14ac:dyDescent="0.2">
      <c r="A5618" s="5">
        <v>5557</v>
      </c>
      <c r="B5618" s="138">
        <f>'Revenues 9-14'!F154</f>
        <v>124491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124491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124491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249286</v>
      </c>
      <c r="C5720" s="2" t="s">
        <v>594</v>
      </c>
      <c r="D5720" s="2" t="str">
        <f t="shared" si="88"/>
        <v>Error?</v>
      </c>
    </row>
    <row r="5721" spans="1:4" x14ac:dyDescent="0.2">
      <c r="A5721" s="5">
        <v>5660</v>
      </c>
      <c r="B5721" s="138">
        <f>'Revenues 9-14'!G5</f>
        <v>38988</v>
      </c>
      <c r="D5721" s="2" t="str">
        <f t="shared" si="88"/>
        <v>Error?</v>
      </c>
    </row>
    <row r="5722" spans="1:4" x14ac:dyDescent="0.2">
      <c r="A5722" s="5">
        <v>5661</v>
      </c>
      <c r="B5722" s="138">
        <f>'Revenues 9-14'!G7</f>
        <v>0</v>
      </c>
      <c r="D5722" s="2" t="str">
        <f t="shared" si="88"/>
        <v>Error?</v>
      </c>
    </row>
    <row r="5723" spans="1:4" x14ac:dyDescent="0.2">
      <c r="A5723" s="5">
        <v>5662</v>
      </c>
      <c r="B5723" s="138">
        <f>'Revenues 9-14'!G8</f>
        <v>52626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91614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8000</v>
      </c>
      <c r="C5730" s="2" t="s">
        <v>594</v>
      </c>
      <c r="D5730" s="2" t="str">
        <f t="shared" si="88"/>
        <v>Error?</v>
      </c>
    </row>
    <row r="5731" spans="1:4" x14ac:dyDescent="0.2">
      <c r="A5731" s="5">
        <v>5670</v>
      </c>
      <c r="B5731" s="138">
        <f>'Revenues 9-14'!G65</f>
        <v>335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99949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7588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7588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7588</v>
      </c>
      <c r="C5915" s="2" t="s">
        <v>594</v>
      </c>
      <c r="D5915" s="2" t="str">
        <f t="shared" si="91"/>
        <v>Error?</v>
      </c>
    </row>
    <row r="5916" spans="1:4" x14ac:dyDescent="0.2">
      <c r="A5916" s="5">
        <v>5855</v>
      </c>
      <c r="B5916" s="138">
        <f>'Revenues 9-14'!I5</f>
        <v>29484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29484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464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464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29948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38008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38008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38155</v>
      </c>
      <c r="C6023" s="2" t="s">
        <v>594</v>
      </c>
      <c r="D6023" s="2" t="str">
        <f t="shared" si="93"/>
        <v>Error?</v>
      </c>
    </row>
    <row r="6024" spans="1:5" x14ac:dyDescent="0.2">
      <c r="A6024" s="5">
        <v>5963</v>
      </c>
      <c r="B6024" s="138">
        <f>'Revenues 9-14'!G109</f>
        <v>99949</v>
      </c>
      <c r="C6024" s="2" t="s">
        <v>594</v>
      </c>
      <c r="D6024" s="2" t="str">
        <f t="shared" si="93"/>
        <v>Error?</v>
      </c>
    </row>
    <row r="6025" spans="1:5" x14ac:dyDescent="0.2">
      <c r="A6025" s="5">
        <v>5964</v>
      </c>
      <c r="B6025" s="138">
        <f>'Revenues 9-14'!H109</f>
        <v>7588</v>
      </c>
      <c r="C6025" s="2" t="s">
        <v>594</v>
      </c>
      <c r="D6025" s="2" t="str">
        <f t="shared" si="93"/>
        <v>Error?</v>
      </c>
    </row>
    <row r="6026" spans="1:5" x14ac:dyDescent="0.2">
      <c r="A6026" s="5">
        <v>5965</v>
      </c>
      <c r="B6026" s="138">
        <f>'Revenues 9-14'!I109</f>
        <v>29948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38155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18219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217.11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125189</v>
      </c>
      <c r="D6267" s="2" t="str">
        <f t="shared" si="96"/>
        <v>Error?</v>
      </c>
      <c r="E6267" s="2" t="s">
        <v>199</v>
      </c>
    </row>
    <row r="6268" spans="1:5" x14ac:dyDescent="0.2">
      <c r="A6268">
        <v>6207</v>
      </c>
      <c r="B6268" s="138">
        <f>'Acct Summary 7-8'!D82</f>
        <v>31254</v>
      </c>
      <c r="D6268" s="2" t="str">
        <f t="shared" si="96"/>
        <v>Error?</v>
      </c>
      <c r="E6268" s="2" t="s">
        <v>199</v>
      </c>
    </row>
    <row r="6269" spans="1:5" x14ac:dyDescent="0.2">
      <c r="A6269">
        <v>6208</v>
      </c>
      <c r="B6269" s="138">
        <f>'Acct Summary 7-8'!E82</f>
        <v>-38416</v>
      </c>
      <c r="D6269" s="2" t="str">
        <f t="shared" si="96"/>
        <v>Error?</v>
      </c>
      <c r="E6269" s="2" t="s">
        <v>199</v>
      </c>
    </row>
    <row r="6270" spans="1:5" x14ac:dyDescent="0.2">
      <c r="A6270">
        <v>6209</v>
      </c>
      <c r="B6270" s="138">
        <f>'Acct Summary 7-8'!F82</f>
        <v>39237</v>
      </c>
      <c r="D6270" s="2" t="str">
        <f t="shared" si="96"/>
        <v>Error?</v>
      </c>
      <c r="E6270" s="2" t="s">
        <v>199</v>
      </c>
    </row>
    <row r="6271" spans="1:5" x14ac:dyDescent="0.2">
      <c r="A6271">
        <v>6210</v>
      </c>
      <c r="B6271" s="138">
        <f>'Acct Summary 7-8'!G82</f>
        <v>16650</v>
      </c>
      <c r="D6271" s="2" t="str">
        <f t="shared" ref="D6271:D6334" si="97">IF(ISBLANK(B6271),"OK",IF(A6271-B6271=0,"OK","Error?"))</f>
        <v>Error?</v>
      </c>
      <c r="E6271" s="2" t="s">
        <v>199</v>
      </c>
    </row>
    <row r="6272" spans="1:5" x14ac:dyDescent="0.2">
      <c r="A6272">
        <v>6211</v>
      </c>
      <c r="B6272" s="138">
        <f>'Acct Summary 7-8'!H82</f>
        <v>-1357153</v>
      </c>
      <c r="D6272" s="2" t="str">
        <f t="shared" si="97"/>
        <v>Error?</v>
      </c>
      <c r="E6272" s="2" t="s">
        <v>199</v>
      </c>
    </row>
    <row r="6273" spans="1:5" x14ac:dyDescent="0.2">
      <c r="A6273">
        <v>6212</v>
      </c>
      <c r="B6273" s="138">
        <f>'Acct Summary 7-8'!I82</f>
        <v>29948</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23694</v>
      </c>
      <c r="D6275" s="2" t="str">
        <f t="shared" si="97"/>
        <v>Error?</v>
      </c>
      <c r="E6275" s="2" t="s">
        <v>199</v>
      </c>
    </row>
    <row r="6276" spans="1:5" x14ac:dyDescent="0.2">
      <c r="A6276">
        <v>6215</v>
      </c>
      <c r="B6276" s="138">
        <f>'Acct Summary 7-8'!C83</f>
        <v>5.4951465515803447E-2</v>
      </c>
      <c r="D6276" s="2" t="str">
        <f t="shared" si="97"/>
        <v>Error?</v>
      </c>
      <c r="E6276" s="2" t="s">
        <v>199</v>
      </c>
    </row>
    <row r="6277" spans="1:5" x14ac:dyDescent="0.2">
      <c r="A6277">
        <v>6216</v>
      </c>
      <c r="B6277" s="138">
        <f>'Acct Summary 7-8'!D83</f>
        <v>9.0850161474578292E-2</v>
      </c>
      <c r="D6277" s="2" t="str">
        <f t="shared" si="97"/>
        <v>Error?</v>
      </c>
      <c r="E6277" s="2" t="s">
        <v>199</v>
      </c>
    </row>
    <row r="6278" spans="1:5" x14ac:dyDescent="0.2">
      <c r="A6278">
        <v>6217</v>
      </c>
      <c r="B6278" s="138">
        <f>'Acct Summary 7-8'!E83</f>
        <v>-3.103570851510745</v>
      </c>
      <c r="D6278" s="2" t="str">
        <f t="shared" si="97"/>
        <v>Error?</v>
      </c>
      <c r="E6278" s="2" t="s">
        <v>199</v>
      </c>
    </row>
    <row r="6279" spans="1:5" x14ac:dyDescent="0.2">
      <c r="A6279">
        <v>6218</v>
      </c>
      <c r="B6279" s="138">
        <f>'Acct Summary 7-8'!F83</f>
        <v>0.12071957320337449</v>
      </c>
      <c r="D6279" s="2" t="str">
        <f t="shared" si="97"/>
        <v>Error?</v>
      </c>
      <c r="E6279" s="2" t="s">
        <v>199</v>
      </c>
    </row>
    <row r="6280" spans="1:5" x14ac:dyDescent="0.2">
      <c r="A6280">
        <v>6219</v>
      </c>
      <c r="B6280" s="138">
        <f>'Acct Summary 7-8'!G83</f>
        <v>0.12364381669525698</v>
      </c>
      <c r="D6280" s="2" t="str">
        <f t="shared" si="97"/>
        <v>Error?</v>
      </c>
      <c r="E6280" s="2" t="s">
        <v>199</v>
      </c>
    </row>
    <row r="6281" spans="1:5" x14ac:dyDescent="0.2">
      <c r="A6281">
        <v>6220</v>
      </c>
      <c r="B6281" s="138">
        <f>'Acct Summary 7-8'!H83</f>
        <v>-2.1150524261919013</v>
      </c>
      <c r="D6281" s="2" t="str">
        <f t="shared" si="97"/>
        <v>Error?</v>
      </c>
      <c r="E6281" s="2" t="s">
        <v>199</v>
      </c>
    </row>
    <row r="6282" spans="1:5" x14ac:dyDescent="0.2">
      <c r="A6282">
        <v>6221</v>
      </c>
      <c r="B6282" s="138">
        <f>'Acct Summary 7-8'!I83</f>
        <v>0.11139504175268278</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0.33301007715984315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54282</v>
      </c>
      <c r="D6880" s="2" t="str">
        <f t="shared" si="106"/>
        <v>Error?</v>
      </c>
    </row>
    <row r="6881" spans="1:4" x14ac:dyDescent="0.2">
      <c r="A6881">
        <v>6820</v>
      </c>
      <c r="B6881" s="138">
        <f>'Expenditures 15-22'!K22</f>
        <v>54282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68461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68461</v>
      </c>
      <c r="D6940" s="2" t="str">
        <f t="shared" si="107"/>
        <v>Error?</v>
      </c>
    </row>
    <row r="6941" spans="1:4" x14ac:dyDescent="0.2">
      <c r="A6941">
        <v>6880</v>
      </c>
      <c r="B6941" s="138">
        <f>'Expenditures 15-22'!L52</f>
        <v>70000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224006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14628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194476</v>
      </c>
      <c r="D7797" s="2" t="str">
        <f t="shared" si="127"/>
        <v>Error?</v>
      </c>
      <c r="E7797" s="4" t="s">
        <v>2020</v>
      </c>
    </row>
    <row r="7798" spans="1:5" x14ac:dyDescent="0.2">
      <c r="A7798">
        <v>7737</v>
      </c>
      <c r="B7798" s="138">
        <f>'Contracts Paid in CY 29'!F141</f>
        <v>100000</v>
      </c>
      <c r="D7798" s="2" t="str">
        <f t="shared" si="127"/>
        <v>Error?</v>
      </c>
      <c r="E7798" s="4" t="s">
        <v>2020</v>
      </c>
    </row>
    <row r="7799" spans="1:5" x14ac:dyDescent="0.2">
      <c r="A7799">
        <v>7738</v>
      </c>
      <c r="B7799" s="138">
        <f>'Contracts Paid in CY 29'!G141</f>
        <v>94476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2" t="str">
        <f>COVER!A17</f>
        <v>Rankin Community School District No. 98</v>
      </c>
      <c r="B7" s="2423"/>
      <c r="C7" s="2423"/>
      <c r="D7" s="2424"/>
      <c r="E7" s="2425">
        <f>COVER!A13</f>
        <v>53090098002</v>
      </c>
      <c r="F7" s="2426"/>
      <c r="G7" s="2432" t="str">
        <f>COVER!T23</f>
        <v>066-005027</v>
      </c>
      <c r="H7" s="2433"/>
      <c r="I7" s="2433"/>
      <c r="J7" s="2433"/>
      <c r="K7" s="2433"/>
      <c r="L7" s="2434"/>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5"/>
      <c r="B9" s="2436"/>
      <c r="C9" s="2436"/>
      <c r="D9" s="2436"/>
      <c r="E9" s="2436"/>
      <c r="F9" s="2437"/>
      <c r="G9" s="2406" t="str">
        <f>COVER!T13</f>
        <v>Gorenz and Associates, Ltd.</v>
      </c>
      <c r="H9" s="2438"/>
      <c r="I9" s="2438"/>
      <c r="J9" s="2438"/>
      <c r="K9" s="2438"/>
      <c r="L9" s="2439"/>
    </row>
    <row r="10" spans="1:29" ht="13.5" customHeight="1" x14ac:dyDescent="0.2">
      <c r="A10" s="2412" t="str">
        <f>COVER!A38</f>
        <v>Matt Gordon</v>
      </c>
      <c r="B10" s="2413"/>
      <c r="C10" s="2413"/>
      <c r="D10" s="2413"/>
      <c r="E10" s="2413"/>
      <c r="F10" s="2414"/>
      <c r="G10" s="2406" t="str">
        <f>COVER!T17</f>
        <v>4200 N Knoxville Ave</v>
      </c>
      <c r="H10" s="2407"/>
      <c r="I10" s="2407"/>
      <c r="J10" s="2407"/>
      <c r="K10" s="2407"/>
      <c r="L10" s="2408"/>
    </row>
    <row r="11" spans="1:29" ht="13.5" customHeight="1" x14ac:dyDescent="0.2">
      <c r="A11" s="1183" t="s">
        <v>1599</v>
      </c>
      <c r="B11" s="1184"/>
      <c r="C11" s="1185"/>
      <c r="D11" s="1190"/>
      <c r="E11" s="1185"/>
      <c r="F11" s="1189"/>
      <c r="G11" s="2406" t="str">
        <f>COVER!T19</f>
        <v>Peoria</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rrumbold@gorenzcpa.com</v>
      </c>
      <c r="J13" s="2419"/>
      <c r="K13" s="2419"/>
      <c r="L13" s="2420"/>
    </row>
    <row r="14" spans="1:29" ht="13.5" customHeight="1" x14ac:dyDescent="0.2">
      <c r="A14" s="2406" t="str">
        <f>COVER!A19</f>
        <v>13716 South 5th Street</v>
      </c>
      <c r="B14" s="2407"/>
      <c r="C14" s="2407"/>
      <c r="D14" s="2407"/>
      <c r="E14" s="2407"/>
      <c r="F14" s="2408"/>
      <c r="G14" s="1194" t="s">
        <v>1247</v>
      </c>
      <c r="H14" s="1192"/>
      <c r="I14" s="1192"/>
      <c r="J14" s="1192"/>
      <c r="K14" s="1192"/>
      <c r="L14" s="1193"/>
    </row>
    <row r="15" spans="1:29" ht="13.5" customHeight="1" x14ac:dyDescent="0.2">
      <c r="A15" s="2406" t="str">
        <f>COVER!A21</f>
        <v>Pekin</v>
      </c>
      <c r="B15" s="2407"/>
      <c r="C15" s="2407"/>
      <c r="D15" s="2407"/>
      <c r="E15" s="2407"/>
      <c r="F15" s="2408"/>
      <c r="G15" s="2403" t="str">
        <f>COVER!T15</f>
        <v>Russell J. Rumbold II, CPA</v>
      </c>
      <c r="H15" s="2404"/>
      <c r="I15" s="2404"/>
      <c r="J15" s="2404"/>
      <c r="K15" s="2404"/>
      <c r="L15" s="2405"/>
    </row>
    <row r="16" spans="1:29" ht="12.2" customHeight="1" x14ac:dyDescent="0.2">
      <c r="A16" s="2428">
        <f>COVER!A25</f>
        <v>61554</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4" t="s">
        <v>1246</v>
      </c>
      <c r="H17" s="1192"/>
      <c r="I17" s="1192"/>
      <c r="J17" s="1192"/>
      <c r="K17" s="1196" t="s">
        <v>1245</v>
      </c>
      <c r="L17" s="1189"/>
      <c r="M17" s="1182"/>
    </row>
    <row r="18" spans="1:13" ht="12.2" customHeight="1" x14ac:dyDescent="0.2">
      <c r="A18" s="2412"/>
      <c r="B18" s="2413"/>
      <c r="C18" s="2413"/>
      <c r="D18" s="2413"/>
      <c r="E18" s="2413"/>
      <c r="F18" s="2414"/>
      <c r="G18" s="2422" t="str">
        <f>COVER!T21</f>
        <v>309-685-7621</v>
      </c>
      <c r="H18" s="2423"/>
      <c r="I18" s="2423"/>
      <c r="J18" s="2423"/>
      <c r="K18" s="2422" t="str">
        <f>COVER!X21</f>
        <v>309-685-4758</v>
      </c>
      <c r="L18" s="242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4" t="str">
        <f>'Single Audit Cover'!A7</f>
        <v>Rankin Community School District No. 98</v>
      </c>
      <c r="B1" s="2421"/>
      <c r="C1" s="2421"/>
      <c r="D1" s="2421"/>
    </row>
    <row r="2" spans="1:11" s="1213" customFormat="1" ht="12.75" x14ac:dyDescent="0.2">
      <c r="A2" s="2445">
        <f>'Single Audit Cover'!E7</f>
        <v>53090098002</v>
      </c>
      <c r="B2" s="2446"/>
      <c r="C2" s="2446"/>
      <c r="D2" s="2446"/>
    </row>
    <row r="3" spans="1:11" s="1213" customFormat="1" ht="12.75" x14ac:dyDescent="0.2">
      <c r="A3" s="2444" t="s">
        <v>1593</v>
      </c>
      <c r="B3" s="2421"/>
      <c r="C3" s="2421"/>
      <c r="D3" s="2421"/>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8" t="str">
        <f>'Single Audit Cover'!A7</f>
        <v>Rankin Community School District No. 98</v>
      </c>
      <c r="B1" s="2448"/>
      <c r="C1" s="2448"/>
      <c r="D1" s="2448"/>
      <c r="E1" s="2448"/>
    </row>
    <row r="2" spans="1:5" x14ac:dyDescent="0.2">
      <c r="A2" s="2449">
        <f>'Single Audit Cover'!E7</f>
        <v>53090098002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58" t="s">
        <v>1305</v>
      </c>
    </row>
    <row r="10" spans="1:5" x14ac:dyDescent="0.2">
      <c r="A10" s="1259" t="s">
        <v>1304</v>
      </c>
      <c r="B10" s="1260" t="s">
        <v>1303</v>
      </c>
      <c r="C10" s="1260"/>
      <c r="D10" s="1261">
        <f>SUM('Acct Summary 7-8'!C7:K7)</f>
        <v>137940</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-6980</v>
      </c>
    </row>
    <row r="19" spans="1:4" ht="13.5" thickBot="1" x14ac:dyDescent="0.25">
      <c r="A19" s="1263" t="s">
        <v>1297</v>
      </c>
      <c r="D19" s="1264">
        <f>SUM(D10:D17)</f>
        <v>130960</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0"/>
      <c r="B24" s="2450"/>
      <c r="D24" s="1266"/>
    </row>
    <row r="25" spans="1:4" x14ac:dyDescent="0.2">
      <c r="A25" s="2447"/>
      <c r="B25" s="2447"/>
      <c r="D25" s="1266"/>
    </row>
    <row r="26" spans="1:4" x14ac:dyDescent="0.2">
      <c r="A26" s="2447"/>
      <c r="B26" s="2447"/>
      <c r="D26" s="1266"/>
    </row>
    <row r="27" spans="1:4" x14ac:dyDescent="0.2">
      <c r="A27" s="2447"/>
      <c r="B27" s="2447"/>
      <c r="D27" s="1266"/>
    </row>
    <row r="28" spans="1:4" x14ac:dyDescent="0.2">
      <c r="A28" s="2447"/>
      <c r="B28" s="2447"/>
      <c r="D28" s="1266"/>
    </row>
    <row r="29" spans="1:4" x14ac:dyDescent="0.2">
      <c r="A29" s="2447"/>
      <c r="B29" s="2447"/>
      <c r="D29" s="1266"/>
    </row>
    <row r="30" spans="1:4" x14ac:dyDescent="0.2">
      <c r="A30" s="2447"/>
      <c r="B30" s="2447"/>
      <c r="D30" s="1266"/>
    </row>
    <row r="32" spans="1:4" x14ac:dyDescent="0.2">
      <c r="A32" s="1258" t="s">
        <v>1295</v>
      </c>
      <c r="D32" s="1261">
        <f>SUM(D19:D30)</f>
        <v>130960</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7"/>
      <c r="B40" s="2447"/>
      <c r="D40" s="1266"/>
    </row>
    <row r="41" spans="1:4" x14ac:dyDescent="0.2">
      <c r="A41" s="2447"/>
      <c r="B41" s="2447"/>
      <c r="D41" s="1269"/>
    </row>
    <row r="42" spans="1:4" x14ac:dyDescent="0.2">
      <c r="A42" s="2447"/>
      <c r="B42" s="2447"/>
      <c r="D42" s="1269"/>
    </row>
    <row r="43" spans="1:4" x14ac:dyDescent="0.2">
      <c r="A43" s="2447"/>
      <c r="B43" s="2447"/>
      <c r="D43" s="1269"/>
    </row>
    <row r="44" spans="1:4" x14ac:dyDescent="0.2">
      <c r="A44" s="2447"/>
      <c r="B44" s="2447"/>
      <c r="D44" s="1269"/>
    </row>
    <row r="45" spans="1:4" x14ac:dyDescent="0.2">
      <c r="A45" s="2447"/>
      <c r="B45" s="2447"/>
      <c r="D45" s="1269"/>
    </row>
    <row r="47" spans="1:4" x14ac:dyDescent="0.2">
      <c r="B47" s="1270" t="s">
        <v>1289</v>
      </c>
      <c r="C47" s="1270"/>
      <c r="D47" s="1271">
        <f>SUM(D35:D45)</f>
        <v>0</v>
      </c>
    </row>
    <row r="49" spans="2:4" x14ac:dyDescent="0.2">
      <c r="B49" s="1270" t="s">
        <v>1288</v>
      </c>
      <c r="C49" s="1270"/>
      <c r="D49" s="1271">
        <f>D32-D47</f>
        <v>130960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Rankin Community School District No. 98</v>
      </c>
      <c r="B1" s="2461"/>
      <c r="C1" s="2461"/>
      <c r="D1" s="2461"/>
      <c r="E1" s="2461"/>
      <c r="F1" s="2461"/>
    </row>
    <row r="2" spans="1:7" ht="13.5" customHeight="1" x14ac:dyDescent="0.2">
      <c r="A2" s="2462">
        <f>'Single Audit Cover'!E7</f>
        <v>53090098002</v>
      </c>
      <c r="B2" s="2462"/>
      <c r="C2" s="2462"/>
      <c r="D2" s="2462"/>
      <c r="E2" s="2462"/>
      <c r="F2" s="2462"/>
      <c r="G2" s="1273"/>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4" t="s">
        <v>1831</v>
      </c>
      <c r="C6" s="317"/>
      <c r="D6" s="317"/>
    </row>
    <row r="7" spans="1:7" ht="60.95" customHeight="1" x14ac:dyDescent="0.2">
      <c r="A7" s="2460" t="s">
        <v>1832</v>
      </c>
      <c r="B7" s="2460"/>
      <c r="C7" s="2460"/>
      <c r="D7" s="2460"/>
      <c r="E7" s="2460"/>
      <c r="F7" s="246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60" t="s">
        <v>1834</v>
      </c>
      <c r="B13" s="2460"/>
      <c r="C13" s="2460"/>
      <c r="D13" s="2460"/>
      <c r="E13" s="2460"/>
      <c r="F13" s="2460"/>
    </row>
    <row r="14" spans="1:7" ht="9.75" customHeight="1" x14ac:dyDescent="0.2">
      <c r="C14" s="1258"/>
      <c r="D14" s="1258"/>
    </row>
    <row r="15" spans="1:7" ht="13.5" customHeight="1" x14ac:dyDescent="0.2">
      <c r="C15" s="1869" t="s">
        <v>1332</v>
      </c>
      <c r="D15" s="2458" t="s">
        <v>1331</v>
      </c>
      <c r="E15" s="2458"/>
      <c r="F15" s="2458"/>
    </row>
    <row r="16" spans="1:7" ht="13.5" customHeight="1" x14ac:dyDescent="0.2">
      <c r="A16" s="1280"/>
      <c r="B16" s="1274" t="s">
        <v>1330</v>
      </c>
      <c r="C16" s="1869" t="s">
        <v>1329</v>
      </c>
      <c r="D16" s="2459" t="s">
        <v>1670</v>
      </c>
      <c r="E16" s="2459"/>
      <c r="F16" s="2459"/>
    </row>
    <row r="17" spans="1:6" ht="20.45" customHeight="1" x14ac:dyDescent="0.2">
      <c r="A17" s="1281"/>
      <c r="B17" s="1282"/>
      <c r="C17" s="1283"/>
      <c r="D17" s="2453"/>
      <c r="E17" s="2453"/>
      <c r="F17" s="2453"/>
    </row>
    <row r="18" spans="1:6" ht="20.65" customHeight="1" x14ac:dyDescent="0.2">
      <c r="A18" s="1281"/>
      <c r="B18" s="1282"/>
      <c r="C18" s="1283"/>
      <c r="D18" s="2453"/>
      <c r="E18" s="2453"/>
      <c r="F18" s="2453"/>
    </row>
    <row r="19" spans="1:6" ht="20.65" customHeight="1" x14ac:dyDescent="0.2">
      <c r="A19" s="1281"/>
      <c r="B19" s="1282"/>
      <c r="C19" s="1283"/>
      <c r="D19" s="2453"/>
      <c r="E19" s="2453"/>
      <c r="F19" s="2453"/>
    </row>
    <row r="20" spans="1:6" ht="20.65" customHeight="1" x14ac:dyDescent="0.2">
      <c r="A20" s="1281"/>
      <c r="B20" s="1282"/>
      <c r="C20" s="1283"/>
      <c r="D20" s="2453"/>
      <c r="E20" s="2453"/>
      <c r="F20" s="2453"/>
    </row>
    <row r="21" spans="1:6" ht="20.65" customHeight="1" x14ac:dyDescent="0.2">
      <c r="A21" s="1281"/>
      <c r="B21" s="1282"/>
      <c r="C21" s="1283"/>
      <c r="D21" s="2453"/>
      <c r="E21" s="2453"/>
      <c r="F21" s="2453"/>
    </row>
    <row r="22" spans="1:6" ht="20.65" customHeight="1" x14ac:dyDescent="0.2">
      <c r="A22" s="1281"/>
      <c r="B22" s="1282"/>
      <c r="C22" s="1283"/>
      <c r="D22" s="2453"/>
      <c r="E22" s="2453"/>
      <c r="F22" s="2453"/>
    </row>
    <row r="23" spans="1:6" ht="20.65" customHeight="1" x14ac:dyDescent="0.2">
      <c r="A23" s="1281"/>
      <c r="B23" s="1282"/>
      <c r="C23" s="1283"/>
      <c r="D23" s="2453"/>
      <c r="E23" s="2453"/>
      <c r="F23" s="2453"/>
    </row>
    <row r="24" spans="1:6" ht="20.65" customHeight="1" x14ac:dyDescent="0.2">
      <c r="A24" s="1281"/>
      <c r="B24" s="1282"/>
      <c r="C24" s="1283"/>
      <c r="D24" s="2453"/>
      <c r="E24" s="2453"/>
      <c r="F24" s="2453"/>
    </row>
    <row r="25" spans="1:6" ht="20.65" customHeight="1" x14ac:dyDescent="0.2">
      <c r="A25" s="1281"/>
      <c r="B25" s="1282"/>
      <c r="C25" s="1283"/>
      <c r="D25" s="2453"/>
      <c r="E25" s="2453"/>
      <c r="F25" s="2453"/>
    </row>
    <row r="26" spans="1:6" ht="20.65" customHeight="1" x14ac:dyDescent="0.2">
      <c r="A26" s="1281"/>
      <c r="B26" s="1282"/>
      <c r="C26" s="1283"/>
      <c r="D26" s="2453"/>
      <c r="E26" s="2453"/>
      <c r="F26" s="2453"/>
    </row>
    <row r="27" spans="1:6" ht="20.65" customHeight="1" x14ac:dyDescent="0.2">
      <c r="A27" s="1281"/>
      <c r="B27" s="1282"/>
      <c r="C27" s="1283"/>
      <c r="D27" s="2453"/>
      <c r="E27" s="2453"/>
      <c r="F27" s="2453"/>
    </row>
    <row r="28" spans="1:6" ht="20.65" customHeight="1" x14ac:dyDescent="0.2">
      <c r="A28" s="1281"/>
      <c r="B28" s="1282"/>
      <c r="C28" s="1283"/>
      <c r="D28" s="2453"/>
      <c r="E28" s="2453"/>
      <c r="F28" s="2453"/>
    </row>
    <row r="29" spans="1:6" ht="20.65" customHeight="1" x14ac:dyDescent="0.2">
      <c r="A29" s="1281"/>
      <c r="B29" s="1282"/>
      <c r="C29" s="1283"/>
      <c r="D29" s="2453"/>
      <c r="E29" s="2453"/>
      <c r="F29" s="2453"/>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4" t="s">
        <v>1835</v>
      </c>
      <c r="B32" s="2454"/>
      <c r="C32" s="2454"/>
      <c r="D32" s="2454"/>
      <c r="E32" s="2454"/>
      <c r="F32" s="2454"/>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5">
        <f>+C33+C34</f>
        <v>0</v>
      </c>
      <c r="F34" s="2456"/>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7" t="s">
        <v>1672</v>
      </c>
      <c r="C49" s="2457"/>
      <c r="D49" s="2457"/>
      <c r="E49" s="1397"/>
    </row>
    <row r="50" spans="1:5" s="1298" customFormat="1" ht="3.75" customHeight="1" x14ac:dyDescent="0.2">
      <c r="A50" s="1297"/>
      <c r="B50" s="1868"/>
      <c r="C50" s="1868"/>
      <c r="D50" s="1868"/>
      <c r="E50" s="1397"/>
    </row>
    <row r="51" spans="1:5" s="1298" customFormat="1" ht="20.25" customHeight="1" x14ac:dyDescent="0.2">
      <c r="A51" s="1299">
        <v>6</v>
      </c>
      <c r="B51" s="2452" t="s">
        <v>1632</v>
      </c>
      <c r="C51" s="2452"/>
      <c r="D51" s="2452"/>
    </row>
    <row r="52" spans="1:5" ht="14.25" customHeight="1" x14ac:dyDescent="0.2">
      <c r="A52" s="1299"/>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1" t="str">
        <f>'Single Audit Cover'!A7</f>
        <v>Rankin Community School District No. 98</v>
      </c>
      <c r="C1" s="2465"/>
      <c r="D1" s="2465"/>
      <c r="E1" s="2465"/>
      <c r="F1" s="2465"/>
      <c r="G1" s="2465"/>
      <c r="H1" s="2465"/>
      <c r="I1" s="2465"/>
      <c r="J1" s="2465"/>
      <c r="K1" s="2465"/>
      <c r="L1" s="2465"/>
      <c r="M1" s="2465"/>
    </row>
    <row r="2" spans="2:14" ht="15" x14ac:dyDescent="0.2">
      <c r="B2" s="2462">
        <f>'Single Audit Cover'!E7</f>
        <v>53090098002</v>
      </c>
      <c r="C2" s="2462"/>
      <c r="D2" s="2462"/>
      <c r="E2" s="2462"/>
      <c r="F2" s="2462"/>
      <c r="G2" s="2462"/>
      <c r="H2" s="2462"/>
      <c r="I2" s="2462"/>
      <c r="J2" s="2462"/>
      <c r="K2" s="2462"/>
      <c r="L2" s="2462"/>
      <c r="M2" s="2462"/>
      <c r="N2" s="1300"/>
    </row>
    <row r="3" spans="2:14" ht="15" x14ac:dyDescent="0.2">
      <c r="B3" s="2466" t="s">
        <v>1281</v>
      </c>
      <c r="C3" s="2466"/>
      <c r="D3" s="2466"/>
      <c r="E3" s="2466"/>
      <c r="F3" s="2466"/>
      <c r="G3" s="2466"/>
      <c r="H3" s="2466"/>
      <c r="I3" s="2466"/>
      <c r="J3" s="2466"/>
      <c r="K3" s="2466"/>
      <c r="L3" s="2466"/>
      <c r="M3" s="2466"/>
      <c r="N3" s="1300"/>
    </row>
    <row r="4" spans="2:14" ht="15" x14ac:dyDescent="0.2">
      <c r="B4" s="2467" t="str">
        <f>'Single Audit Cover'!A4</f>
        <v>Year Ending June 30, 2018</v>
      </c>
      <c r="C4" s="2467"/>
      <c r="D4" s="2467"/>
      <c r="E4" s="2467"/>
      <c r="F4" s="2467"/>
      <c r="G4" s="2467"/>
      <c r="H4" s="2467"/>
      <c r="I4" s="2467"/>
      <c r="J4" s="2467"/>
      <c r="K4" s="2467"/>
      <c r="L4" s="2467"/>
      <c r="M4" s="246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2120</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2121</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2084</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2139</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Rankin Community School District No. 98</v>
      </c>
      <c r="C1" s="2480"/>
      <c r="D1" s="2480"/>
      <c r="E1" s="2480"/>
      <c r="F1" s="2480"/>
      <c r="G1" s="2480"/>
      <c r="H1" s="2480"/>
      <c r="I1" s="2480"/>
      <c r="J1" s="1420"/>
    </row>
    <row r="2" spans="2:10" s="317" customFormat="1" ht="12.75" customHeight="1" x14ac:dyDescent="0.2">
      <c r="B2" s="2481">
        <f>'Single Audit Cover'!E7</f>
        <v>53090098002</v>
      </c>
      <c r="C2" s="2482"/>
      <c r="D2" s="2482"/>
      <c r="E2" s="2482"/>
      <c r="F2" s="2482"/>
      <c r="G2" s="2482"/>
      <c r="H2" s="2482"/>
      <c r="I2" s="2482"/>
      <c r="J2" s="1420"/>
    </row>
    <row r="3" spans="2:10" s="317" customFormat="1" ht="12.75" customHeight="1" x14ac:dyDescent="0.2">
      <c r="B3" s="2483" t="s">
        <v>1347</v>
      </c>
      <c r="C3" s="2484"/>
      <c r="D3" s="2484"/>
      <c r="E3" s="2484"/>
      <c r="F3" s="2484"/>
      <c r="G3" s="2484"/>
      <c r="H3" s="2484"/>
      <c r="I3" s="2484"/>
      <c r="J3" s="1421"/>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3" t="s">
        <v>1346</v>
      </c>
      <c r="C7" s="2484"/>
      <c r="D7" s="2484"/>
      <c r="E7" s="2484"/>
      <c r="F7" s="2484"/>
      <c r="G7" s="2484"/>
      <c r="H7" s="2484"/>
      <c r="I7" s="248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5"/>
      <c r="D11" s="248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6"/>
      <c r="E29" s="2486"/>
      <c r="F29" s="2486"/>
      <c r="G29" s="2486"/>
      <c r="H29" s="2486"/>
      <c r="I29" s="248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7" t="s">
        <v>1854</v>
      </c>
      <c r="D37" s="2488"/>
      <c r="E37" s="2488"/>
      <c r="F37" s="2489"/>
      <c r="G37" s="2487" t="s">
        <v>1674</v>
      </c>
      <c r="H37" s="2488"/>
      <c r="I37" s="2489"/>
    </row>
    <row r="38" spans="2:9" ht="16.5" customHeight="1" x14ac:dyDescent="0.2">
      <c r="B38" s="1442"/>
      <c r="C38" s="2475"/>
      <c r="D38" s="2476"/>
      <c r="E38" s="2476"/>
      <c r="F38" s="2477"/>
      <c r="G38" s="2490"/>
      <c r="H38" s="2491"/>
      <c r="I38" s="2492"/>
    </row>
    <row r="39" spans="2:9" ht="16.5" customHeight="1" x14ac:dyDescent="0.2">
      <c r="B39" s="1442"/>
      <c r="C39" s="2475"/>
      <c r="D39" s="2476"/>
      <c r="E39" s="2476"/>
      <c r="F39" s="2477"/>
      <c r="G39" s="2478"/>
      <c r="H39" s="2478"/>
      <c r="I39" s="2478"/>
    </row>
    <row r="40" spans="2:9" ht="16.5" customHeight="1" x14ac:dyDescent="0.2">
      <c r="B40" s="1442"/>
      <c r="C40" s="2475"/>
      <c r="D40" s="2476"/>
      <c r="E40" s="2476"/>
      <c r="F40" s="2477"/>
      <c r="G40" s="2478"/>
      <c r="H40" s="2478"/>
      <c r="I40" s="2478"/>
    </row>
    <row r="41" spans="2:9" ht="16.5" customHeight="1" x14ac:dyDescent="0.2">
      <c r="B41" s="1442"/>
      <c r="C41" s="2475"/>
      <c r="D41" s="2476"/>
      <c r="E41" s="2476"/>
      <c r="F41" s="2477"/>
      <c r="G41" s="2478"/>
      <c r="H41" s="2478"/>
      <c r="I41" s="2478"/>
    </row>
    <row r="42" spans="2:9" ht="16.5" customHeight="1" x14ac:dyDescent="0.2">
      <c r="B42" s="1442"/>
      <c r="C42" s="2475"/>
      <c r="D42" s="2476"/>
      <c r="E42" s="2476"/>
      <c r="F42" s="2477"/>
      <c r="G42" s="2478"/>
      <c r="H42" s="2478"/>
      <c r="I42" s="2478"/>
    </row>
    <row r="43" spans="2:9" ht="16.5" customHeight="1" x14ac:dyDescent="0.2">
      <c r="B43" s="1442"/>
      <c r="C43" s="2468" t="s">
        <v>1675</v>
      </c>
      <c r="D43" s="2469"/>
      <c r="E43" s="2469"/>
      <c r="F43" s="2470"/>
      <c r="G43" s="2471">
        <f>SUM(G38:I42)</f>
        <v>0</v>
      </c>
      <c r="H43" s="2471"/>
      <c r="I43" s="2471"/>
    </row>
    <row r="44" spans="2:9" ht="12.75" customHeight="1" x14ac:dyDescent="0.2"/>
    <row r="45" spans="2:9" ht="12.75" customHeight="1" x14ac:dyDescent="0.2">
      <c r="B45" s="1433" t="s">
        <v>1952</v>
      </c>
      <c r="D45" s="2472">
        <v>0</v>
      </c>
      <c r="E45" s="2473"/>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4"/>
      <c r="F49" s="2474"/>
      <c r="G49" s="2474"/>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Rankin Community School District No. 98</v>
      </c>
      <c r="C1" s="2479"/>
      <c r="D1" s="2479"/>
      <c r="E1" s="2479"/>
      <c r="F1" s="2479"/>
      <c r="G1" s="2479"/>
      <c r="H1" s="2479"/>
      <c r="I1" s="2479"/>
      <c r="J1" s="2479"/>
      <c r="K1" s="2479"/>
      <c r="L1" s="1372"/>
      <c r="M1" s="1372"/>
    </row>
    <row r="2" spans="1:13" ht="12" customHeight="1" x14ac:dyDescent="0.2">
      <c r="B2" s="2481">
        <f>'Single Audit Cover'!E7</f>
        <v>53090098002</v>
      </c>
      <c r="C2" s="2481"/>
      <c r="D2" s="2481"/>
      <c r="E2" s="2481"/>
      <c r="F2" s="2481"/>
      <c r="G2" s="2481"/>
      <c r="H2" s="2481"/>
      <c r="I2" s="2481"/>
      <c r="J2" s="2481"/>
      <c r="K2" s="2481"/>
      <c r="L2" s="1373"/>
      <c r="M2" s="1374"/>
    </row>
    <row r="3" spans="1:13" ht="10.35" customHeight="1" x14ac:dyDescent="0.2">
      <c r="B3" s="2495" t="s">
        <v>1347</v>
      </c>
      <c r="C3" s="2495"/>
      <c r="D3" s="2495"/>
      <c r="E3" s="2495"/>
      <c r="F3" s="2495"/>
      <c r="G3" s="2495"/>
      <c r="H3" s="2495"/>
      <c r="I3" s="2495"/>
      <c r="J3" s="2495"/>
      <c r="K3" s="2495"/>
      <c r="L3" s="1375"/>
      <c r="M3" s="1375"/>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6" t="s">
        <v>1363</v>
      </c>
      <c r="C7" s="2496"/>
      <c r="D7" s="2497"/>
      <c r="E7" s="2497"/>
      <c r="F7" s="2497"/>
      <c r="G7" s="2497"/>
      <c r="H7" s="2497"/>
      <c r="I7" s="2497"/>
      <c r="J7" s="2497"/>
      <c r="K7" s="249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4"/>
      <c r="C14" s="2494"/>
      <c r="D14" s="2494"/>
      <c r="E14" s="2494"/>
      <c r="F14" s="2494"/>
      <c r="G14" s="2494"/>
      <c r="H14" s="2494"/>
      <c r="I14" s="2494"/>
      <c r="J14" s="2494"/>
      <c r="K14" s="249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4"/>
      <c r="C17" s="2494"/>
      <c r="D17" s="2494"/>
      <c r="E17" s="2494"/>
      <c r="F17" s="2494"/>
      <c r="G17" s="2494"/>
      <c r="H17" s="2494"/>
      <c r="I17" s="2494"/>
      <c r="J17" s="2494"/>
      <c r="K17" s="2494"/>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8"/>
      <c r="C20" s="2498"/>
      <c r="D20" s="2494"/>
      <c r="E20" s="2494"/>
      <c r="F20" s="2494"/>
      <c r="G20" s="2494"/>
      <c r="H20" s="2494"/>
      <c r="I20" s="2494"/>
      <c r="J20" s="2494"/>
      <c r="K20" s="249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4"/>
      <c r="C23" s="2494"/>
      <c r="D23" s="2494"/>
      <c r="E23" s="2494"/>
      <c r="F23" s="2494"/>
      <c r="G23" s="2494"/>
      <c r="H23" s="2494"/>
      <c r="I23" s="2494"/>
      <c r="J23" s="2494"/>
      <c r="K23" s="249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4"/>
      <c r="C26" s="2494"/>
      <c r="D26" s="2494"/>
      <c r="E26" s="2494"/>
      <c r="F26" s="2494"/>
      <c r="G26" s="2494"/>
      <c r="H26" s="2494"/>
      <c r="I26" s="2494"/>
      <c r="J26" s="2494"/>
      <c r="K26" s="249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c r="C29" s="2493"/>
      <c r="D29" s="2494"/>
      <c r="E29" s="2494"/>
      <c r="F29" s="2494"/>
      <c r="G29" s="2494"/>
      <c r="H29" s="2494"/>
      <c r="I29" s="2494"/>
      <c r="J29" s="2494"/>
      <c r="K29" s="249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3"/>
      <c r="C32" s="2493"/>
      <c r="D32" s="2494"/>
      <c r="E32" s="2494"/>
      <c r="F32" s="2494"/>
      <c r="G32" s="2494"/>
      <c r="H32" s="2494"/>
      <c r="I32" s="2494"/>
      <c r="J32" s="2494"/>
      <c r="K32" s="249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Rankin Community School District No. 98</v>
      </c>
      <c r="C1" s="2479"/>
      <c r="D1" s="2479"/>
      <c r="E1" s="2479"/>
      <c r="F1" s="2479"/>
      <c r="G1" s="2479"/>
      <c r="H1" s="2479"/>
      <c r="I1" s="2479"/>
      <c r="J1" s="2479"/>
      <c r="K1" s="2479"/>
      <c r="L1" s="1372"/>
      <c r="M1" s="1372"/>
    </row>
    <row r="2" spans="1:13" ht="12" customHeight="1" x14ac:dyDescent="0.2">
      <c r="B2" s="2481">
        <f>'Single Audit Cover'!E7</f>
        <v>53090098002</v>
      </c>
      <c r="C2" s="2481"/>
      <c r="D2" s="2481"/>
      <c r="E2" s="2481"/>
      <c r="F2" s="2481"/>
      <c r="G2" s="2481"/>
      <c r="H2" s="2481"/>
      <c r="I2" s="2481"/>
      <c r="J2" s="2481"/>
      <c r="K2" s="2481"/>
      <c r="L2" s="1373"/>
      <c r="M2" s="1374"/>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6" t="s">
        <v>1363</v>
      </c>
      <c r="C7" s="2496"/>
      <c r="D7" s="2497"/>
      <c r="E7" s="2497"/>
      <c r="F7" s="2497"/>
      <c r="G7" s="2497"/>
      <c r="H7" s="2497"/>
      <c r="I7" s="2497"/>
      <c r="J7" s="2497"/>
      <c r="K7" s="249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2092</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2.5" customHeight="1" x14ac:dyDescent="0.2">
      <c r="B14" s="2494" t="s">
        <v>2113</v>
      </c>
      <c r="C14" s="2494"/>
      <c r="D14" s="2494"/>
      <c r="E14" s="2494"/>
      <c r="F14" s="2494"/>
      <c r="G14" s="2494"/>
      <c r="H14" s="2494"/>
      <c r="I14" s="2494"/>
      <c r="J14" s="2494"/>
      <c r="K14" s="249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4" t="s">
        <v>2114</v>
      </c>
      <c r="C17" s="2494"/>
      <c r="D17" s="2494"/>
      <c r="E17" s="2494"/>
      <c r="F17" s="2494"/>
      <c r="G17" s="2494"/>
      <c r="H17" s="2494"/>
      <c r="I17" s="2494"/>
      <c r="J17" s="2494"/>
      <c r="K17" s="2494"/>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8" t="s">
        <v>2115</v>
      </c>
      <c r="C20" s="2498"/>
      <c r="D20" s="2494"/>
      <c r="E20" s="2494"/>
      <c r="F20" s="2494"/>
      <c r="G20" s="2494"/>
      <c r="H20" s="2494"/>
      <c r="I20" s="2494"/>
      <c r="J20" s="2494"/>
      <c r="K20" s="249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4" t="s">
        <v>2116</v>
      </c>
      <c r="C23" s="2494"/>
      <c r="D23" s="2494"/>
      <c r="E23" s="2494"/>
      <c r="F23" s="2494"/>
      <c r="G23" s="2494"/>
      <c r="H23" s="2494"/>
      <c r="I23" s="2494"/>
      <c r="J23" s="2494"/>
      <c r="K23" s="249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4" t="s">
        <v>2117</v>
      </c>
      <c r="C26" s="2494"/>
      <c r="D26" s="2494"/>
      <c r="E26" s="2494"/>
      <c r="F26" s="2494"/>
      <c r="G26" s="2494"/>
      <c r="H26" s="2494"/>
      <c r="I26" s="2494"/>
      <c r="J26" s="2494"/>
      <c r="K26" s="249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2118</v>
      </c>
      <c r="C29" s="2493"/>
      <c r="D29" s="2494"/>
      <c r="E29" s="2494"/>
      <c r="F29" s="2494"/>
      <c r="G29" s="2494"/>
      <c r="H29" s="2494"/>
      <c r="I29" s="2494"/>
      <c r="J29" s="2494"/>
      <c r="K29" s="249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3" t="s">
        <v>2119</v>
      </c>
      <c r="C32" s="2493"/>
      <c r="D32" s="2494"/>
      <c r="E32" s="2494"/>
      <c r="F32" s="2494"/>
      <c r="G32" s="2494"/>
      <c r="H32" s="2494"/>
      <c r="I32" s="2494"/>
      <c r="J32" s="2494"/>
      <c r="K32" s="249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Rankin Community School District No. 98</v>
      </c>
      <c r="C1" s="2479"/>
      <c r="D1" s="2479"/>
      <c r="E1" s="2479"/>
      <c r="F1" s="2479"/>
      <c r="G1" s="2479"/>
      <c r="H1" s="2479"/>
      <c r="I1" s="2479"/>
      <c r="J1" s="2479"/>
      <c r="K1" s="2479"/>
      <c r="L1" s="1372"/>
      <c r="M1" s="1372"/>
    </row>
    <row r="2" spans="1:13" ht="12" customHeight="1" x14ac:dyDescent="0.2">
      <c r="B2" s="2481">
        <f>'Single Audit Cover'!E7</f>
        <v>53090098002</v>
      </c>
      <c r="C2" s="2481"/>
      <c r="D2" s="2481"/>
      <c r="E2" s="2481"/>
      <c r="F2" s="2481"/>
      <c r="G2" s="2481"/>
      <c r="H2" s="2481"/>
      <c r="I2" s="2481"/>
      <c r="J2" s="2481"/>
      <c r="K2" s="2481"/>
      <c r="L2" s="1373"/>
      <c r="M2" s="1374"/>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6" t="s">
        <v>1363</v>
      </c>
      <c r="C7" s="2496"/>
      <c r="D7" s="2497"/>
      <c r="E7" s="2497"/>
      <c r="F7" s="2497"/>
      <c r="G7" s="2497"/>
      <c r="H7" s="2497"/>
      <c r="I7" s="2497"/>
      <c r="J7" s="2497"/>
      <c r="K7" s="249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2</v>
      </c>
      <c r="E10" s="322"/>
      <c r="F10" s="1385" t="s">
        <v>1362</v>
      </c>
      <c r="G10" s="1386"/>
      <c r="H10" s="1387" t="s">
        <v>1361</v>
      </c>
      <c r="I10" s="1386" t="s">
        <v>2092</v>
      </c>
      <c r="J10" s="1388" t="s">
        <v>1360</v>
      </c>
      <c r="K10" s="322"/>
      <c r="L10" s="1379"/>
    </row>
    <row r="11" spans="1:13" ht="13.5" customHeight="1" x14ac:dyDescent="0.2">
      <c r="B11" s="322"/>
      <c r="C11" s="322"/>
      <c r="D11" s="322"/>
      <c r="E11" s="322"/>
      <c r="F11" s="322"/>
      <c r="G11" s="1381"/>
      <c r="H11" s="322"/>
      <c r="I11" s="1389" t="s">
        <v>1359</v>
      </c>
      <c r="J11" s="322"/>
      <c r="K11" s="1390">
        <v>2008</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4" t="s">
        <v>2106</v>
      </c>
      <c r="C14" s="2494"/>
      <c r="D14" s="2494"/>
      <c r="E14" s="2494"/>
      <c r="F14" s="2494"/>
      <c r="G14" s="2494"/>
      <c r="H14" s="2494"/>
      <c r="I14" s="2494"/>
      <c r="J14" s="2494"/>
      <c r="K14" s="249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85.5" customHeight="1" x14ac:dyDescent="0.2">
      <c r="B17" s="2494" t="s">
        <v>2107</v>
      </c>
      <c r="C17" s="2494"/>
      <c r="D17" s="2494"/>
      <c r="E17" s="2494"/>
      <c r="F17" s="2494"/>
      <c r="G17" s="2494"/>
      <c r="H17" s="2494"/>
      <c r="I17" s="2494"/>
      <c r="J17" s="2494"/>
      <c r="K17" s="2494"/>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8" t="s">
        <v>2108</v>
      </c>
      <c r="C20" s="2498"/>
      <c r="D20" s="2494"/>
      <c r="E20" s="2494"/>
      <c r="F20" s="2494"/>
      <c r="G20" s="2494"/>
      <c r="H20" s="2494"/>
      <c r="I20" s="2494"/>
      <c r="J20" s="2494"/>
      <c r="K20" s="249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4" t="s">
        <v>2109</v>
      </c>
      <c r="C23" s="2494"/>
      <c r="D23" s="2494"/>
      <c r="E23" s="2494"/>
      <c r="F23" s="2494"/>
      <c r="G23" s="2494"/>
      <c r="H23" s="2494"/>
      <c r="I23" s="2494"/>
      <c r="J23" s="2494"/>
      <c r="K23" s="249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4" t="s">
        <v>2110</v>
      </c>
      <c r="C26" s="2494"/>
      <c r="D26" s="2494"/>
      <c r="E26" s="2494"/>
      <c r="F26" s="2494"/>
      <c r="G26" s="2494"/>
      <c r="H26" s="2494"/>
      <c r="I26" s="2494"/>
      <c r="J26" s="2494"/>
      <c r="K26" s="249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32.25" customHeight="1" x14ac:dyDescent="0.2">
      <c r="B29" s="2493" t="s">
        <v>2111</v>
      </c>
      <c r="C29" s="2493"/>
      <c r="D29" s="2494"/>
      <c r="E29" s="2494"/>
      <c r="F29" s="2494"/>
      <c r="G29" s="2494"/>
      <c r="H29" s="2494"/>
      <c r="I29" s="2494"/>
      <c r="J29" s="2494"/>
      <c r="K29" s="249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54" customHeight="1" x14ac:dyDescent="0.2">
      <c r="B32" s="2493" t="s">
        <v>2112</v>
      </c>
      <c r="C32" s="2493"/>
      <c r="D32" s="2494"/>
      <c r="E32" s="2494"/>
      <c r="F32" s="2494"/>
      <c r="G32" s="2494"/>
      <c r="H32" s="2494"/>
      <c r="I32" s="2494"/>
      <c r="J32" s="2494"/>
      <c r="K32" s="249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Rankin Community School District No. 98</v>
      </c>
      <c r="C1" s="2502"/>
      <c r="D1" s="2502"/>
      <c r="E1" s="2502"/>
      <c r="F1" s="2502"/>
      <c r="G1" s="2502"/>
      <c r="H1" s="2502"/>
      <c r="I1" s="2502"/>
      <c r="J1" s="2502"/>
      <c r="K1" s="2502"/>
      <c r="L1" s="1463"/>
    </row>
    <row r="2" spans="1:12" ht="12.75" customHeight="1" x14ac:dyDescent="0.2">
      <c r="B2" s="2503">
        <f>'Single Audit Cover'!E7</f>
        <v>53090098002</v>
      </c>
      <c r="C2" s="2503"/>
      <c r="D2" s="2503"/>
      <c r="E2" s="2503"/>
      <c r="F2" s="2503"/>
      <c r="G2" s="2503"/>
      <c r="H2" s="2503"/>
      <c r="I2" s="2503"/>
      <c r="J2" s="2503"/>
      <c r="K2" s="2503"/>
      <c r="L2" s="1464"/>
    </row>
    <row r="3" spans="1:12" ht="12.75" customHeight="1" x14ac:dyDescent="0.2">
      <c r="B3" s="2495" t="s">
        <v>1347</v>
      </c>
      <c r="C3" s="2495"/>
      <c r="D3" s="2495"/>
      <c r="E3" s="2495"/>
      <c r="F3" s="2495"/>
      <c r="G3" s="2495"/>
      <c r="H3" s="2495"/>
      <c r="I3" s="2495"/>
      <c r="J3" s="2495"/>
      <c r="K3" s="2495"/>
      <c r="L3" s="1375"/>
    </row>
    <row r="4" spans="1:12" ht="12.75" customHeight="1" x14ac:dyDescent="0.2">
      <c r="B4" s="2495" t="str">
        <f>'Single Audit Cover'!A4</f>
        <v>Year Ending June 30, 2018</v>
      </c>
      <c r="C4" s="2495"/>
      <c r="D4" s="2495"/>
      <c r="E4" s="2495"/>
      <c r="F4" s="2495"/>
      <c r="G4" s="2495"/>
      <c r="H4" s="2495"/>
      <c r="I4" s="2495"/>
      <c r="J4" s="2495"/>
      <c r="K4" s="2495"/>
      <c r="L4" s="1375"/>
    </row>
    <row r="5" spans="1:12" ht="5.25" customHeight="1" x14ac:dyDescent="0.2">
      <c r="B5" s="1258" t="s">
        <v>1231</v>
      </c>
      <c r="C5" s="1258"/>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6"/>
      <c r="G12" s="2486"/>
      <c r="H12" s="2486"/>
      <c r="I12" s="2486"/>
      <c r="J12" s="2486"/>
      <c r="K12" s="248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9"/>
      <c r="E14" s="2499"/>
      <c r="F14" s="2499"/>
      <c r="H14" s="1473" t="s">
        <v>1370</v>
      </c>
      <c r="I14" s="2500"/>
      <c r="J14" s="2500"/>
      <c r="K14" s="2500"/>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0"/>
      <c r="E16" s="2500"/>
      <c r="F16" s="2500"/>
      <c r="G16" s="2500"/>
      <c r="H16" s="2500"/>
      <c r="I16" s="2500"/>
      <c r="J16" s="2500"/>
      <c r="K16" s="2500"/>
      <c r="L16" s="322"/>
    </row>
    <row r="17" spans="2:12" ht="13.5" customHeight="1" x14ac:dyDescent="0.2">
      <c r="B17" s="1385" t="s">
        <v>1368</v>
      </c>
      <c r="C17" s="1385"/>
      <c r="D17" s="2501"/>
      <c r="E17" s="2501"/>
      <c r="F17" s="2501"/>
      <c r="G17" s="2501"/>
      <c r="H17" s="2501"/>
      <c r="I17" s="2501"/>
      <c r="J17" s="2501"/>
      <c r="K17" s="250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4"/>
      <c r="C20" s="2494"/>
      <c r="D20" s="2494"/>
      <c r="E20" s="2494"/>
      <c r="F20" s="2494"/>
      <c r="G20" s="2494"/>
      <c r="H20" s="2494"/>
      <c r="I20" s="2494"/>
      <c r="J20" s="2494"/>
      <c r="K20" s="2494"/>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9" t="str">
        <f>'Single Audit Cover'!A7</f>
        <v>Rankin Community School District No. 98</v>
      </c>
      <c r="C1" s="2479"/>
      <c r="D1" s="2479"/>
      <c r="E1" s="1489"/>
    </row>
    <row r="2" spans="2:5" s="1280" customFormat="1" ht="12.75" customHeight="1" x14ac:dyDescent="0.2">
      <c r="B2" s="2481">
        <f>'Single Audit Cover'!E7</f>
        <v>53090098002</v>
      </c>
      <c r="C2" s="2481"/>
      <c r="D2" s="2481"/>
      <c r="E2" s="1490"/>
    </row>
    <row r="3" spans="2:5" ht="12.75" customHeight="1" x14ac:dyDescent="0.2">
      <c r="B3" s="2495" t="s">
        <v>1869</v>
      </c>
      <c r="C3" s="2495"/>
      <c r="D3" s="2495"/>
      <c r="E3" s="1272"/>
    </row>
    <row r="4" spans="2:5" s="1280" customFormat="1" ht="12.75" customHeight="1" x14ac:dyDescent="0.2">
      <c r="B4" s="2505" t="str">
        <f>'Single Audit Cover'!A4</f>
        <v>Year Ending June 30, 2018</v>
      </c>
      <c r="C4" s="2505"/>
      <c r="D4" s="2505"/>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954" t="s">
        <v>2102</v>
      </c>
      <c r="C7" s="1955" t="s">
        <v>2100</v>
      </c>
      <c r="D7" s="1955" t="s">
        <v>2104</v>
      </c>
      <c r="E7" s="324"/>
    </row>
    <row r="8" spans="2:5" ht="13.5" customHeight="1" x14ac:dyDescent="0.2">
      <c r="B8" s="1954" t="s">
        <v>2101</v>
      </c>
      <c r="C8" s="1955" t="s">
        <v>2103</v>
      </c>
      <c r="D8" s="1955" t="s">
        <v>2105</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62306808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2.65355E-2</v>
      </c>
      <c r="E10" s="356" t="s">
        <v>1062</v>
      </c>
      <c r="F10" s="355">
        <v>3.2561999999999999E-3</v>
      </c>
      <c r="G10" s="356" t="s">
        <v>1062</v>
      </c>
      <c r="H10" s="355">
        <v>1.8724E-3</v>
      </c>
      <c r="I10" s="356" t="s">
        <v>1063</v>
      </c>
      <c r="J10" s="1752">
        <f>ROUND(D10+F10+H10,5)</f>
        <v>3.1660000000000001E-2</v>
      </c>
      <c r="K10" s="222"/>
      <c r="L10" s="355">
        <v>4.9169999999999997E-4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2947166</v>
      </c>
      <c r="E16" s="356"/>
      <c r="F16" s="1753">
        <f>SUM('Acct Summary 7-8'!C17,'Acct Summary 7-8'!D17,'Acct Summary 7-8'!F17)</f>
        <v>2724826</v>
      </c>
      <c r="G16" s="356"/>
      <c r="H16" s="1753">
        <f>SUM(D16-F16)</f>
        <v>222340</v>
      </c>
      <c r="I16" s="222"/>
      <c r="J16" s="1753">
        <f>SUM('Acct Summary 7-8'!C81,'Acct Summary 7-8'!D81,'Acct Summary 7-8'!F81,'Acct Summary 7-8'!I81)</f>
        <v>3216062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4299169.7520000003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3466000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Rankin Community School District No. 98</v>
      </c>
      <c r="E7" s="391"/>
      <c r="G7" s="252"/>
      <c r="H7" s="387"/>
      <c r="I7" s="387"/>
      <c r="J7" s="387"/>
      <c r="K7" s="387"/>
      <c r="L7" s="329"/>
      <c r="M7" s="329"/>
      <c r="N7" s="329"/>
      <c r="O7" s="329"/>
      <c r="P7" s="329"/>
    </row>
    <row r="8" spans="1:18" ht="12.75" x14ac:dyDescent="0.2">
      <c r="A8" s="329"/>
      <c r="B8" s="329"/>
      <c r="C8" s="389" t="s">
        <v>1187</v>
      </c>
      <c r="D8" s="392">
        <f>COVER!A13</f>
        <v>53090098002</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3216062</v>
      </c>
      <c r="I12" s="404"/>
      <c r="J12" s="404"/>
      <c r="K12" s="405">
        <f>TRUNC((H12/H13*100000),5)/100000</f>
        <v>1.0912388374999999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2947166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2724826</v>
      </c>
      <c r="I17" s="404"/>
      <c r="J17" s="416"/>
      <c r="K17" s="405">
        <f>TRUNC((H17/H18*100000),5)/100000</f>
        <v>0.92455803299999995</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2947166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3216086</v>
      </c>
      <c r="I24" s="422"/>
      <c r="J24" s="422"/>
      <c r="K24" s="423">
        <f>TRUNC(((H24/H25*100000)/100000),2)</f>
        <v>424.9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7568.9611100000002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1676738.51009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3466000</v>
      </c>
      <c r="I32" s="420"/>
      <c r="J32" s="420"/>
      <c r="K32" s="423">
        <f>TRUNC(100-((((H32/H33*100))*100)/100),2)</f>
        <v>19.37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4299169.7520000003</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79"/>
      <c r="D3" s="1580"/>
      <c r="E3" s="1580"/>
      <c r="F3" s="1580"/>
      <c r="G3" s="1580"/>
      <c r="H3" s="1580"/>
      <c r="I3" s="1580"/>
      <c r="J3" s="1580"/>
      <c r="K3" s="1580"/>
      <c r="L3" s="1580"/>
      <c r="M3" s="1581"/>
      <c r="N3" s="1582"/>
    </row>
    <row r="4" spans="1:14" ht="13.5" customHeight="1" x14ac:dyDescent="0.2">
      <c r="A4" s="463" t="s">
        <v>1750</v>
      </c>
      <c r="B4" s="464"/>
      <c r="C4" s="465">
        <v>942772</v>
      </c>
      <c r="D4" s="465">
        <v>344017</v>
      </c>
      <c r="E4" s="466">
        <v>12378</v>
      </c>
      <c r="F4" s="466">
        <v>325026</v>
      </c>
      <c r="G4" s="466">
        <v>134661</v>
      </c>
      <c r="H4" s="466">
        <v>342983</v>
      </c>
      <c r="I4" s="466">
        <v>268845</v>
      </c>
      <c r="J4" s="467">
        <v>0</v>
      </c>
      <c r="K4" s="466">
        <v>71151</v>
      </c>
      <c r="L4" s="466">
        <v>10708</v>
      </c>
      <c r="M4" s="468"/>
      <c r="N4" s="469"/>
    </row>
    <row r="5" spans="1:14" x14ac:dyDescent="0.2">
      <c r="A5" s="463" t="s">
        <v>1049</v>
      </c>
      <c r="B5" s="470">
        <v>120</v>
      </c>
      <c r="C5" s="465">
        <v>1335426</v>
      </c>
      <c r="D5" s="466">
        <v>0</v>
      </c>
      <c r="E5" s="466">
        <v>0</v>
      </c>
      <c r="F5" s="466">
        <v>0</v>
      </c>
      <c r="G5" s="466">
        <v>0</v>
      </c>
      <c r="H5" s="466">
        <v>298681</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2278198</v>
      </c>
      <c r="D13" s="1757">
        <f t="shared" ref="D13:L13" si="0">SUM(D4:D12)</f>
        <v>344017</v>
      </c>
      <c r="E13" s="1757">
        <f t="shared" si="0"/>
        <v>12378</v>
      </c>
      <c r="F13" s="1757">
        <f t="shared" si="0"/>
        <v>325026</v>
      </c>
      <c r="G13" s="1757">
        <f t="shared" si="0"/>
        <v>134661</v>
      </c>
      <c r="H13" s="1757">
        <f t="shared" si="0"/>
        <v>641664</v>
      </c>
      <c r="I13" s="1757">
        <f t="shared" si="0"/>
        <v>268845</v>
      </c>
      <c r="J13" s="1757">
        <f t="shared" si="0"/>
        <v>0</v>
      </c>
      <c r="K13" s="1757">
        <f t="shared" si="0"/>
        <v>71151</v>
      </c>
      <c r="L13" s="1757">
        <f t="shared" si="0"/>
        <v>10708</v>
      </c>
      <c r="M13" s="468"/>
      <c r="N13" s="469"/>
    </row>
    <row r="14" spans="1:14" ht="18" customHeight="1" thickTop="1" x14ac:dyDescent="0.2">
      <c r="A14" s="2129" t="s">
        <v>149</v>
      </c>
      <c r="B14" s="2130"/>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125600</v>
      </c>
      <c r="N16" s="483"/>
    </row>
    <row r="17" spans="1:14" s="484" customFormat="1" ht="12.75" customHeight="1" x14ac:dyDescent="0.2">
      <c r="A17" s="481" t="s">
        <v>1470</v>
      </c>
      <c r="B17" s="482">
        <v>230</v>
      </c>
      <c r="C17" s="476"/>
      <c r="D17" s="476"/>
      <c r="E17" s="476"/>
      <c r="F17" s="476"/>
      <c r="G17" s="476"/>
      <c r="H17" s="476"/>
      <c r="I17" s="476"/>
      <c r="J17" s="476"/>
      <c r="K17" s="476"/>
      <c r="L17" s="476"/>
      <c r="M17" s="467">
        <v>7593698</v>
      </c>
      <c r="N17" s="483"/>
    </row>
    <row r="18" spans="1:14" s="484" customFormat="1" ht="12.75" customHeight="1" x14ac:dyDescent="0.2">
      <c r="A18" s="481" t="s">
        <v>1471</v>
      </c>
      <c r="B18" s="482">
        <v>240</v>
      </c>
      <c r="C18" s="476"/>
      <c r="D18" s="476"/>
      <c r="E18" s="476"/>
      <c r="F18" s="476"/>
      <c r="G18" s="476"/>
      <c r="H18" s="476"/>
      <c r="I18" s="476"/>
      <c r="J18" s="476"/>
      <c r="K18" s="476"/>
      <c r="L18" s="476"/>
      <c r="M18" s="467">
        <v>852152</v>
      </c>
      <c r="N18" s="483"/>
    </row>
    <row r="19" spans="1:14" s="484" customFormat="1" ht="12.75" customHeight="1" x14ac:dyDescent="0.2">
      <c r="A19" s="481" t="s">
        <v>1472</v>
      </c>
      <c r="B19" s="482">
        <v>250</v>
      </c>
      <c r="C19" s="476"/>
      <c r="D19" s="476"/>
      <c r="E19" s="476"/>
      <c r="F19" s="476"/>
      <c r="G19" s="476"/>
      <c r="H19" s="476"/>
      <c r="I19" s="476"/>
      <c r="J19" s="476"/>
      <c r="K19" s="476"/>
      <c r="L19" s="476"/>
      <c r="M19" s="467">
        <v>377712</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12378</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3453622</v>
      </c>
    </row>
    <row r="23" spans="1:14" ht="13.5" customHeight="1" thickBot="1" x14ac:dyDescent="0.25">
      <c r="A23" s="1756" t="s">
        <v>664</v>
      </c>
      <c r="B23" s="1761"/>
      <c r="C23" s="468"/>
      <c r="D23" s="468"/>
      <c r="E23" s="468"/>
      <c r="F23" s="468"/>
      <c r="G23" s="468"/>
      <c r="H23" s="468"/>
      <c r="I23" s="468"/>
      <c r="J23" s="468"/>
      <c r="K23" s="468"/>
      <c r="L23" s="468"/>
      <c r="M23" s="1708">
        <f>SUM(M15:M22)</f>
        <v>8949162</v>
      </c>
      <c r="N23" s="1708">
        <f>SUM(N21:N22)</f>
        <v>3466000</v>
      </c>
    </row>
    <row r="24" spans="1:14" ht="18" customHeight="1" thickTop="1" x14ac:dyDescent="0.2">
      <c r="A24" s="2131" t="s">
        <v>619</v>
      </c>
      <c r="B24" s="2132"/>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24</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10708</v>
      </c>
      <c r="M33" s="468"/>
      <c r="N33" s="469"/>
    </row>
    <row r="34" spans="1:14" ht="13.5" customHeight="1" thickBot="1" x14ac:dyDescent="0.25">
      <c r="A34" s="1758" t="s">
        <v>675</v>
      </c>
      <c r="B34" s="1759"/>
      <c r="C34" s="1760">
        <f>SUM(C25:C33)</f>
        <v>24</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10708</v>
      </c>
      <c r="M34" s="468"/>
      <c r="N34" s="479"/>
    </row>
    <row r="35" spans="1:14" ht="18" customHeight="1" thickTop="1" x14ac:dyDescent="0.2">
      <c r="A35" s="2133" t="s">
        <v>550</v>
      </c>
      <c r="B35" s="2134"/>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3466000</v>
      </c>
    </row>
    <row r="37" spans="1:14" ht="13.5" thickBot="1" x14ac:dyDescent="0.25">
      <c r="A37" s="1756" t="s">
        <v>674</v>
      </c>
      <c r="B37" s="1761"/>
      <c r="C37" s="476"/>
      <c r="D37" s="476"/>
      <c r="E37" s="476"/>
      <c r="F37" s="476"/>
      <c r="G37" s="476"/>
      <c r="H37" s="476"/>
      <c r="I37" s="476"/>
      <c r="J37" s="476"/>
      <c r="K37" s="476"/>
      <c r="L37" s="479"/>
      <c r="M37" s="468"/>
      <c r="N37" s="1708">
        <f>SUM(N36:N36)</f>
        <v>3466000</v>
      </c>
    </row>
    <row r="38" spans="1:14" s="329" customFormat="1" ht="13.5" customHeight="1" thickTop="1" x14ac:dyDescent="0.2">
      <c r="A38" s="494" t="s">
        <v>440</v>
      </c>
      <c r="B38" s="482">
        <v>714</v>
      </c>
      <c r="C38" s="465">
        <v>0</v>
      </c>
      <c r="D38" s="465">
        <v>0</v>
      </c>
      <c r="E38" s="465">
        <v>0</v>
      </c>
      <c r="F38" s="465">
        <v>0</v>
      </c>
      <c r="G38" s="465">
        <v>77431</v>
      </c>
      <c r="H38" s="465">
        <v>0</v>
      </c>
      <c r="I38" s="465">
        <v>0</v>
      </c>
      <c r="J38" s="465">
        <v>0</v>
      </c>
      <c r="K38" s="465">
        <v>0</v>
      </c>
      <c r="L38" s="465">
        <v>0</v>
      </c>
      <c r="M38" s="495"/>
      <c r="N38" s="495"/>
    </row>
    <row r="39" spans="1:14" s="329" customFormat="1" ht="13.5" customHeight="1" x14ac:dyDescent="0.2">
      <c r="A39" s="494" t="s">
        <v>360</v>
      </c>
      <c r="B39" s="482">
        <v>730</v>
      </c>
      <c r="C39" s="465">
        <v>2278174</v>
      </c>
      <c r="D39" s="465">
        <v>344017</v>
      </c>
      <c r="E39" s="465">
        <v>12378</v>
      </c>
      <c r="F39" s="465">
        <v>325026</v>
      </c>
      <c r="G39" s="465">
        <v>57230</v>
      </c>
      <c r="H39" s="465">
        <v>641664</v>
      </c>
      <c r="I39" s="465">
        <v>268845</v>
      </c>
      <c r="J39" s="465">
        <v>0</v>
      </c>
      <c r="K39" s="465">
        <v>71151</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8949162</v>
      </c>
      <c r="N40" s="495"/>
    </row>
    <row r="41" spans="1:14" ht="13.5" customHeight="1" thickBot="1" x14ac:dyDescent="0.25">
      <c r="A41" s="1756" t="s">
        <v>676</v>
      </c>
      <c r="B41" s="1726"/>
      <c r="C41" s="1708">
        <f>(SUM(C34,C37,C38,C39))</f>
        <v>2278198</v>
      </c>
      <c r="D41" s="1708">
        <f t="shared" ref="D41:L41" si="2">SUM(D34,D37,D38:D39)</f>
        <v>344017</v>
      </c>
      <c r="E41" s="1708">
        <f t="shared" si="2"/>
        <v>12378</v>
      </c>
      <c r="F41" s="1708">
        <f t="shared" si="2"/>
        <v>325026</v>
      </c>
      <c r="G41" s="1708">
        <f t="shared" si="2"/>
        <v>134661</v>
      </c>
      <c r="H41" s="1708">
        <f t="shared" si="2"/>
        <v>641664</v>
      </c>
      <c r="I41" s="1708">
        <f t="shared" si="2"/>
        <v>268845</v>
      </c>
      <c r="J41" s="1708">
        <f t="shared" si="2"/>
        <v>0</v>
      </c>
      <c r="K41" s="1708">
        <f t="shared" si="2"/>
        <v>71151</v>
      </c>
      <c r="L41" s="1708">
        <f t="shared" si="2"/>
        <v>10708</v>
      </c>
      <c r="M41" s="1708">
        <f>SUM(M40)</f>
        <v>8949162</v>
      </c>
      <c r="N41" s="1708">
        <f>SUM(N37)</f>
        <v>3466000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33" sqref="C33"/>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3"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5" t="s">
        <v>1237</v>
      </c>
      <c r="B3" s="2156"/>
      <c r="C3" s="1593"/>
      <c r="D3" s="1594"/>
      <c r="E3" s="1594"/>
      <c r="F3" s="1594"/>
      <c r="G3" s="1594"/>
      <c r="H3" s="1594"/>
      <c r="I3" s="1594"/>
      <c r="J3" s="1594"/>
      <c r="K3" s="1595"/>
      <c r="L3" s="504"/>
    </row>
    <row r="4" spans="1:13" ht="15.75" customHeight="1" x14ac:dyDescent="0.2">
      <c r="A4" s="1952" t="s">
        <v>1579</v>
      </c>
      <c r="B4" s="1953">
        <v>1000</v>
      </c>
      <c r="C4" s="1762">
        <f>'Revenues 9-14'!C109</f>
        <v>1844549</v>
      </c>
      <c r="D4" s="1762">
        <f>'Revenues 9-14'!D109</f>
        <v>195910</v>
      </c>
      <c r="E4" s="1762">
        <f>'Revenues 9-14'!E109</f>
        <v>234016</v>
      </c>
      <c r="F4" s="1762">
        <f>'Revenues 9-14'!F109</f>
        <v>124795</v>
      </c>
      <c r="G4" s="1762">
        <f>'Revenues 9-14'!G109</f>
        <v>99949</v>
      </c>
      <c r="H4" s="1762">
        <f>'Revenues 9-14'!H109</f>
        <v>7588</v>
      </c>
      <c r="I4" s="1762">
        <f>'Revenues 9-14'!I109</f>
        <v>29948</v>
      </c>
      <c r="J4" s="1762">
        <f>'Revenues 9-14'!J109</f>
        <v>0</v>
      </c>
      <c r="K4" s="1762">
        <f>'Revenues 9-14'!K109</f>
        <v>38155</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394533</v>
      </c>
      <c r="D6" s="1763">
        <f>'Revenues 9-14'!D173</f>
        <v>95000</v>
      </c>
      <c r="E6" s="1763">
        <f>'Revenues 9-14'!E173</f>
        <v>0</v>
      </c>
      <c r="F6" s="1763">
        <f>'Revenues 9-14'!F173</f>
        <v>124491</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137940</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2377022</v>
      </c>
      <c r="D8" s="1708">
        <f t="shared" ref="D8:K8" si="0">SUM(D4:D7)</f>
        <v>290910</v>
      </c>
      <c r="E8" s="1708">
        <f t="shared" si="0"/>
        <v>234016</v>
      </c>
      <c r="F8" s="1708">
        <f t="shared" si="0"/>
        <v>249286</v>
      </c>
      <c r="G8" s="1708">
        <f t="shared" si="0"/>
        <v>99949</v>
      </c>
      <c r="H8" s="1708">
        <f t="shared" si="0"/>
        <v>7588</v>
      </c>
      <c r="I8" s="1708">
        <f t="shared" si="0"/>
        <v>29948</v>
      </c>
      <c r="J8" s="1708">
        <f t="shared" si="0"/>
        <v>0</v>
      </c>
      <c r="K8" s="1708">
        <f t="shared" si="0"/>
        <v>38155</v>
      </c>
      <c r="L8" s="347"/>
    </row>
    <row r="9" spans="1:13" ht="15.75" thickTop="1" x14ac:dyDescent="0.2">
      <c r="A9" s="512" t="s">
        <v>1752</v>
      </c>
      <c r="B9" s="513">
        <v>3998</v>
      </c>
      <c r="C9" s="465">
        <v>773734</v>
      </c>
      <c r="D9" s="514"/>
      <c r="E9" s="480"/>
      <c r="F9" s="480"/>
      <c r="G9" s="515"/>
      <c r="H9" s="480"/>
      <c r="I9" s="507" t="s">
        <v>1231</v>
      </c>
      <c r="J9" s="477"/>
      <c r="K9" s="480"/>
      <c r="L9" s="347"/>
    </row>
    <row r="10" spans="1:13" s="517" customFormat="1" ht="13.5" thickBot="1" x14ac:dyDescent="0.25">
      <c r="A10" s="1756" t="s">
        <v>1235</v>
      </c>
      <c r="B10" s="1729"/>
      <c r="C10" s="1708">
        <f>SUM(C8:C9)</f>
        <v>3150756</v>
      </c>
      <c r="D10" s="1708">
        <f t="shared" ref="D10:K10" si="1">SUM(D8:D9)</f>
        <v>290910</v>
      </c>
      <c r="E10" s="1708">
        <f t="shared" si="1"/>
        <v>234016</v>
      </c>
      <c r="F10" s="1708">
        <f t="shared" si="1"/>
        <v>249286</v>
      </c>
      <c r="G10" s="1708">
        <f t="shared" si="1"/>
        <v>99949</v>
      </c>
      <c r="H10" s="1708">
        <f t="shared" si="1"/>
        <v>7588</v>
      </c>
      <c r="I10" s="1708">
        <f t="shared" si="1"/>
        <v>29948</v>
      </c>
      <c r="J10" s="1708">
        <f t="shared" si="1"/>
        <v>0</v>
      </c>
      <c r="K10" s="1708">
        <f t="shared" si="1"/>
        <v>38155</v>
      </c>
      <c r="L10" s="516"/>
    </row>
    <row r="11" spans="1:13" s="517" customFormat="1" ht="16.7" customHeight="1" thickTop="1" x14ac:dyDescent="0.2">
      <c r="A11" s="2129" t="s">
        <v>1238</v>
      </c>
      <c r="B11" s="2130"/>
      <c r="C11" s="1590"/>
      <c r="D11" s="1591"/>
      <c r="E11" s="1591"/>
      <c r="F11" s="1591"/>
      <c r="G11" s="1591"/>
      <c r="H11" s="1591"/>
      <c r="I11" s="1591"/>
      <c r="J11" s="1591"/>
      <c r="K11" s="1592"/>
      <c r="L11" s="516"/>
    </row>
    <row r="12" spans="1:13" ht="15.75" customHeight="1" x14ac:dyDescent="0.2">
      <c r="A12" s="1596" t="s">
        <v>476</v>
      </c>
      <c r="B12" s="1598">
        <v>1000</v>
      </c>
      <c r="C12" s="1762">
        <f>'Expenditures 15-22'!K33</f>
        <v>1436345</v>
      </c>
      <c r="D12" s="518" t="s">
        <v>1231</v>
      </c>
      <c r="E12" s="468" t="s">
        <v>1231</v>
      </c>
      <c r="F12" s="468" t="s">
        <v>1231</v>
      </c>
      <c r="G12" s="1762">
        <f>'Expenditures 15-22'!K229</f>
        <v>32001</v>
      </c>
      <c r="H12" s="519"/>
      <c r="I12" s="468" t="s">
        <v>1231</v>
      </c>
      <c r="J12" s="468" t="s">
        <v>1231</v>
      </c>
      <c r="K12" s="519" t="s">
        <v>1231</v>
      </c>
      <c r="L12" s="347"/>
    </row>
    <row r="13" spans="1:13" ht="15.75" customHeight="1" x14ac:dyDescent="0.2">
      <c r="A13" s="1596" t="s">
        <v>477</v>
      </c>
      <c r="B13" s="1598">
        <v>2000</v>
      </c>
      <c r="C13" s="1763">
        <f>'Expenditures 15-22'!K74</f>
        <v>740941</v>
      </c>
      <c r="D13" s="1763">
        <f>'Expenditures 15-22'!K129</f>
        <v>262944</v>
      </c>
      <c r="E13" s="469" t="s">
        <v>1231</v>
      </c>
      <c r="F13" s="1763">
        <f>'Expenditures 15-22'!K184</f>
        <v>0</v>
      </c>
      <c r="G13" s="1763">
        <f>'Expenditures 15-22'!K279</f>
        <v>51298</v>
      </c>
      <c r="H13" s="1763">
        <f>'Expenditures 15-22'!K303</f>
        <v>1575475</v>
      </c>
      <c r="I13" s="468" t="s">
        <v>1231</v>
      </c>
      <c r="J13" s="1763">
        <f>'Expenditures 15-22'!K330</f>
        <v>0</v>
      </c>
      <c r="K13" s="1767">
        <f>'Expenditures 15-22'!K352</f>
        <v>14461</v>
      </c>
      <c r="L13" s="347"/>
    </row>
    <row r="14" spans="1:13" ht="15.75" customHeight="1" x14ac:dyDescent="0.2">
      <c r="A14" s="1596" t="s">
        <v>469</v>
      </c>
      <c r="B14" s="1598">
        <v>3000</v>
      </c>
      <c r="C14" s="1763">
        <f>'Expenditures 15-22'!K75</f>
        <v>1624</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72923</v>
      </c>
      <c r="D15" s="1763">
        <f>'Expenditures 15-22'!K139</f>
        <v>0</v>
      </c>
      <c r="E15" s="1763">
        <f>'Expenditures 15-22'!K160</f>
        <v>0</v>
      </c>
      <c r="F15" s="1763">
        <f>'Expenditures 15-22'!K196</f>
        <v>210049</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272432</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2251833</v>
      </c>
      <c r="D17" s="1708">
        <f t="shared" si="2"/>
        <v>262944</v>
      </c>
      <c r="E17" s="1708">
        <f t="shared" si="2"/>
        <v>272432</v>
      </c>
      <c r="F17" s="1708">
        <f t="shared" si="2"/>
        <v>210049</v>
      </c>
      <c r="G17" s="1708">
        <f t="shared" si="2"/>
        <v>83299</v>
      </c>
      <c r="H17" s="1708">
        <f t="shared" si="2"/>
        <v>1575475</v>
      </c>
      <c r="I17" s="468"/>
      <c r="J17" s="1708">
        <f>SUM(J12:J16)</f>
        <v>0</v>
      </c>
      <c r="K17" s="1708">
        <f>SUM(K12:K16)</f>
        <v>14461</v>
      </c>
      <c r="L17" s="347"/>
    </row>
    <row r="18" spans="1:12" ht="15" customHeight="1" thickTop="1" x14ac:dyDescent="0.2">
      <c r="A18" s="1764" t="s">
        <v>1753</v>
      </c>
      <c r="B18" s="1765">
        <v>4180</v>
      </c>
      <c r="C18" s="1762">
        <f t="shared" ref="C18:H18" si="3">C9</f>
        <v>773734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3025567</v>
      </c>
      <c r="D19" s="1708">
        <f t="shared" si="4"/>
        <v>262944</v>
      </c>
      <c r="E19" s="1708">
        <f t="shared" si="4"/>
        <v>272432</v>
      </c>
      <c r="F19" s="1708">
        <f t="shared" si="4"/>
        <v>210049</v>
      </c>
      <c r="G19" s="1708">
        <f t="shared" si="4"/>
        <v>83299</v>
      </c>
      <c r="H19" s="1708">
        <f t="shared" si="4"/>
        <v>1575475</v>
      </c>
      <c r="I19" s="468"/>
      <c r="J19" s="1708">
        <f>SUM(J17:J18)</f>
        <v>0</v>
      </c>
      <c r="K19" s="1708">
        <f>SUM(K17:K18)</f>
        <v>14461</v>
      </c>
      <c r="L19" s="347"/>
    </row>
    <row r="20" spans="1:12" ht="16.5" thickTop="1" thickBot="1" x14ac:dyDescent="0.25">
      <c r="A20" s="2145" t="s">
        <v>1754</v>
      </c>
      <c r="B20" s="2146"/>
      <c r="C20" s="1766">
        <f>C8-C17</f>
        <v>125189</v>
      </c>
      <c r="D20" s="1766">
        <f t="shared" ref="D20:K20" si="5">D8-D17</f>
        <v>27966</v>
      </c>
      <c r="E20" s="1766">
        <f t="shared" si="5"/>
        <v>-38416</v>
      </c>
      <c r="F20" s="1766">
        <f t="shared" si="5"/>
        <v>39237</v>
      </c>
      <c r="G20" s="1766">
        <f t="shared" si="5"/>
        <v>16650</v>
      </c>
      <c r="H20" s="1766">
        <f t="shared" si="5"/>
        <v>-1567887</v>
      </c>
      <c r="I20" s="1766">
        <f t="shared" si="5"/>
        <v>29948</v>
      </c>
      <c r="J20" s="1766">
        <f t="shared" si="5"/>
        <v>0</v>
      </c>
      <c r="K20" s="1766">
        <f t="shared" si="5"/>
        <v>23694</v>
      </c>
      <c r="L20" s="347"/>
    </row>
    <row r="21" spans="1:12" ht="16.7" customHeight="1" thickTop="1" x14ac:dyDescent="0.2">
      <c r="A21" s="2157" t="s">
        <v>616</v>
      </c>
      <c r="B21" s="2158"/>
      <c r="C21" s="1590"/>
      <c r="D21" s="1591"/>
      <c r="E21" s="1591"/>
      <c r="F21" s="1591"/>
      <c r="G21" s="1591"/>
      <c r="H21" s="1591"/>
      <c r="I21" s="1591"/>
      <c r="J21" s="1591"/>
      <c r="K21" s="1592"/>
      <c r="L21" s="522"/>
    </row>
    <row r="22" spans="1:12" ht="15.75" customHeight="1" collapsed="1" x14ac:dyDescent="0.2">
      <c r="A22" s="2153" t="s">
        <v>617</v>
      </c>
      <c r="B22" s="2154"/>
      <c r="C22" s="476"/>
      <c r="D22" s="476"/>
      <c r="E22" s="476"/>
      <c r="F22" s="476"/>
      <c r="G22" s="476"/>
      <c r="H22" s="476"/>
      <c r="I22" s="476"/>
      <c r="J22" s="476"/>
      <c r="K22" s="476"/>
      <c r="L22" s="347"/>
    </row>
    <row r="23" spans="1:12" s="484" customFormat="1" ht="15.75" customHeight="1" x14ac:dyDescent="0.2">
      <c r="A23" s="2149" t="s">
        <v>311</v>
      </c>
      <c r="B23" s="2150"/>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51" t="s">
        <v>1038</v>
      </c>
      <c r="B32" s="2152"/>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3288</v>
      </c>
      <c r="E36" s="467">
        <v>0</v>
      </c>
      <c r="F36" s="467">
        <v>0</v>
      </c>
      <c r="G36" s="467">
        <v>0</v>
      </c>
      <c r="H36" s="467">
        <v>210734</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9" t="s">
        <v>392</v>
      </c>
      <c r="B44" s="2160"/>
      <c r="C44" s="1723">
        <f>SUM(C24:C43)</f>
        <v>0</v>
      </c>
      <c r="D44" s="1723">
        <f t="shared" ref="D44:K44" si="6">SUM(D24:D43)</f>
        <v>3288</v>
      </c>
      <c r="E44" s="1723">
        <f t="shared" si="6"/>
        <v>0</v>
      </c>
      <c r="F44" s="1723">
        <f t="shared" si="6"/>
        <v>0</v>
      </c>
      <c r="G44" s="1723">
        <f t="shared" si="6"/>
        <v>0</v>
      </c>
      <c r="H44" s="1723">
        <f t="shared" si="6"/>
        <v>210734</v>
      </c>
      <c r="I44" s="1723">
        <f t="shared" si="6"/>
        <v>0</v>
      </c>
      <c r="J44" s="1723">
        <f t="shared" si="6"/>
        <v>0</v>
      </c>
      <c r="K44" s="1723">
        <f t="shared" si="6"/>
        <v>0</v>
      </c>
      <c r="L44" s="522"/>
    </row>
    <row r="45" spans="1:12" ht="15.75" customHeight="1" thickTop="1" x14ac:dyDescent="0.2">
      <c r="A45" s="2153" t="s">
        <v>110</v>
      </c>
      <c r="B45" s="2154"/>
      <c r="C45" s="526"/>
      <c r="D45" s="526"/>
      <c r="E45" s="526"/>
      <c r="F45" s="526"/>
      <c r="G45" s="526"/>
      <c r="H45" s="526"/>
      <c r="I45" s="526"/>
      <c r="J45" s="526"/>
      <c r="K45" s="526"/>
      <c r="L45" s="347"/>
    </row>
    <row r="46" spans="1:12" s="484" customFormat="1" ht="15.75" customHeight="1" x14ac:dyDescent="0.2">
      <c r="A46" s="2161" t="s">
        <v>111</v>
      </c>
      <c r="B46" s="2162"/>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5" t="s">
        <v>460</v>
      </c>
      <c r="B76" s="2136"/>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7" t="s">
        <v>1239</v>
      </c>
      <c r="B77" s="2138"/>
      <c r="C77" s="1723">
        <f t="shared" ref="C77:K77" si="8">C44-C76</f>
        <v>0</v>
      </c>
      <c r="D77" s="1723">
        <f t="shared" si="8"/>
        <v>3288</v>
      </c>
      <c r="E77" s="1723">
        <f t="shared" si="8"/>
        <v>0</v>
      </c>
      <c r="F77" s="1723">
        <f t="shared" si="8"/>
        <v>0</v>
      </c>
      <c r="G77" s="1723">
        <f t="shared" si="8"/>
        <v>0</v>
      </c>
      <c r="H77" s="1723">
        <f t="shared" si="8"/>
        <v>210734</v>
      </c>
      <c r="I77" s="1723">
        <f t="shared" si="8"/>
        <v>0</v>
      </c>
      <c r="J77" s="1723">
        <f t="shared" si="8"/>
        <v>0</v>
      </c>
      <c r="K77" s="1723">
        <f t="shared" si="8"/>
        <v>0</v>
      </c>
      <c r="L77" s="347"/>
    </row>
    <row r="78" spans="1:12" ht="21.75" customHeight="1" thickTop="1" thickBot="1" x14ac:dyDescent="0.25">
      <c r="A78" s="2141" t="s">
        <v>618</v>
      </c>
      <c r="B78" s="2142"/>
      <c r="C78" s="1722">
        <f t="shared" ref="C78:K78" si="9">C20+C77</f>
        <v>125189</v>
      </c>
      <c r="D78" s="1722">
        <f t="shared" si="9"/>
        <v>31254</v>
      </c>
      <c r="E78" s="1722">
        <f t="shared" si="9"/>
        <v>-38416</v>
      </c>
      <c r="F78" s="1722">
        <f t="shared" si="9"/>
        <v>39237</v>
      </c>
      <c r="G78" s="1722">
        <f t="shared" si="9"/>
        <v>16650</v>
      </c>
      <c r="H78" s="1722">
        <f t="shared" si="9"/>
        <v>-1357153</v>
      </c>
      <c r="I78" s="1722">
        <f t="shared" si="9"/>
        <v>29948</v>
      </c>
      <c r="J78" s="1722">
        <f t="shared" si="9"/>
        <v>0</v>
      </c>
      <c r="K78" s="1722">
        <f t="shared" si="9"/>
        <v>23694</v>
      </c>
      <c r="L78" s="531"/>
    </row>
    <row r="79" spans="1:12" ht="13.5" thickTop="1" x14ac:dyDescent="0.2">
      <c r="A79" s="1514" t="s">
        <v>2073</v>
      </c>
      <c r="B79" s="532"/>
      <c r="C79" s="467">
        <v>2152985</v>
      </c>
      <c r="D79" s="467">
        <v>312763</v>
      </c>
      <c r="E79" s="467">
        <v>50794</v>
      </c>
      <c r="F79" s="467">
        <v>285789</v>
      </c>
      <c r="G79" s="467">
        <v>118011</v>
      </c>
      <c r="H79" s="467">
        <v>1998817</v>
      </c>
      <c r="I79" s="467">
        <v>238897</v>
      </c>
      <c r="J79" s="467">
        <v>0</v>
      </c>
      <c r="K79" s="467">
        <v>47457</v>
      </c>
      <c r="L79" s="347"/>
    </row>
    <row r="80" spans="1:12" x14ac:dyDescent="0.2">
      <c r="A80" s="2147" t="s">
        <v>1898</v>
      </c>
      <c r="B80" s="2148"/>
      <c r="C80" s="467">
        <v>0</v>
      </c>
      <c r="D80" s="467">
        <v>0</v>
      </c>
      <c r="E80" s="467">
        <v>0</v>
      </c>
      <c r="F80" s="467">
        <v>0</v>
      </c>
      <c r="G80" s="467">
        <v>0</v>
      </c>
      <c r="H80" s="467">
        <v>0</v>
      </c>
      <c r="I80" s="467">
        <v>0</v>
      </c>
      <c r="J80" s="467">
        <v>0</v>
      </c>
      <c r="K80" s="467">
        <v>0</v>
      </c>
      <c r="L80" s="347"/>
    </row>
    <row r="81" spans="1:12" ht="13.5" thickBot="1" x14ac:dyDescent="0.25">
      <c r="A81" s="2139" t="s">
        <v>2074</v>
      </c>
      <c r="B81" s="2140"/>
      <c r="C81" s="1708">
        <f>(SUM(C78:C80))</f>
        <v>2278174</v>
      </c>
      <c r="D81" s="1708">
        <f>SUM(D78:D80)</f>
        <v>344017</v>
      </c>
      <c r="E81" s="1708">
        <f t="shared" ref="E81:K81" si="10">SUM(E78:E80)</f>
        <v>12378</v>
      </c>
      <c r="F81" s="1708">
        <f t="shared" si="10"/>
        <v>325026</v>
      </c>
      <c r="G81" s="1708">
        <f t="shared" si="10"/>
        <v>134661</v>
      </c>
      <c r="H81" s="1708">
        <f t="shared" si="10"/>
        <v>641664</v>
      </c>
      <c r="I81" s="1708">
        <f t="shared" si="10"/>
        <v>268845</v>
      </c>
      <c r="J81" s="1708">
        <f t="shared" si="10"/>
        <v>0</v>
      </c>
      <c r="K81" s="1708">
        <f t="shared" si="10"/>
        <v>71151</v>
      </c>
      <c r="L81" s="347"/>
    </row>
    <row r="82" spans="1:12" ht="0.75" customHeight="1" thickTop="1" thickBot="1" x14ac:dyDescent="0.25">
      <c r="A82" s="534" t="s">
        <v>361</v>
      </c>
      <c r="B82" s="535"/>
      <c r="C82" s="536">
        <f>(C81-C79)</f>
        <v>125189</v>
      </c>
      <c r="D82" s="536">
        <f t="shared" ref="D82:K82" si="11">(D81-D79)</f>
        <v>31254</v>
      </c>
      <c r="E82" s="536">
        <f t="shared" si="11"/>
        <v>-38416</v>
      </c>
      <c r="F82" s="536">
        <f t="shared" si="11"/>
        <v>39237</v>
      </c>
      <c r="G82" s="536">
        <f t="shared" si="11"/>
        <v>16650</v>
      </c>
      <c r="H82" s="536">
        <f t="shared" si="11"/>
        <v>-1357153</v>
      </c>
      <c r="I82" s="536">
        <f t="shared" si="11"/>
        <v>29948</v>
      </c>
      <c r="J82" s="536">
        <f t="shared" si="11"/>
        <v>0</v>
      </c>
      <c r="K82" s="536">
        <f t="shared" si="11"/>
        <v>23694</v>
      </c>
    </row>
    <row r="83" spans="1:12" ht="14.25" hidden="1" thickTop="1" thickBot="1" x14ac:dyDescent="0.25">
      <c r="A83" s="537" t="s">
        <v>362</v>
      </c>
      <c r="B83" s="464"/>
      <c r="C83" s="538">
        <f>C82/C81</f>
        <v>5.4951465515803447E-2</v>
      </c>
      <c r="D83" s="538">
        <f t="shared" ref="D83:K83" si="12">D82/D81</f>
        <v>9.0850161474578292E-2</v>
      </c>
      <c r="E83" s="538">
        <f t="shared" si="12"/>
        <v>-3.103570851510745</v>
      </c>
      <c r="F83" s="538">
        <f t="shared" si="12"/>
        <v>0.12071957320337449</v>
      </c>
      <c r="G83" s="538">
        <f t="shared" si="12"/>
        <v>0.12364381669525698</v>
      </c>
      <c r="H83" s="538">
        <f t="shared" si="12"/>
        <v>-2.1150524261919013</v>
      </c>
      <c r="I83" s="538">
        <f t="shared" si="12"/>
        <v>0.11139504175268278</v>
      </c>
      <c r="J83" s="538" t="e">
        <f t="shared" si="12"/>
        <v>#DIV/0!</v>
      </c>
      <c r="K83" s="538">
        <f t="shared" si="12"/>
        <v>0.33301007715984315</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33" sqref="C33"/>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1588297</v>
      </c>
      <c r="D5" s="480">
        <v>194896</v>
      </c>
      <c r="E5" s="480">
        <v>233678</v>
      </c>
      <c r="F5" s="546">
        <v>112066</v>
      </c>
      <c r="G5" s="466">
        <v>38988</v>
      </c>
      <c r="H5" s="466">
        <v>0</v>
      </c>
      <c r="I5" s="466">
        <v>29484</v>
      </c>
      <c r="J5" s="466">
        <v>0</v>
      </c>
      <c r="K5" s="466">
        <v>38008</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14618</v>
      </c>
      <c r="D7" s="466">
        <v>0</v>
      </c>
      <c r="E7" s="468"/>
      <c r="F7" s="467">
        <v>0</v>
      </c>
      <c r="G7" s="467">
        <v>0</v>
      </c>
      <c r="H7" s="467">
        <v>0</v>
      </c>
      <c r="I7" s="468"/>
      <c r="J7" s="468"/>
      <c r="K7" s="468"/>
    </row>
    <row r="8" spans="1:12" x14ac:dyDescent="0.2">
      <c r="A8" s="463" t="s">
        <v>433</v>
      </c>
      <c r="B8" s="470">
        <v>1150</v>
      </c>
      <c r="C8" s="475"/>
      <c r="D8" s="475"/>
      <c r="E8" s="476"/>
      <c r="F8" s="476"/>
      <c r="G8" s="480">
        <v>52626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1602915</v>
      </c>
      <c r="D12" s="1727">
        <f t="shared" si="0"/>
        <v>194896</v>
      </c>
      <c r="E12" s="1727">
        <f t="shared" si="0"/>
        <v>233678</v>
      </c>
      <c r="F12" s="1727">
        <f t="shared" si="0"/>
        <v>112066</v>
      </c>
      <c r="G12" s="1727">
        <f t="shared" si="0"/>
        <v>91614</v>
      </c>
      <c r="H12" s="1727">
        <f t="shared" si="0"/>
        <v>0</v>
      </c>
      <c r="I12" s="1727">
        <f t="shared" si="0"/>
        <v>29484</v>
      </c>
      <c r="J12" s="1727">
        <f t="shared" si="0"/>
        <v>0</v>
      </c>
      <c r="K12" s="1708">
        <f t="shared" si="0"/>
        <v>38008</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57744</v>
      </c>
      <c r="D16" s="466">
        <v>0</v>
      </c>
      <c r="E16" s="466">
        <v>0</v>
      </c>
      <c r="F16" s="466">
        <v>0</v>
      </c>
      <c r="G16" s="466">
        <v>8000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57744</v>
      </c>
      <c r="D18" s="1730">
        <f t="shared" ref="D18:K18" si="1">SUM(D14:D17)</f>
        <v>0</v>
      </c>
      <c r="E18" s="1730">
        <f t="shared" si="1"/>
        <v>0</v>
      </c>
      <c r="F18" s="1730">
        <f t="shared" si="1"/>
        <v>0</v>
      </c>
      <c r="G18" s="1730">
        <f t="shared" si="1"/>
        <v>8000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3800</v>
      </c>
      <c r="D20" s="468"/>
      <c r="E20" s="468"/>
      <c r="F20" s="468"/>
      <c r="G20" s="468"/>
      <c r="H20" s="468"/>
      <c r="I20" s="468"/>
      <c r="J20" s="468"/>
      <c r="K20" s="468"/>
    </row>
    <row r="21" spans="1:11" ht="12.75" customHeight="1" x14ac:dyDescent="0.2">
      <c r="A21" s="463" t="s">
        <v>887</v>
      </c>
      <c r="B21" s="470">
        <v>1312</v>
      </c>
      <c r="C21" s="549">
        <v>78817</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82617</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8025</v>
      </c>
      <c r="D65" s="466">
        <v>961</v>
      </c>
      <c r="E65" s="466">
        <v>338</v>
      </c>
      <c r="F65" s="467">
        <v>679</v>
      </c>
      <c r="G65" s="466">
        <v>335</v>
      </c>
      <c r="H65" s="466">
        <v>7588</v>
      </c>
      <c r="I65" s="466">
        <v>464</v>
      </c>
      <c r="J65" s="467">
        <v>0</v>
      </c>
      <c r="K65" s="466">
        <v>147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8025</v>
      </c>
      <c r="D67" s="1708">
        <f t="shared" ref="D67:K67" si="2">SUM(D65:D66)</f>
        <v>961</v>
      </c>
      <c r="E67" s="1708">
        <f t="shared" si="2"/>
        <v>338</v>
      </c>
      <c r="F67" s="1708">
        <f t="shared" si="2"/>
        <v>679</v>
      </c>
      <c r="G67" s="1708">
        <f t="shared" si="2"/>
        <v>335</v>
      </c>
      <c r="H67" s="1708">
        <f t="shared" si="2"/>
        <v>7588</v>
      </c>
      <c r="I67" s="1708">
        <f t="shared" si="2"/>
        <v>464</v>
      </c>
      <c r="J67" s="1708">
        <f t="shared" si="2"/>
        <v>0</v>
      </c>
      <c r="K67" s="1708">
        <f t="shared" si="2"/>
        <v>147</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18219</v>
      </c>
      <c r="D69" s="468"/>
      <c r="E69" s="468"/>
      <c r="F69" s="468"/>
      <c r="G69" s="468"/>
      <c r="H69" s="468"/>
      <c r="I69" s="468"/>
      <c r="J69" s="468"/>
      <c r="K69" s="468"/>
    </row>
    <row r="70" spans="1:11" ht="12.75" customHeight="1" x14ac:dyDescent="0.2">
      <c r="A70" s="463" t="s">
        <v>1054</v>
      </c>
      <c r="B70" s="470">
        <v>1612</v>
      </c>
      <c r="C70" s="549">
        <v>5187</v>
      </c>
      <c r="D70" s="468"/>
      <c r="E70" s="468"/>
      <c r="F70" s="468"/>
      <c r="G70" s="468"/>
      <c r="H70" s="468"/>
      <c r="I70" s="468"/>
      <c r="J70" s="468"/>
      <c r="K70" s="468"/>
    </row>
    <row r="71" spans="1:11" ht="12.75" customHeight="1" x14ac:dyDescent="0.2">
      <c r="A71" s="463" t="s">
        <v>291</v>
      </c>
      <c r="B71" s="470">
        <v>1613</v>
      </c>
      <c r="C71" s="549">
        <v>7844</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1827</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33077</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5772</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5772</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11828</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11828</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16086</v>
      </c>
      <c r="D98" s="466">
        <v>0</v>
      </c>
      <c r="E98" s="510"/>
      <c r="F98" s="466">
        <v>11891</v>
      </c>
      <c r="G98" s="510"/>
      <c r="H98" s="510"/>
      <c r="I98" s="508"/>
      <c r="J98" s="510"/>
      <c r="K98" s="510"/>
    </row>
    <row r="99" spans="1:12" ht="12.75" customHeight="1" x14ac:dyDescent="0.2">
      <c r="A99" s="463" t="s">
        <v>875</v>
      </c>
      <c r="B99" s="470">
        <v>1950</v>
      </c>
      <c r="C99" s="487">
        <v>18900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7585</v>
      </c>
      <c r="D107" s="466">
        <v>53</v>
      </c>
      <c r="E107" s="466">
        <v>0</v>
      </c>
      <c r="F107" s="466">
        <v>159</v>
      </c>
      <c r="G107" s="466">
        <v>0</v>
      </c>
      <c r="H107" s="466">
        <v>0</v>
      </c>
      <c r="I107" s="466">
        <v>0</v>
      </c>
      <c r="J107" s="467">
        <v>0</v>
      </c>
      <c r="K107" s="466">
        <v>0</v>
      </c>
    </row>
    <row r="108" spans="1:12" ht="12.75" customHeight="1" thickBot="1" x14ac:dyDescent="0.25">
      <c r="A108" s="1728" t="s">
        <v>508</v>
      </c>
      <c r="B108" s="1732"/>
      <c r="C108" s="1727">
        <f>SUM(C95:C107)</f>
        <v>42571</v>
      </c>
      <c r="D108" s="1727">
        <f t="shared" ref="D108:K108" si="3">SUM(D95:D107)</f>
        <v>53</v>
      </c>
      <c r="E108" s="1727">
        <f t="shared" si="3"/>
        <v>0</v>
      </c>
      <c r="F108" s="1727">
        <f t="shared" si="3"/>
        <v>12050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1844549</v>
      </c>
      <c r="D109" s="1735">
        <f t="shared" si="4"/>
        <v>195910</v>
      </c>
      <c r="E109" s="1735">
        <f t="shared" si="4"/>
        <v>234016</v>
      </c>
      <c r="F109" s="1735">
        <f t="shared" si="4"/>
        <v>124795</v>
      </c>
      <c r="G109" s="1735">
        <f t="shared" si="4"/>
        <v>99949</v>
      </c>
      <c r="H109" s="1735">
        <f t="shared" si="4"/>
        <v>7588</v>
      </c>
      <c r="I109" s="1735">
        <f t="shared" si="4"/>
        <v>29948</v>
      </c>
      <c r="J109" s="1735">
        <f t="shared" si="4"/>
        <v>0</v>
      </c>
      <c r="K109" s="1722">
        <f t="shared" si="4"/>
        <v>38155</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307547</v>
      </c>
      <c r="D117" s="480">
        <v>95000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307547</v>
      </c>
      <c r="D121" s="1727">
        <f t="shared" si="5"/>
        <v>95000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26889</v>
      </c>
      <c r="D124" s="559"/>
      <c r="E124" s="468"/>
      <c r="F124" s="546">
        <v>0</v>
      </c>
      <c r="G124" s="468"/>
      <c r="H124" s="468"/>
      <c r="I124" s="468"/>
      <c r="J124" s="468"/>
      <c r="K124" s="468"/>
    </row>
    <row r="125" spans="1:11" ht="12.75" customHeight="1" x14ac:dyDescent="0.2">
      <c r="A125" s="463" t="s">
        <v>1521</v>
      </c>
      <c r="B125" s="560">
        <v>3105</v>
      </c>
      <c r="C125" s="466">
        <v>16197</v>
      </c>
      <c r="D125" s="559"/>
      <c r="E125" s="468"/>
      <c r="F125" s="466">
        <v>0</v>
      </c>
      <c r="G125" s="468"/>
      <c r="H125" s="468"/>
      <c r="I125" s="468"/>
      <c r="J125" s="468"/>
      <c r="K125" s="468"/>
    </row>
    <row r="126" spans="1:11" ht="12.75" customHeight="1" x14ac:dyDescent="0.2">
      <c r="A126" s="463" t="s">
        <v>922</v>
      </c>
      <c r="B126" s="560">
        <v>3110</v>
      </c>
      <c r="C126" s="549">
        <v>16075</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737</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59898</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598</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59437</v>
      </c>
      <c r="G151" s="467">
        <v>0</v>
      </c>
      <c r="H151" s="468"/>
      <c r="I151" s="468"/>
      <c r="J151" s="468"/>
      <c r="K151" s="468"/>
    </row>
    <row r="152" spans="1:11" ht="12.75" customHeight="1" x14ac:dyDescent="0.2">
      <c r="A152" s="463" t="s">
        <v>1117</v>
      </c>
      <c r="B152" s="560">
        <v>3510</v>
      </c>
      <c r="C152" s="549">
        <v>0</v>
      </c>
      <c r="D152" s="466">
        <v>0</v>
      </c>
      <c r="E152" s="559"/>
      <c r="F152" s="466">
        <v>65054</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124491</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26490</v>
      </c>
      <c r="D171" s="578">
        <v>0</v>
      </c>
      <c r="E171" s="578">
        <v>0</v>
      </c>
      <c r="F171" s="578">
        <v>0</v>
      </c>
      <c r="G171" s="579">
        <v>0</v>
      </c>
      <c r="H171" s="580">
        <v>0</v>
      </c>
      <c r="I171" s="579">
        <v>0</v>
      </c>
      <c r="J171" s="579">
        <v>0</v>
      </c>
      <c r="K171" s="580">
        <v>0</v>
      </c>
    </row>
    <row r="172" spans="1:11" ht="12.75" customHeight="1" thickTop="1" thickBot="1" x14ac:dyDescent="0.25">
      <c r="A172" s="2163" t="s">
        <v>418</v>
      </c>
      <c r="B172" s="2164"/>
      <c r="C172" s="1742">
        <f t="shared" ref="C172:K172" si="6">SUM(C131,C140,C144,C145:C149,C154,C155:C170,C171)</f>
        <v>86986</v>
      </c>
      <c r="D172" s="1742">
        <f t="shared" si="6"/>
        <v>0</v>
      </c>
      <c r="E172" s="1742">
        <f t="shared" si="6"/>
        <v>0</v>
      </c>
      <c r="F172" s="1742">
        <f t="shared" si="6"/>
        <v>124491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394533</v>
      </c>
      <c r="D173" s="1735">
        <f>SUM(D121,D172)</f>
        <v>95000</v>
      </c>
      <c r="E173" s="1735">
        <f>SUM(E121,E172)</f>
        <v>0</v>
      </c>
      <c r="F173" s="1735">
        <f t="shared" ref="F173:K173" si="7">SUM(F121,F172)</f>
        <v>124491</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5" t="s">
        <v>1572</v>
      </c>
      <c r="B175" s="2166"/>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9" t="s">
        <v>1764</v>
      </c>
      <c r="B178" s="217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3" t="s">
        <v>1763</v>
      </c>
      <c r="B179" s="217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28418</v>
      </c>
      <c r="D183" s="466">
        <v>0</v>
      </c>
      <c r="E183" s="468"/>
      <c r="F183" s="466">
        <v>0</v>
      </c>
      <c r="G183" s="466">
        <v>0</v>
      </c>
      <c r="H183" s="466">
        <v>0</v>
      </c>
      <c r="I183" s="468"/>
      <c r="J183" s="468"/>
      <c r="K183" s="466">
        <v>0</v>
      </c>
    </row>
    <row r="184" spans="1:11" ht="13.5" thickBot="1" x14ac:dyDescent="0.25">
      <c r="A184" s="2171" t="s">
        <v>818</v>
      </c>
      <c r="B184" s="2172"/>
      <c r="C184" s="1727">
        <f>SUM(C180:C183)</f>
        <v>28418</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7" t="s">
        <v>1906</v>
      </c>
      <c r="B185" s="2168"/>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26919</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9335</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36254</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35587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35587</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19806</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19806</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6369</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4526</v>
      </c>
      <c r="D270" s="574">
        <v>0</v>
      </c>
      <c r="E270" s="468"/>
      <c r="F270" s="574">
        <v>0</v>
      </c>
      <c r="G270" s="574">
        <v>0</v>
      </c>
      <c r="H270" s="468"/>
      <c r="I270" s="468"/>
      <c r="J270" s="468"/>
      <c r="K270" s="468"/>
    </row>
    <row r="271" spans="1:11" ht="12.75" customHeight="1" thickTop="1" thickBot="1" x14ac:dyDescent="0.25">
      <c r="A271" s="463" t="s">
        <v>395</v>
      </c>
      <c r="B271" s="470">
        <v>4992</v>
      </c>
      <c r="C271" s="573">
        <v>6980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109522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137940</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2377022</v>
      </c>
      <c r="D275" s="1735">
        <f t="shared" si="12"/>
        <v>290910</v>
      </c>
      <c r="E275" s="1735">
        <f t="shared" si="12"/>
        <v>234016</v>
      </c>
      <c r="F275" s="1735">
        <f t="shared" si="12"/>
        <v>249286</v>
      </c>
      <c r="G275" s="1735">
        <f t="shared" si="12"/>
        <v>99949</v>
      </c>
      <c r="H275" s="1735">
        <f t="shared" si="12"/>
        <v>7588</v>
      </c>
      <c r="I275" s="1735">
        <f t="shared" si="12"/>
        <v>29948</v>
      </c>
      <c r="J275" s="1735">
        <f t="shared" si="12"/>
        <v>0</v>
      </c>
      <c r="K275" s="1722">
        <f t="shared" si="12"/>
        <v>38155</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C33" sqref="C3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5"/>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1" t="s">
        <v>315</v>
      </c>
      <c r="B3" s="2182"/>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817678</v>
      </c>
      <c r="D5" s="466">
        <v>201830</v>
      </c>
      <c r="E5" s="466">
        <v>43643</v>
      </c>
      <c r="F5" s="466">
        <v>77857</v>
      </c>
      <c r="G5" s="466">
        <v>21664</v>
      </c>
      <c r="H5" s="466">
        <v>0</v>
      </c>
      <c r="I5" s="467">
        <v>0</v>
      </c>
      <c r="J5" s="467">
        <v>0</v>
      </c>
      <c r="K5" s="1691">
        <f>SUM(C5:J5)</f>
        <v>1162672</v>
      </c>
      <c r="L5" s="466">
        <v>1182382</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85134</v>
      </c>
      <c r="D8" s="466">
        <v>25431</v>
      </c>
      <c r="E8" s="466">
        <v>0</v>
      </c>
      <c r="F8" s="466">
        <v>1592</v>
      </c>
      <c r="G8" s="466">
        <v>0</v>
      </c>
      <c r="H8" s="466">
        <v>0</v>
      </c>
      <c r="I8" s="467">
        <v>0</v>
      </c>
      <c r="J8" s="467">
        <v>0</v>
      </c>
      <c r="K8" s="1691">
        <f t="shared" si="0"/>
        <v>112157</v>
      </c>
      <c r="L8" s="466">
        <v>112375</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37958</v>
      </c>
      <c r="D10" s="466">
        <v>5101</v>
      </c>
      <c r="E10" s="466">
        <v>0</v>
      </c>
      <c r="F10" s="466">
        <v>12332</v>
      </c>
      <c r="G10" s="466">
        <v>0</v>
      </c>
      <c r="H10" s="466">
        <v>0</v>
      </c>
      <c r="I10" s="467">
        <v>0</v>
      </c>
      <c r="J10" s="467">
        <v>0</v>
      </c>
      <c r="K10" s="1691">
        <f t="shared" si="0"/>
        <v>55391</v>
      </c>
      <c r="L10" s="466">
        <v>55666</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31040</v>
      </c>
      <c r="D14" s="466">
        <v>3096</v>
      </c>
      <c r="E14" s="466">
        <v>6782</v>
      </c>
      <c r="F14" s="466">
        <v>8008</v>
      </c>
      <c r="G14" s="466">
        <v>650</v>
      </c>
      <c r="H14" s="466">
        <v>1519</v>
      </c>
      <c r="I14" s="467">
        <v>0</v>
      </c>
      <c r="J14" s="467">
        <v>0</v>
      </c>
      <c r="K14" s="1691">
        <f t="shared" si="0"/>
        <v>51095</v>
      </c>
      <c r="L14" s="466">
        <v>54808</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668</v>
      </c>
      <c r="D16" s="466">
        <v>80</v>
      </c>
      <c r="E16" s="466">
        <v>0</v>
      </c>
      <c r="F16" s="466">
        <v>0</v>
      </c>
      <c r="G16" s="466">
        <v>0</v>
      </c>
      <c r="H16" s="466">
        <v>0</v>
      </c>
      <c r="I16" s="467">
        <v>0</v>
      </c>
      <c r="J16" s="467">
        <v>0</v>
      </c>
      <c r="K16" s="1691">
        <f t="shared" si="0"/>
        <v>748</v>
      </c>
      <c r="L16" s="466">
        <v>754</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54282</v>
      </c>
      <c r="I22" s="615"/>
      <c r="J22" s="476"/>
      <c r="K22" s="1691">
        <f t="shared" si="0"/>
        <v>54282</v>
      </c>
      <c r="L22" s="466">
        <v>58000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972478</v>
      </c>
      <c r="D33" s="1690">
        <f t="shared" ref="D33:L33" si="1">SUM(D5:D32)</f>
        <v>235538</v>
      </c>
      <c r="E33" s="1690">
        <f t="shared" si="1"/>
        <v>50425</v>
      </c>
      <c r="F33" s="1690">
        <f t="shared" si="1"/>
        <v>99789</v>
      </c>
      <c r="G33" s="1690">
        <f t="shared" si="1"/>
        <v>22314</v>
      </c>
      <c r="H33" s="1690">
        <f t="shared" si="1"/>
        <v>55801</v>
      </c>
      <c r="I33" s="1690">
        <f t="shared" si="1"/>
        <v>0</v>
      </c>
      <c r="J33" s="1690">
        <f t="shared" si="1"/>
        <v>0</v>
      </c>
      <c r="K33" s="1690">
        <f t="shared" si="1"/>
        <v>1436345</v>
      </c>
      <c r="L33" s="1690">
        <f t="shared" si="1"/>
        <v>1463985</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31162</v>
      </c>
      <c r="D38" s="466">
        <v>0</v>
      </c>
      <c r="E38" s="466">
        <v>0</v>
      </c>
      <c r="F38" s="466">
        <v>2044</v>
      </c>
      <c r="G38" s="466">
        <v>0</v>
      </c>
      <c r="H38" s="466">
        <v>0</v>
      </c>
      <c r="I38" s="467">
        <v>0</v>
      </c>
      <c r="J38" s="467">
        <v>0</v>
      </c>
      <c r="K38" s="1691">
        <f t="shared" si="2"/>
        <v>33206</v>
      </c>
      <c r="L38" s="466">
        <v>33318</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40600</v>
      </c>
      <c r="D40" s="466">
        <v>6245</v>
      </c>
      <c r="E40" s="466">
        <v>0</v>
      </c>
      <c r="F40" s="466">
        <v>1330</v>
      </c>
      <c r="G40" s="466">
        <v>0</v>
      </c>
      <c r="H40" s="466">
        <v>0</v>
      </c>
      <c r="I40" s="467">
        <v>0</v>
      </c>
      <c r="J40" s="467">
        <v>0</v>
      </c>
      <c r="K40" s="1691">
        <f t="shared" si="2"/>
        <v>48175</v>
      </c>
      <c r="L40" s="466">
        <v>48200</v>
      </c>
    </row>
    <row r="41" spans="1:14" x14ac:dyDescent="0.2">
      <c r="A41" s="1524" t="s">
        <v>1768</v>
      </c>
      <c r="B41" s="613">
        <v>2190</v>
      </c>
      <c r="C41" s="466">
        <v>0</v>
      </c>
      <c r="D41" s="466">
        <v>0</v>
      </c>
      <c r="E41" s="466">
        <v>0</v>
      </c>
      <c r="F41" s="466">
        <v>2909</v>
      </c>
      <c r="G41" s="466">
        <v>0</v>
      </c>
      <c r="H41" s="466">
        <v>0</v>
      </c>
      <c r="I41" s="467">
        <v>0</v>
      </c>
      <c r="J41" s="467">
        <v>0</v>
      </c>
      <c r="K41" s="1691">
        <f t="shared" si="2"/>
        <v>2909</v>
      </c>
      <c r="L41" s="466">
        <v>3300</v>
      </c>
    </row>
    <row r="42" spans="1:14" ht="12.75" customHeight="1" thickBot="1" x14ac:dyDescent="0.25">
      <c r="A42" s="1688" t="s">
        <v>581</v>
      </c>
      <c r="B42" s="1689" t="s">
        <v>740</v>
      </c>
      <c r="C42" s="1690">
        <f>SUM(C36:C41)</f>
        <v>71762</v>
      </c>
      <c r="D42" s="1690">
        <f t="shared" ref="D42:L42" si="3">SUM(D36:D41)</f>
        <v>6245</v>
      </c>
      <c r="E42" s="1690">
        <f t="shared" si="3"/>
        <v>0</v>
      </c>
      <c r="F42" s="1690">
        <f t="shared" si="3"/>
        <v>6283</v>
      </c>
      <c r="G42" s="1690">
        <f t="shared" si="3"/>
        <v>0</v>
      </c>
      <c r="H42" s="1690">
        <f t="shared" si="3"/>
        <v>0</v>
      </c>
      <c r="I42" s="1690">
        <f t="shared" si="3"/>
        <v>0</v>
      </c>
      <c r="J42" s="1690">
        <f t="shared" si="3"/>
        <v>0</v>
      </c>
      <c r="K42" s="1690">
        <f t="shared" si="3"/>
        <v>84290</v>
      </c>
      <c r="L42" s="1690">
        <f t="shared" si="3"/>
        <v>84818</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4203</v>
      </c>
      <c r="D44" s="480">
        <v>26740</v>
      </c>
      <c r="E44" s="480">
        <v>5153</v>
      </c>
      <c r="F44" s="480">
        <v>0</v>
      </c>
      <c r="G44" s="480">
        <v>0</v>
      </c>
      <c r="H44" s="480">
        <v>0</v>
      </c>
      <c r="I44" s="467">
        <v>0</v>
      </c>
      <c r="J44" s="467">
        <v>0</v>
      </c>
      <c r="K44" s="1692">
        <f>SUM(C44:J44)</f>
        <v>36096</v>
      </c>
      <c r="L44" s="480">
        <v>35740</v>
      </c>
    </row>
    <row r="45" spans="1:14" x14ac:dyDescent="0.2">
      <c r="A45" s="1524" t="s">
        <v>869</v>
      </c>
      <c r="B45" s="613">
        <v>2220</v>
      </c>
      <c r="C45" s="467">
        <v>0</v>
      </c>
      <c r="D45" s="466">
        <v>0</v>
      </c>
      <c r="E45" s="466">
        <v>0</v>
      </c>
      <c r="F45" s="466">
        <v>0</v>
      </c>
      <c r="G45" s="466">
        <v>0</v>
      </c>
      <c r="H45" s="466">
        <v>0</v>
      </c>
      <c r="I45" s="467">
        <v>0</v>
      </c>
      <c r="J45" s="467">
        <v>0</v>
      </c>
      <c r="K45" s="1692">
        <f>SUM(C45:J45)</f>
        <v>0</v>
      </c>
      <c r="L45" s="466">
        <v>0</v>
      </c>
    </row>
    <row r="46" spans="1:14" x14ac:dyDescent="0.2">
      <c r="A46" s="1524" t="s">
        <v>870</v>
      </c>
      <c r="B46" s="613">
        <v>2230</v>
      </c>
      <c r="C46" s="467">
        <v>0</v>
      </c>
      <c r="D46" s="466">
        <v>0</v>
      </c>
      <c r="E46" s="466">
        <v>0</v>
      </c>
      <c r="F46" s="466">
        <v>0</v>
      </c>
      <c r="G46" s="466">
        <v>0</v>
      </c>
      <c r="H46" s="466">
        <v>0</v>
      </c>
      <c r="I46" s="467">
        <v>0</v>
      </c>
      <c r="J46" s="467">
        <v>0</v>
      </c>
      <c r="K46" s="1692">
        <f>SUM(C46:J46)</f>
        <v>0</v>
      </c>
      <c r="L46" s="466">
        <v>500</v>
      </c>
    </row>
    <row r="47" spans="1:14" ht="12.75" customHeight="1" thickBot="1" x14ac:dyDescent="0.25">
      <c r="A47" s="1688" t="s">
        <v>582</v>
      </c>
      <c r="B47" s="1689" t="s">
        <v>32</v>
      </c>
      <c r="C47" s="1690">
        <f>SUM(C44:C46)</f>
        <v>4203</v>
      </c>
      <c r="D47" s="1690">
        <f t="shared" ref="D47:K47" si="4">SUM(D44:D46)</f>
        <v>26740</v>
      </c>
      <c r="E47" s="1690">
        <f t="shared" si="4"/>
        <v>5153</v>
      </c>
      <c r="F47" s="1690">
        <f t="shared" si="4"/>
        <v>0</v>
      </c>
      <c r="G47" s="1690">
        <f t="shared" si="4"/>
        <v>0</v>
      </c>
      <c r="H47" s="1690">
        <f t="shared" si="4"/>
        <v>0</v>
      </c>
      <c r="I47" s="1690">
        <f t="shared" si="4"/>
        <v>0</v>
      </c>
      <c r="J47" s="1690">
        <f t="shared" si="4"/>
        <v>0</v>
      </c>
      <c r="K47" s="1690">
        <f t="shared" si="4"/>
        <v>36096</v>
      </c>
      <c r="L47" s="1690">
        <f>SUM(L44:L46)</f>
        <v>36240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3812</v>
      </c>
      <c r="D49" s="480">
        <v>0</v>
      </c>
      <c r="E49" s="480">
        <v>9668</v>
      </c>
      <c r="F49" s="480">
        <v>2606</v>
      </c>
      <c r="G49" s="480">
        <v>0</v>
      </c>
      <c r="H49" s="480">
        <v>12563</v>
      </c>
      <c r="I49" s="467">
        <v>0</v>
      </c>
      <c r="J49" s="467">
        <v>0</v>
      </c>
      <c r="K49" s="1692">
        <f>SUM(C49:J49)</f>
        <v>28649</v>
      </c>
      <c r="L49" s="466">
        <v>39162</v>
      </c>
    </row>
    <row r="50" spans="1:14" x14ac:dyDescent="0.2">
      <c r="A50" s="1524" t="s">
        <v>872</v>
      </c>
      <c r="B50" s="613">
        <v>2320</v>
      </c>
      <c r="C50" s="466">
        <v>141284</v>
      </c>
      <c r="D50" s="466">
        <v>24842</v>
      </c>
      <c r="E50" s="466">
        <v>302</v>
      </c>
      <c r="F50" s="466">
        <v>2240</v>
      </c>
      <c r="G50" s="466">
        <v>0</v>
      </c>
      <c r="H50" s="466">
        <v>14670</v>
      </c>
      <c r="I50" s="467">
        <v>0</v>
      </c>
      <c r="J50" s="467">
        <v>0</v>
      </c>
      <c r="K50" s="1692">
        <f>SUM(C50:J50)</f>
        <v>183338</v>
      </c>
      <c r="L50" s="466">
        <v>183501</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68461</v>
      </c>
      <c r="F52" s="474">
        <v>0</v>
      </c>
      <c r="G52" s="474">
        <v>0</v>
      </c>
      <c r="H52" s="474">
        <v>0</v>
      </c>
      <c r="I52" s="474">
        <v>0</v>
      </c>
      <c r="J52" s="474">
        <v>0</v>
      </c>
      <c r="K52" s="1692">
        <f>SUM(C52:J52)</f>
        <v>68461</v>
      </c>
      <c r="L52" s="466">
        <v>70000</v>
      </c>
    </row>
    <row r="53" spans="1:14" ht="12.75" customHeight="1" thickBot="1" x14ac:dyDescent="0.25">
      <c r="A53" s="1688" t="s">
        <v>741</v>
      </c>
      <c r="B53" s="1689" t="s">
        <v>33</v>
      </c>
      <c r="C53" s="1690">
        <f>SUM(C49:C52)</f>
        <v>145096</v>
      </c>
      <c r="D53" s="1690">
        <f t="shared" ref="D53:L53" si="5">SUM(D49:D52)</f>
        <v>24842</v>
      </c>
      <c r="E53" s="1690">
        <f t="shared" si="5"/>
        <v>78431</v>
      </c>
      <c r="F53" s="1690">
        <f t="shared" si="5"/>
        <v>4846</v>
      </c>
      <c r="G53" s="1690">
        <f t="shared" si="5"/>
        <v>0</v>
      </c>
      <c r="H53" s="1690">
        <f t="shared" si="5"/>
        <v>27233</v>
      </c>
      <c r="I53" s="1690">
        <f t="shared" si="5"/>
        <v>0</v>
      </c>
      <c r="J53" s="1690">
        <f t="shared" si="5"/>
        <v>0</v>
      </c>
      <c r="K53" s="1690">
        <f t="shared" si="5"/>
        <v>280448</v>
      </c>
      <c r="L53" s="1690">
        <f t="shared" si="5"/>
        <v>292663</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102296</v>
      </c>
      <c r="D55" s="480">
        <v>12793</v>
      </c>
      <c r="E55" s="480">
        <v>0</v>
      </c>
      <c r="F55" s="480">
        <v>0</v>
      </c>
      <c r="G55" s="480">
        <v>0</v>
      </c>
      <c r="H55" s="480">
        <v>0</v>
      </c>
      <c r="I55" s="467">
        <v>0</v>
      </c>
      <c r="J55" s="467">
        <v>0</v>
      </c>
      <c r="K55" s="1692">
        <f>SUM(C55:J55)</f>
        <v>115089</v>
      </c>
      <c r="L55" s="480">
        <v>114581</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102296</v>
      </c>
      <c r="D57" s="1694">
        <f t="shared" ref="D57:K57" si="6">SUM(D55:D56)</f>
        <v>12793</v>
      </c>
      <c r="E57" s="1694">
        <f t="shared" si="6"/>
        <v>0</v>
      </c>
      <c r="F57" s="1694">
        <f t="shared" si="6"/>
        <v>0</v>
      </c>
      <c r="G57" s="1694">
        <f t="shared" si="6"/>
        <v>0</v>
      </c>
      <c r="H57" s="1694">
        <f t="shared" si="6"/>
        <v>0</v>
      </c>
      <c r="I57" s="1694">
        <f t="shared" si="6"/>
        <v>0</v>
      </c>
      <c r="J57" s="1694">
        <f t="shared" si="6"/>
        <v>0</v>
      </c>
      <c r="K57" s="1694">
        <f t="shared" si="6"/>
        <v>115089</v>
      </c>
      <c r="L57" s="1690">
        <f>SUM(L55:L56)</f>
        <v>114581</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47371</v>
      </c>
      <c r="D60" s="466">
        <v>8227</v>
      </c>
      <c r="E60" s="466">
        <v>1079</v>
      </c>
      <c r="F60" s="466">
        <v>2771</v>
      </c>
      <c r="G60" s="466">
        <v>0</v>
      </c>
      <c r="H60" s="466">
        <v>0</v>
      </c>
      <c r="I60" s="467">
        <v>0</v>
      </c>
      <c r="J60" s="467">
        <v>0</v>
      </c>
      <c r="K60" s="1692">
        <f t="shared" si="7"/>
        <v>59448</v>
      </c>
      <c r="L60" s="466">
        <v>59492</v>
      </c>
      <c r="M60" s="608"/>
      <c r="N60" s="608"/>
    </row>
    <row r="61" spans="1:14" s="343" customFormat="1" x14ac:dyDescent="0.2">
      <c r="A61" s="1524" t="s">
        <v>206</v>
      </c>
      <c r="B61" s="613">
        <v>2540</v>
      </c>
      <c r="C61" s="467">
        <v>0</v>
      </c>
      <c r="D61" s="466">
        <v>0</v>
      </c>
      <c r="E61" s="466">
        <v>2585</v>
      </c>
      <c r="F61" s="466">
        <v>92452</v>
      </c>
      <c r="G61" s="466">
        <v>0</v>
      </c>
      <c r="H61" s="466">
        <v>0</v>
      </c>
      <c r="I61" s="467">
        <v>0</v>
      </c>
      <c r="J61" s="467">
        <v>0</v>
      </c>
      <c r="K61" s="1692">
        <f t="shared" si="7"/>
        <v>95037</v>
      </c>
      <c r="L61" s="466">
        <v>95500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23578</v>
      </c>
      <c r="D63" s="466">
        <v>0</v>
      </c>
      <c r="E63" s="466">
        <v>643</v>
      </c>
      <c r="F63" s="466">
        <v>45364</v>
      </c>
      <c r="G63" s="466">
        <v>948</v>
      </c>
      <c r="H63" s="466">
        <v>0</v>
      </c>
      <c r="I63" s="467">
        <v>0</v>
      </c>
      <c r="J63" s="467">
        <v>0</v>
      </c>
      <c r="K63" s="1692">
        <f t="shared" si="7"/>
        <v>70533</v>
      </c>
      <c r="L63" s="466">
        <v>83200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70949</v>
      </c>
      <c r="D65" s="1690">
        <f t="shared" ref="D65:L65" si="8">SUM(D59:D64)</f>
        <v>8227</v>
      </c>
      <c r="E65" s="1690">
        <f t="shared" si="8"/>
        <v>4307</v>
      </c>
      <c r="F65" s="1690">
        <f t="shared" si="8"/>
        <v>140587</v>
      </c>
      <c r="G65" s="1690">
        <f t="shared" si="8"/>
        <v>948</v>
      </c>
      <c r="H65" s="1690">
        <f t="shared" si="8"/>
        <v>0</v>
      </c>
      <c r="I65" s="1690">
        <f t="shared" si="8"/>
        <v>0</v>
      </c>
      <c r="J65" s="1690">
        <f t="shared" si="8"/>
        <v>0</v>
      </c>
      <c r="K65" s="1690">
        <f t="shared" si="8"/>
        <v>225018</v>
      </c>
      <c r="L65" s="1690">
        <f t="shared" si="8"/>
        <v>238192</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394306</v>
      </c>
      <c r="D74" s="1697">
        <f t="shared" ref="D74:K74" si="10">SUM(D42,D47,D53,D57,D65,D72,D73)</f>
        <v>78847</v>
      </c>
      <c r="E74" s="1697">
        <f t="shared" si="10"/>
        <v>87891</v>
      </c>
      <c r="F74" s="1697">
        <f t="shared" si="10"/>
        <v>151716</v>
      </c>
      <c r="G74" s="1697">
        <f t="shared" si="10"/>
        <v>948</v>
      </c>
      <c r="H74" s="1697">
        <f t="shared" si="10"/>
        <v>27233</v>
      </c>
      <c r="I74" s="1697">
        <f t="shared" si="10"/>
        <v>0</v>
      </c>
      <c r="J74" s="1697">
        <f t="shared" si="10"/>
        <v>0</v>
      </c>
      <c r="K74" s="1697">
        <f t="shared" si="10"/>
        <v>740941</v>
      </c>
      <c r="L74" s="1697">
        <f>SUM(L42,L47,L53,L57,L65,L72,L73)</f>
        <v>766494</v>
      </c>
    </row>
    <row r="75" spans="1:14" s="259" customFormat="1" ht="15.75" customHeight="1" thickTop="1" thickBot="1" x14ac:dyDescent="0.25">
      <c r="A75" s="1630" t="s">
        <v>49</v>
      </c>
      <c r="B75" s="1631" t="s">
        <v>596</v>
      </c>
      <c r="C75" s="571">
        <v>1624</v>
      </c>
      <c r="D75" s="571">
        <v>0</v>
      </c>
      <c r="E75" s="571">
        <v>0</v>
      </c>
      <c r="F75" s="571">
        <v>0</v>
      </c>
      <c r="G75" s="571">
        <v>0</v>
      </c>
      <c r="H75" s="571">
        <v>0</v>
      </c>
      <c r="I75" s="529">
        <v>0</v>
      </c>
      <c r="J75" s="529">
        <v>0</v>
      </c>
      <c r="K75" s="1690">
        <f>SUM(C75:J75)</f>
        <v>1624</v>
      </c>
      <c r="L75" s="574">
        <v>1624</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59462</v>
      </c>
      <c r="F79" s="615"/>
      <c r="G79" s="615"/>
      <c r="H79" s="466">
        <v>13461</v>
      </c>
      <c r="I79" s="476"/>
      <c r="J79" s="476"/>
      <c r="K79" s="1691">
        <f t="shared" si="11"/>
        <v>72923</v>
      </c>
      <c r="L79" s="466">
        <v>85000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59462</v>
      </c>
      <c r="F84" s="615"/>
      <c r="G84" s="615"/>
      <c r="H84" s="1690">
        <f>SUM(H78:H83)</f>
        <v>13461</v>
      </c>
      <c r="I84" s="476"/>
      <c r="J84" s="476"/>
      <c r="K84" s="1690">
        <f>SUM(K78:K83)</f>
        <v>72923</v>
      </c>
      <c r="L84" s="1690">
        <f>SUM(L78:L83)</f>
        <v>85000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59462</v>
      </c>
      <c r="F102" s="615"/>
      <c r="G102" s="615"/>
      <c r="H102" s="1697">
        <f>SUM(H84,H92,H100,H101)</f>
        <v>13461</v>
      </c>
      <c r="I102" s="476"/>
      <c r="J102" s="476"/>
      <c r="K102" s="1697">
        <f>SUM(K84,K92,K100,K101)</f>
        <v>72923</v>
      </c>
      <c r="L102" s="1697">
        <f>SUM(L84,L92,L100,L101)</f>
        <v>85000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1368408</v>
      </c>
      <c r="D114" s="1690">
        <f t="shared" ref="D114:K114" si="13">SUM(D33,D74,D75,D102,D112,D113)</f>
        <v>314385</v>
      </c>
      <c r="E114" s="1690">
        <f t="shared" si="13"/>
        <v>197778</v>
      </c>
      <c r="F114" s="1690">
        <f t="shared" si="13"/>
        <v>251505</v>
      </c>
      <c r="G114" s="1690">
        <f t="shared" si="13"/>
        <v>23262</v>
      </c>
      <c r="H114" s="1690">
        <f>SUM(H33,H74,H75,H102,H112,H113)</f>
        <v>96495</v>
      </c>
      <c r="I114" s="1690">
        <f t="shared" si="13"/>
        <v>0</v>
      </c>
      <c r="J114" s="1690">
        <f t="shared" si="13"/>
        <v>0</v>
      </c>
      <c r="K114" s="1690">
        <f t="shared" si="13"/>
        <v>2251833</v>
      </c>
      <c r="L114" s="1690">
        <f>SUM(L33,L74,L75,L102,L112,L113)</f>
        <v>2317103</v>
      </c>
    </row>
    <row r="115" spans="1:14" ht="13.5" thickTop="1" x14ac:dyDescent="0.2">
      <c r="A115" s="2200" t="s">
        <v>1053</v>
      </c>
      <c r="B115" s="2201"/>
      <c r="C115" s="617"/>
      <c r="D115" s="617"/>
      <c r="E115" s="617"/>
      <c r="F115" s="617"/>
      <c r="G115" s="617"/>
      <c r="H115" s="617"/>
      <c r="I115" s="617"/>
      <c r="J115" s="617"/>
      <c r="K115" s="1704">
        <f>'Revenues 9-14'!C275-'Expenditures 15-22'!K114</f>
        <v>125189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8" t="s">
        <v>314</v>
      </c>
      <c r="B117" s="2179"/>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120162</v>
      </c>
      <c r="D124" s="466">
        <v>30154</v>
      </c>
      <c r="E124" s="466">
        <v>70166</v>
      </c>
      <c r="F124" s="466">
        <v>21552</v>
      </c>
      <c r="G124" s="466">
        <v>20910</v>
      </c>
      <c r="H124" s="466">
        <v>0</v>
      </c>
      <c r="I124" s="467">
        <v>0</v>
      </c>
      <c r="J124" s="467">
        <v>0</v>
      </c>
      <c r="K124" s="1690">
        <f>SUM(C124:J124)</f>
        <v>262944</v>
      </c>
      <c r="L124" s="466">
        <v>276800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120162</v>
      </c>
      <c r="D127" s="1690">
        <f t="shared" ref="D127:L127" si="14">SUM(D122:D126)</f>
        <v>30154</v>
      </c>
      <c r="E127" s="1690">
        <f t="shared" si="14"/>
        <v>70166</v>
      </c>
      <c r="F127" s="1690">
        <f t="shared" si="14"/>
        <v>21552</v>
      </c>
      <c r="G127" s="1690">
        <f t="shared" si="14"/>
        <v>20910</v>
      </c>
      <c r="H127" s="1690">
        <f t="shared" si="14"/>
        <v>0</v>
      </c>
      <c r="I127" s="1690">
        <f t="shared" si="14"/>
        <v>0</v>
      </c>
      <c r="J127" s="1690">
        <f t="shared" si="14"/>
        <v>0</v>
      </c>
      <c r="K127" s="1690">
        <f t="shared" si="14"/>
        <v>262944</v>
      </c>
      <c r="L127" s="1690">
        <f t="shared" si="14"/>
        <v>276800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120162</v>
      </c>
      <c r="D129" s="1697">
        <f t="shared" ref="D129:L129" si="15">SUM(D120,D127,D128)</f>
        <v>30154</v>
      </c>
      <c r="E129" s="1697">
        <f t="shared" si="15"/>
        <v>70166</v>
      </c>
      <c r="F129" s="1697">
        <f t="shared" si="15"/>
        <v>21552</v>
      </c>
      <c r="G129" s="1697">
        <f t="shared" si="15"/>
        <v>20910</v>
      </c>
      <c r="H129" s="1697">
        <f t="shared" si="15"/>
        <v>0</v>
      </c>
      <c r="I129" s="1697">
        <f t="shared" si="15"/>
        <v>0</v>
      </c>
      <c r="J129" s="1697">
        <f t="shared" si="15"/>
        <v>0</v>
      </c>
      <c r="K129" s="1697">
        <f t="shared" si="15"/>
        <v>262944</v>
      </c>
      <c r="L129" s="1697">
        <f t="shared" si="15"/>
        <v>276800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0" t="s">
        <v>641</v>
      </c>
      <c r="B151" s="2172"/>
      <c r="C151" s="1690">
        <f>SUM(C129,C130,C139,C149,C150)</f>
        <v>120162</v>
      </c>
      <c r="D151" s="1690">
        <f t="shared" ref="D151:K151" si="16">SUM(D129,D130,D139,D149,D150)</f>
        <v>30154</v>
      </c>
      <c r="E151" s="1690">
        <f t="shared" si="16"/>
        <v>70166</v>
      </c>
      <c r="F151" s="1690">
        <f t="shared" si="16"/>
        <v>21552</v>
      </c>
      <c r="G151" s="1690">
        <f t="shared" si="16"/>
        <v>20910</v>
      </c>
      <c r="H151" s="1690">
        <f t="shared" si="16"/>
        <v>0</v>
      </c>
      <c r="I151" s="1690">
        <f t="shared" si="16"/>
        <v>0</v>
      </c>
      <c r="J151" s="1690">
        <f t="shared" si="16"/>
        <v>0</v>
      </c>
      <c r="K151" s="1690">
        <f t="shared" si="16"/>
        <v>262944</v>
      </c>
      <c r="L151" s="1690">
        <f>SUM(L129,L130,L139,L149,L150)</f>
        <v>276800</v>
      </c>
    </row>
    <row r="152" spans="1:14" ht="12.75" customHeight="1" thickTop="1" x14ac:dyDescent="0.2">
      <c r="A152" s="2193" t="s">
        <v>1240</v>
      </c>
      <c r="B152" s="2194"/>
      <c r="C152" s="617"/>
      <c r="D152" s="617"/>
      <c r="E152" s="617"/>
      <c r="F152" s="617"/>
      <c r="G152" s="617"/>
      <c r="H152" s="617"/>
      <c r="I152" s="617"/>
      <c r="J152" s="615"/>
      <c r="K152" s="1704">
        <f>'Revenues 9-14'!D275-'Expenditures 15-22'!K151</f>
        <v>27966</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8" t="s">
        <v>642</v>
      </c>
      <c r="B154" s="2180"/>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166582</v>
      </c>
      <c r="I169" s="615"/>
      <c r="J169" s="615"/>
      <c r="K169" s="1691">
        <f>SUM(C169:H169)</f>
        <v>166582</v>
      </c>
      <c r="L169" s="655">
        <v>166582</v>
      </c>
    </row>
    <row r="170" spans="1:14" ht="33.75" customHeight="1" x14ac:dyDescent="0.2">
      <c r="A170" s="668" t="s">
        <v>1769</v>
      </c>
      <c r="B170" s="670" t="s">
        <v>31</v>
      </c>
      <c r="C170" s="615"/>
      <c r="D170" s="615"/>
      <c r="E170" s="615"/>
      <c r="F170" s="615"/>
      <c r="G170" s="615"/>
      <c r="H170" s="567">
        <v>105000</v>
      </c>
      <c r="I170" s="615"/>
      <c r="J170" s="615"/>
      <c r="K170" s="1691">
        <f>SUM(C170:J170)</f>
        <v>105000</v>
      </c>
      <c r="L170" s="567">
        <v>105000</v>
      </c>
    </row>
    <row r="171" spans="1:14" ht="15.75" customHeight="1" x14ac:dyDescent="0.2">
      <c r="A171" s="620" t="s">
        <v>790</v>
      </c>
      <c r="B171" s="671" t="s">
        <v>86</v>
      </c>
      <c r="C171" s="615"/>
      <c r="D171" s="615"/>
      <c r="E171" s="466">
        <v>850</v>
      </c>
      <c r="F171" s="615"/>
      <c r="G171" s="615"/>
      <c r="H171" s="567">
        <v>0</v>
      </c>
      <c r="I171" s="476"/>
      <c r="J171" s="615"/>
      <c r="K171" s="1691">
        <f>SUM(C171:J171)</f>
        <v>850</v>
      </c>
      <c r="L171" s="567">
        <v>850</v>
      </c>
    </row>
    <row r="172" spans="1:14" ht="12.75" customHeight="1" thickBot="1" x14ac:dyDescent="0.25">
      <c r="A172" s="1688" t="s">
        <v>659</v>
      </c>
      <c r="B172" s="1689" t="s">
        <v>513</v>
      </c>
      <c r="C172" s="615"/>
      <c r="D172" s="615"/>
      <c r="E172" s="1697">
        <f>SUM(E168,E169,E170,E171)</f>
        <v>850</v>
      </c>
      <c r="F172" s="615"/>
      <c r="G172" s="615"/>
      <c r="H172" s="1697">
        <f>SUM(H168,H169,H170,H171)</f>
        <v>271582</v>
      </c>
      <c r="I172" s="637"/>
      <c r="J172" s="615"/>
      <c r="K172" s="1697">
        <f>SUM(K168,K169,K170,K171)</f>
        <v>272432</v>
      </c>
      <c r="L172" s="1697">
        <f>SUM(L168,L169,L170,L171)</f>
        <v>272432</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850</v>
      </c>
      <c r="F174" s="615"/>
      <c r="G174" s="615"/>
      <c r="H174" s="1697">
        <f>SUM(H160,H172,H173)</f>
        <v>271582</v>
      </c>
      <c r="I174" s="637"/>
      <c r="J174" s="615"/>
      <c r="K174" s="1697">
        <f>SUM(K160,K172,K173)</f>
        <v>272432</v>
      </c>
      <c r="L174" s="1697">
        <f>SUM(L160,L172,L173)</f>
        <v>272432</v>
      </c>
    </row>
    <row r="175" spans="1:14" ht="13.5" thickTop="1" x14ac:dyDescent="0.2">
      <c r="A175" s="2200" t="s">
        <v>1053</v>
      </c>
      <c r="B175" s="2201"/>
      <c r="C175" s="615"/>
      <c r="D175" s="615"/>
      <c r="E175" s="615"/>
      <c r="F175" s="615"/>
      <c r="G175" s="615"/>
      <c r="H175" s="617"/>
      <c r="I175" s="615"/>
      <c r="J175" s="615"/>
      <c r="K175" s="1704">
        <f>'Revenues 9-14'!E275-'Expenditures 15-22'!K174</f>
        <v>-38416</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0</v>
      </c>
      <c r="F182" s="467">
        <v>0</v>
      </c>
      <c r="G182" s="467">
        <v>0</v>
      </c>
      <c r="H182" s="466">
        <v>0</v>
      </c>
      <c r="I182" s="467">
        <v>0</v>
      </c>
      <c r="J182" s="467">
        <v>0</v>
      </c>
      <c r="K182" s="1691">
        <f>SUM(C182:J182)</f>
        <v>0</v>
      </c>
      <c r="L182" s="466">
        <v>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0</v>
      </c>
      <c r="F184" s="1697">
        <f t="shared" si="17"/>
        <v>0</v>
      </c>
      <c r="G184" s="1697">
        <f t="shared" si="17"/>
        <v>0</v>
      </c>
      <c r="H184" s="1697">
        <f t="shared" si="17"/>
        <v>0</v>
      </c>
      <c r="I184" s="1697">
        <f t="shared" si="17"/>
        <v>0</v>
      </c>
      <c r="J184" s="1697">
        <f t="shared" si="17"/>
        <v>0</v>
      </c>
      <c r="K184" s="1697">
        <f>SUM(K180,K182,K183)</f>
        <v>0</v>
      </c>
      <c r="L184" s="1697">
        <f>SUM(L180, L182:L183)</f>
        <v>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142666</v>
      </c>
      <c r="F188" s="615"/>
      <c r="G188" s="615"/>
      <c r="H188" s="466">
        <v>0</v>
      </c>
      <c r="I188" s="476"/>
      <c r="J188" s="615"/>
      <c r="K188" s="1691">
        <f t="shared" ref="K188:K193" si="18">SUM(E188,H188)</f>
        <v>142666</v>
      </c>
      <c r="L188" s="466">
        <v>143200</v>
      </c>
    </row>
    <row r="189" spans="1:14" x14ac:dyDescent="0.2">
      <c r="A189" s="1524" t="s">
        <v>322</v>
      </c>
      <c r="B189" s="613">
        <v>4120</v>
      </c>
      <c r="C189" s="615"/>
      <c r="D189" s="615"/>
      <c r="E189" s="466">
        <v>67383</v>
      </c>
      <c r="F189" s="615"/>
      <c r="G189" s="615"/>
      <c r="H189" s="466">
        <v>0</v>
      </c>
      <c r="I189" s="476"/>
      <c r="J189" s="615"/>
      <c r="K189" s="1691">
        <f t="shared" si="18"/>
        <v>67383</v>
      </c>
      <c r="L189" s="466">
        <v>68000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210049</v>
      </c>
      <c r="F194" s="615"/>
      <c r="G194" s="615"/>
      <c r="H194" s="1690">
        <f>SUM(H188:H193)</f>
        <v>0</v>
      </c>
      <c r="I194" s="476"/>
      <c r="J194" s="615"/>
      <c r="K194" s="1690">
        <f>SUM(K188:K193)</f>
        <v>210049</v>
      </c>
      <c r="L194" s="1690">
        <f>SUM(L188:L193)</f>
        <v>211200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210049</v>
      </c>
      <c r="F196" s="615"/>
      <c r="G196" s="615"/>
      <c r="H196" s="1697">
        <f>SUM(H194,H195)</f>
        <v>0</v>
      </c>
      <c r="I196" s="476"/>
      <c r="J196" s="615"/>
      <c r="K196" s="1697">
        <f>SUM(K194,K195)</f>
        <v>210049</v>
      </c>
      <c r="L196" s="1697">
        <f>SUM(L194,L195)</f>
        <v>211200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210049</v>
      </c>
      <c r="F210" s="1690">
        <f>SUM(F184,F185)</f>
        <v>0</v>
      </c>
      <c r="G210" s="1690">
        <f>SUM(G184,G185)</f>
        <v>0</v>
      </c>
      <c r="H210" s="1690">
        <f>SUM(H184,H185,H196,H208,H209)</f>
        <v>0</v>
      </c>
      <c r="I210" s="1690">
        <f>SUM(I184,I185)</f>
        <v>0</v>
      </c>
      <c r="J210" s="1690">
        <f>SUM(J184,J185)</f>
        <v>0</v>
      </c>
      <c r="K210" s="1691">
        <f>SUM(K184,K185,K196,K208,K209)</f>
        <v>210049</v>
      </c>
      <c r="L210" s="1690">
        <f>SUM(L184,L185,L196,L208,L209)</f>
        <v>211200</v>
      </c>
    </row>
    <row r="211" spans="1:14" ht="13.5" thickTop="1" x14ac:dyDescent="0.2">
      <c r="A211" s="2200" t="s">
        <v>1053</v>
      </c>
      <c r="B211" s="2201"/>
      <c r="C211" s="617"/>
      <c r="D211" s="617"/>
      <c r="E211" s="617"/>
      <c r="F211" s="617"/>
      <c r="G211" s="617"/>
      <c r="H211" s="617"/>
      <c r="I211" s="615"/>
      <c r="J211" s="615"/>
      <c r="K211" s="1704">
        <f>'Revenues 9-14'!F275-'Expenditures 15-22'!K210</f>
        <v>39237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5" t="s">
        <v>1022</v>
      </c>
      <c r="B213" s="2196"/>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29557</v>
      </c>
      <c r="E215" s="615"/>
      <c r="F215" s="615"/>
      <c r="G215" s="615"/>
      <c r="H215" s="615"/>
      <c r="I215" s="615"/>
      <c r="J215" s="615"/>
      <c r="K215" s="1691">
        <f>D215</f>
        <v>29557</v>
      </c>
      <c r="L215" s="466">
        <v>30453</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1234</v>
      </c>
      <c r="E217" s="615"/>
      <c r="F217" s="615"/>
      <c r="G217" s="615"/>
      <c r="H217" s="615"/>
      <c r="I217" s="615"/>
      <c r="J217" s="615"/>
      <c r="K217" s="1691">
        <f t="shared" si="19"/>
        <v>1234</v>
      </c>
      <c r="L217" s="466">
        <v>1200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328</v>
      </c>
      <c r="E219" s="615"/>
      <c r="F219" s="615"/>
      <c r="G219" s="615"/>
      <c r="H219" s="615"/>
      <c r="I219" s="615"/>
      <c r="J219" s="615"/>
      <c r="K219" s="1691">
        <f t="shared" si="19"/>
        <v>328</v>
      </c>
      <c r="L219" s="466">
        <v>306</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872</v>
      </c>
      <c r="E223" s="615"/>
      <c r="F223" s="615"/>
      <c r="G223" s="615"/>
      <c r="H223" s="615"/>
      <c r="I223" s="615"/>
      <c r="J223" s="615"/>
      <c r="K223" s="1691">
        <f t="shared" si="19"/>
        <v>872</v>
      </c>
      <c r="L223" s="466">
        <v>940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10</v>
      </c>
      <c r="E225" s="615"/>
      <c r="F225" s="615"/>
      <c r="G225" s="615"/>
      <c r="H225" s="615"/>
      <c r="I225" s="615"/>
      <c r="J225" s="615"/>
      <c r="K225" s="1691">
        <f t="shared" si="19"/>
        <v>10</v>
      </c>
      <c r="L225" s="466">
        <v>10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32001</v>
      </c>
      <c r="E229" s="615"/>
      <c r="F229" s="615"/>
      <c r="G229" s="615"/>
      <c r="H229" s="615"/>
      <c r="I229" s="615"/>
      <c r="J229" s="615"/>
      <c r="K229" s="1690">
        <f>SUM(K215:K228)</f>
        <v>32001</v>
      </c>
      <c r="L229" s="1690">
        <f>SUM(L215:L228)</f>
        <v>32909</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5333</v>
      </c>
      <c r="E234" s="615"/>
      <c r="F234" s="615"/>
      <c r="G234" s="615"/>
      <c r="H234" s="615"/>
      <c r="I234" s="615"/>
      <c r="J234" s="615"/>
      <c r="K234" s="1691">
        <f t="shared" si="20"/>
        <v>5333</v>
      </c>
      <c r="L234" s="466">
        <v>5376</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612</v>
      </c>
      <c r="E236" s="615"/>
      <c r="F236" s="615"/>
      <c r="G236" s="615"/>
      <c r="H236" s="615"/>
      <c r="I236" s="615"/>
      <c r="J236" s="615"/>
      <c r="K236" s="1691">
        <f t="shared" si="20"/>
        <v>612</v>
      </c>
      <c r="L236" s="466">
        <v>600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5945</v>
      </c>
      <c r="E238" s="615"/>
      <c r="F238" s="615"/>
      <c r="G238" s="615"/>
      <c r="H238" s="615"/>
      <c r="I238" s="615"/>
      <c r="J238" s="615"/>
      <c r="K238" s="1690">
        <f>SUM(K232:K237)</f>
        <v>5945</v>
      </c>
      <c r="L238" s="1690">
        <f>SUM(L232:L237)</f>
        <v>5976</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29</v>
      </c>
      <c r="E240" s="615"/>
      <c r="F240" s="615"/>
      <c r="G240" s="615"/>
      <c r="H240" s="615"/>
      <c r="I240" s="615"/>
      <c r="J240" s="615"/>
      <c r="K240" s="1692">
        <f>D240</f>
        <v>29</v>
      </c>
      <c r="L240" s="480">
        <v>35</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29</v>
      </c>
      <c r="E243" s="615"/>
      <c r="F243" s="615"/>
      <c r="G243" s="615"/>
      <c r="H243" s="615"/>
      <c r="I243" s="615"/>
      <c r="J243" s="615"/>
      <c r="K243" s="1690">
        <f>SUM(K240:K242)</f>
        <v>29</v>
      </c>
      <c r="L243" s="1690">
        <f>SUM(L240:L242)</f>
        <v>35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292</v>
      </c>
      <c r="E245" s="615"/>
      <c r="F245" s="615"/>
      <c r="G245" s="615"/>
      <c r="H245" s="615"/>
      <c r="I245" s="615"/>
      <c r="J245" s="615"/>
      <c r="K245" s="1692">
        <f>D245</f>
        <v>292</v>
      </c>
      <c r="L245" s="480">
        <v>310</v>
      </c>
    </row>
    <row r="246" spans="1:12" x14ac:dyDescent="0.2">
      <c r="A246" s="1524" t="s">
        <v>872</v>
      </c>
      <c r="B246" s="613">
        <v>2320</v>
      </c>
      <c r="C246" s="615"/>
      <c r="D246" s="466">
        <v>6666</v>
      </c>
      <c r="E246" s="615"/>
      <c r="F246" s="615"/>
      <c r="G246" s="615"/>
      <c r="H246" s="615"/>
      <c r="I246" s="615"/>
      <c r="J246" s="615"/>
      <c r="K246" s="1692">
        <f t="shared" ref="K246:K256" si="21">D246</f>
        <v>6666</v>
      </c>
      <c r="L246" s="466">
        <v>6700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6958</v>
      </c>
      <c r="E257" s="615"/>
      <c r="F257" s="615"/>
      <c r="G257" s="615"/>
      <c r="H257" s="615"/>
      <c r="I257" s="615"/>
      <c r="J257" s="615"/>
      <c r="K257" s="1690">
        <f>SUM(K245:K256)</f>
        <v>6958</v>
      </c>
      <c r="L257" s="1690">
        <f>SUM(L245:L256)</f>
        <v>7010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5488</v>
      </c>
      <c r="E259" s="615"/>
      <c r="F259" s="615"/>
      <c r="G259" s="615"/>
      <c r="H259" s="615"/>
      <c r="I259" s="615"/>
      <c r="J259" s="615"/>
      <c r="K259" s="1692">
        <f>D259</f>
        <v>5488</v>
      </c>
      <c r="L259" s="480">
        <v>5600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5488</v>
      </c>
      <c r="E261" s="615"/>
      <c r="F261" s="615"/>
      <c r="G261" s="615"/>
      <c r="H261" s="615"/>
      <c r="I261" s="615"/>
      <c r="J261" s="615"/>
      <c r="K261" s="1690">
        <f>SUM(K259:K260)</f>
        <v>5488</v>
      </c>
      <c r="L261" s="1690">
        <f>SUM(L259:L260)</f>
        <v>5600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8188</v>
      </c>
      <c r="E264" s="615"/>
      <c r="F264" s="615"/>
      <c r="G264" s="615"/>
      <c r="H264" s="615"/>
      <c r="I264" s="615"/>
      <c r="J264" s="615"/>
      <c r="K264" s="1692">
        <f t="shared" ref="K264:K269" si="22">D264</f>
        <v>8188</v>
      </c>
      <c r="L264" s="466">
        <v>8490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20619</v>
      </c>
      <c r="E266" s="615"/>
      <c r="F266" s="615"/>
      <c r="G266" s="615"/>
      <c r="H266" s="615"/>
      <c r="I266" s="615"/>
      <c r="J266" s="615"/>
      <c r="K266" s="1692">
        <f t="shared" si="22"/>
        <v>20619</v>
      </c>
      <c r="L266" s="466">
        <v>21500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4071</v>
      </c>
      <c r="E268" s="615"/>
      <c r="F268" s="615"/>
      <c r="G268" s="615"/>
      <c r="H268" s="615"/>
      <c r="I268" s="615"/>
      <c r="J268" s="615"/>
      <c r="K268" s="1692">
        <f t="shared" si="22"/>
        <v>4071</v>
      </c>
      <c r="L268" s="466">
        <v>4850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32878</v>
      </c>
      <c r="E270" s="615"/>
      <c r="F270" s="615"/>
      <c r="G270" s="615"/>
      <c r="H270" s="615"/>
      <c r="I270" s="615"/>
      <c r="J270" s="615"/>
      <c r="K270" s="1690">
        <f>SUM(K263:K269)</f>
        <v>32878</v>
      </c>
      <c r="L270" s="1690">
        <f>SUM(L263:L269)</f>
        <v>34840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51298</v>
      </c>
      <c r="E279" s="615"/>
      <c r="F279" s="615"/>
      <c r="G279" s="615"/>
      <c r="H279" s="615"/>
      <c r="I279" s="615"/>
      <c r="J279" s="615"/>
      <c r="K279" s="1697">
        <f>SUM(K238,K243,K257,K261,K270,K277,K278)</f>
        <v>51298</v>
      </c>
      <c r="L279" s="1697">
        <f>SUM(L238,L243,L257,L261,L270,L277,L278)</f>
        <v>53461</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1" t="s">
        <v>526</v>
      </c>
      <c r="B295" s="2192"/>
      <c r="C295" s="615"/>
      <c r="D295" s="1690">
        <f>SUM(D229,D279,D280,D285)</f>
        <v>83299</v>
      </c>
      <c r="E295" s="615"/>
      <c r="F295" s="615"/>
      <c r="G295" s="615"/>
      <c r="H295" s="1690">
        <f>H293</f>
        <v>0</v>
      </c>
      <c r="I295" s="615"/>
      <c r="J295" s="615"/>
      <c r="K295" s="1690">
        <f>SUM(K229,K279,K280,K285,K293,K294)</f>
        <v>83299</v>
      </c>
      <c r="L295" s="1690">
        <f>SUM(L229,L279,L280,L285,L293,L294)</f>
        <v>86370</v>
      </c>
    </row>
    <row r="296" spans="1:14" ht="13.5" thickTop="1" x14ac:dyDescent="0.2">
      <c r="A296" s="2200" t="s">
        <v>1053</v>
      </c>
      <c r="B296" s="2201"/>
      <c r="C296" s="615"/>
      <c r="D296" s="617"/>
      <c r="E296" s="615"/>
      <c r="F296" s="615"/>
      <c r="G296" s="615"/>
      <c r="H296" s="686"/>
      <c r="I296" s="615"/>
      <c r="J296" s="615"/>
      <c r="K296" s="1704">
        <f>'Revenues 9-14'!G275-'Expenditures 15-22'!K295</f>
        <v>16650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3" t="s">
        <v>145</v>
      </c>
      <c r="B298" s="2177"/>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1575475</v>
      </c>
      <c r="H301" s="466">
        <v>0</v>
      </c>
      <c r="I301" s="467">
        <v>0</v>
      </c>
      <c r="J301" s="467">
        <v>0</v>
      </c>
      <c r="K301" s="1691">
        <f>SUM(C301:J301)</f>
        <v>1575475</v>
      </c>
      <c r="L301" s="467">
        <v>1575475</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1575475</v>
      </c>
      <c r="H303" s="1697">
        <f t="shared" si="23"/>
        <v>0</v>
      </c>
      <c r="I303" s="1697">
        <f t="shared" si="23"/>
        <v>0</v>
      </c>
      <c r="J303" s="1697">
        <f t="shared" si="23"/>
        <v>0</v>
      </c>
      <c r="K303" s="1697">
        <f t="shared" si="23"/>
        <v>1575475</v>
      </c>
      <c r="L303" s="1697">
        <f t="shared" si="23"/>
        <v>1575475</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8" t="s">
        <v>295</v>
      </c>
      <c r="B312" s="2189"/>
      <c r="C312" s="1690">
        <f>SUM(C303)</f>
        <v>0</v>
      </c>
      <c r="D312" s="1690">
        <f>SUM(D303)</f>
        <v>0</v>
      </c>
      <c r="E312" s="1690">
        <f>SUM(E303,E310)</f>
        <v>0</v>
      </c>
      <c r="F312" s="1690">
        <f>SUM(F303)</f>
        <v>0</v>
      </c>
      <c r="G312" s="1690">
        <f>SUM(G303)</f>
        <v>1575475</v>
      </c>
      <c r="H312" s="1690">
        <f>SUM(H303,H310)</f>
        <v>0</v>
      </c>
      <c r="I312" s="1690">
        <f>SUM(I303)</f>
        <v>0</v>
      </c>
      <c r="J312" s="1690">
        <f>SUM(J303)</f>
        <v>0</v>
      </c>
      <c r="K312" s="1690">
        <f>SUM(K303,K310,K311)</f>
        <v>1575475</v>
      </c>
      <c r="L312" s="1690">
        <f>SUM(L303,L310,L311)</f>
        <v>1575475</v>
      </c>
      <c r="M312" s="664"/>
      <c r="N312" s="664"/>
    </row>
    <row r="313" spans="1:14" ht="13.5" thickTop="1" x14ac:dyDescent="0.2">
      <c r="A313" s="2184" t="s">
        <v>1053</v>
      </c>
      <c r="B313" s="2185"/>
      <c r="C313" s="625"/>
      <c r="D313" s="625"/>
      <c r="E313" s="625"/>
      <c r="F313" s="625"/>
      <c r="G313" s="625"/>
      <c r="H313" s="625"/>
      <c r="I313" s="625"/>
      <c r="J313" s="625"/>
      <c r="K313" s="1705">
        <f>'Revenues 9-14'!H275-'Expenditures 15-22'!K312</f>
        <v>-1567887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7" t="s">
        <v>151</v>
      </c>
      <c r="B315" s="2198"/>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9" t="s">
        <v>954</v>
      </c>
      <c r="B317" s="2198"/>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186" t="s">
        <v>1053</v>
      </c>
      <c r="B343" s="2187"/>
      <c r="C343" s="615"/>
      <c r="D343" s="615"/>
      <c r="E343" s="615"/>
      <c r="F343" s="615"/>
      <c r="G343" s="615"/>
      <c r="H343" s="615"/>
      <c r="I343" s="615"/>
      <c r="J343" s="615"/>
      <c r="K343" s="1704">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6" t="s">
        <v>1023</v>
      </c>
      <c r="B345" s="2177"/>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6501</v>
      </c>
      <c r="F348" s="466">
        <v>0</v>
      </c>
      <c r="G348" s="466">
        <v>7960</v>
      </c>
      <c r="H348" s="466">
        <v>0</v>
      </c>
      <c r="I348" s="467">
        <v>0</v>
      </c>
      <c r="J348" s="467">
        <v>0</v>
      </c>
      <c r="K348" s="1691">
        <f>SUM(C348:J348)</f>
        <v>14461</v>
      </c>
      <c r="L348" s="466">
        <v>25000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6501</v>
      </c>
      <c r="F350" s="1690">
        <f t="shared" si="26"/>
        <v>0</v>
      </c>
      <c r="G350" s="1690">
        <f t="shared" si="26"/>
        <v>7960</v>
      </c>
      <c r="H350" s="1690">
        <f t="shared" si="26"/>
        <v>0</v>
      </c>
      <c r="I350" s="1690">
        <f t="shared" si="26"/>
        <v>0</v>
      </c>
      <c r="J350" s="1690">
        <f t="shared" si="26"/>
        <v>0</v>
      </c>
      <c r="K350" s="1690">
        <f t="shared" si="26"/>
        <v>14461</v>
      </c>
      <c r="L350" s="1690">
        <f t="shared" si="26"/>
        <v>25000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6501</v>
      </c>
      <c r="F352" s="1690">
        <f t="shared" si="27"/>
        <v>0</v>
      </c>
      <c r="G352" s="1690">
        <f t="shared" si="27"/>
        <v>7960</v>
      </c>
      <c r="H352" s="1690">
        <f t="shared" si="27"/>
        <v>0</v>
      </c>
      <c r="I352" s="1690">
        <f t="shared" si="27"/>
        <v>0</v>
      </c>
      <c r="J352" s="1690">
        <f t="shared" si="27"/>
        <v>0</v>
      </c>
      <c r="K352" s="1690">
        <f t="shared" si="27"/>
        <v>14461</v>
      </c>
      <c r="L352" s="1690">
        <f t="shared" si="27"/>
        <v>25000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6501</v>
      </c>
      <c r="F367" s="1690">
        <f t="shared" si="28"/>
        <v>0</v>
      </c>
      <c r="G367" s="1690">
        <f t="shared" si="28"/>
        <v>7960</v>
      </c>
      <c r="H367" s="1690">
        <f t="shared" si="28"/>
        <v>0</v>
      </c>
      <c r="I367" s="1690">
        <f t="shared" si="28"/>
        <v>0</v>
      </c>
      <c r="J367" s="1690">
        <f t="shared" si="28"/>
        <v>0</v>
      </c>
      <c r="K367" s="1690">
        <f t="shared" si="28"/>
        <v>14461</v>
      </c>
      <c r="L367" s="1690">
        <f t="shared" si="28"/>
        <v>25000</v>
      </c>
    </row>
    <row r="368" spans="1:14" ht="13.5" thickTop="1" x14ac:dyDescent="0.2">
      <c r="A368" s="2200" t="s">
        <v>1053</v>
      </c>
      <c r="B368" s="2201"/>
      <c r="C368" s="653"/>
      <c r="D368" s="653"/>
      <c r="E368" s="625"/>
      <c r="F368" s="625"/>
      <c r="G368" s="625"/>
      <c r="H368" s="625"/>
      <c r="I368" s="625"/>
      <c r="J368" s="622"/>
      <c r="K368" s="1691">
        <f>'Revenues 9-14'!K275-'Expenditures 15-22'!K367</f>
        <v>23694</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purl.org/dc/dcmitype/"/>
    <ds:schemaRef ds:uri="http://purl.org/dc/terms/"/>
    <ds:schemaRef ds:uri="6ce3111e-7420-4802-b50a-75d4e9a0b980"/>
    <ds:schemaRef ds:uri="http://schemas.openxmlformats.org/package/2006/metadata/core-properties"/>
    <ds:schemaRef ds:uri="http://schemas.microsoft.com/sharepoint/v3"/>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Finding 2018-001</vt:lpstr>
      <vt:lpstr>Finding 2018-002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2018-09-25T16:28:16Z</cp:lastPrinted>
  <dcterms:created xsi:type="dcterms:W3CDTF">2003-10-29T19:06:34Z</dcterms:created>
  <dcterms:modified xsi:type="dcterms:W3CDTF">2018-10-10T18:27:54Z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