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1570" windowHeight="79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SEFA'!$B$1:$M$43</definedName>
    <definedName name="_xlnm.Print_Area" localSheetId="29">' SEFA (2)'!$B$1:$M$44</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E12" i="11" l="1"/>
  <c r="D10" i="11"/>
  <c r="D8" i="11"/>
  <c r="L25" i="183" l="1"/>
  <c r="L24" i="183"/>
  <c r="L23" i="183"/>
  <c r="L20" i="183"/>
  <c r="L18" i="183"/>
  <c r="L15" i="183"/>
  <c r="L13" i="183"/>
  <c r="L12" i="183"/>
  <c r="B4" i="183"/>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F33" i="181"/>
  <c r="G33" i="181" s="1"/>
  <c r="E33" i="181"/>
  <c r="F32" i="181"/>
  <c r="G32" i="181" s="1"/>
  <c r="E32" i="181"/>
  <c r="F31" i="181"/>
  <c r="G31" i="181" s="1"/>
  <c r="E31" i="181"/>
  <c r="F30" i="181"/>
  <c r="G30" i="181" s="1"/>
  <c r="E30" i="181"/>
  <c r="F29" i="181"/>
  <c r="G29" i="181" s="1"/>
  <c r="E29" i="181"/>
  <c r="F28" i="181"/>
  <c r="G28" i="181" s="1"/>
  <c r="E28" i="181"/>
  <c r="E27" i="181"/>
  <c r="F27" i="181" s="1"/>
  <c r="G27" i="181" s="1"/>
  <c r="F26" i="181"/>
  <c r="G26" i="181" s="1"/>
  <c r="E26" i="181"/>
  <c r="F25" i="181"/>
  <c r="G25" i="181" s="1"/>
  <c r="E25" i="181"/>
  <c r="F24" i="181"/>
  <c r="G24" i="181" s="1"/>
  <c r="E24" i="181"/>
  <c r="F23" i="181"/>
  <c r="G23" i="181" s="1"/>
  <c r="E23" i="181"/>
  <c r="E22" i="181"/>
  <c r="F22" i="181" s="1"/>
  <c r="G22" i="181" s="1"/>
  <c r="F21" i="181"/>
  <c r="G21" i="181" s="1"/>
  <c r="E21" i="181"/>
  <c r="F20" i="181"/>
  <c r="G20" i="181" s="1"/>
  <c r="E20" i="181"/>
  <c r="F19" i="181"/>
  <c r="G19" i="181" s="1"/>
  <c r="E19" i="181"/>
  <c r="F35" i="181"/>
  <c r="G35" i="181" s="1"/>
  <c r="E35" i="181"/>
  <c r="F18" i="181"/>
  <c r="G18" i="181" s="1"/>
  <c r="E18" i="181"/>
  <c r="D36" i="181" l="1"/>
  <c r="D80" i="36" l="1"/>
  <c r="B7797" i="106"/>
  <c r="E36" i="181"/>
  <c r="E17" i="181"/>
  <c r="E16" i="181"/>
  <c r="F16" i="181" s="1"/>
  <c r="G16" i="181" s="1"/>
  <c r="F17" i="181" l="1"/>
  <c r="G17" i="181" s="1"/>
  <c r="G36" i="181" s="1"/>
  <c r="G40" i="108" l="1"/>
  <c r="B7799" i="106"/>
  <c r="F36" i="181"/>
  <c r="B7798" i="106" s="1"/>
  <c r="E40" i="108"/>
  <c r="B4" i="179" l="1"/>
  <c r="D17" i="171" l="1"/>
  <c r="L25" i="179" l="1"/>
  <c r="L23" i="179"/>
  <c r="L20" i="179"/>
  <c r="L18" i="179"/>
  <c r="L17" i="179"/>
  <c r="L15" i="179"/>
  <c r="L13" i="179"/>
  <c r="L12"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c r="B5103" i="106"/>
  <c r="D5103" i="106" s="1"/>
  <c r="B5104" i="106"/>
  <c r="D5104" i="106" s="1"/>
  <c r="B5105" i="106"/>
  <c r="D5105" i="106" s="1"/>
  <c r="B5106" i="106"/>
  <c r="D5106" i="106" s="1"/>
  <c r="B5107" i="106"/>
  <c r="D5107" i="106" s="1"/>
  <c r="B5108" i="106"/>
  <c r="D5108" i="106"/>
  <c r="B5109" i="106"/>
  <c r="D5109" i="106" s="1"/>
  <c r="B5110" i="106"/>
  <c r="D5110" i="106"/>
  <c r="B5111" i="106"/>
  <c r="D5111" i="106" s="1"/>
  <c r="B5113" i="106"/>
  <c r="D5113" i="106" s="1"/>
  <c r="B5114" i="106"/>
  <c r="D5114" i="106"/>
  <c r="B5115" i="106"/>
  <c r="D5115" i="106" s="1"/>
  <c r="B5116" i="106"/>
  <c r="D5116" i="106" s="1"/>
  <c r="B5117" i="106"/>
  <c r="D5117" i="106"/>
  <c r="B5118" i="106"/>
  <c r="D5118" i="106"/>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c r="B6299" i="106"/>
  <c r="D6299" i="106" s="1"/>
  <c r="B6300" i="106"/>
  <c r="D6300" i="106" s="1"/>
  <c r="B6302" i="106"/>
  <c r="D6302" i="106" s="1"/>
  <c r="B6303" i="106"/>
  <c r="D6303" i="106" s="1"/>
  <c r="B6304" i="106"/>
  <c r="D6304" i="106" s="1"/>
  <c r="B6305" i="106"/>
  <c r="D6305" i="106"/>
  <c r="B6307" i="106"/>
  <c r="D6307" i="106" s="1"/>
  <c r="B6308" i="106"/>
  <c r="D6308" i="106"/>
  <c r="B6309" i="106"/>
  <c r="D6309" i="106" s="1"/>
  <c r="B6310" i="106"/>
  <c r="D6310" i="106" s="1"/>
  <c r="B6311" i="106"/>
  <c r="D6311" i="106" s="1"/>
  <c r="B6312" i="106"/>
  <c r="D6312" i="106" s="1"/>
  <c r="B6313" i="106"/>
  <c r="D6313" i="106" s="1"/>
  <c r="B6314" i="106"/>
  <c r="D6314" i="106"/>
  <c r="B6315" i="106"/>
  <c r="D6315" i="106" s="1"/>
  <c r="B6316" i="106"/>
  <c r="D6316" i="106"/>
  <c r="B6317" i="106"/>
  <c r="D6317" i="106" s="1"/>
  <c r="B6319" i="106"/>
  <c r="D6319" i="106" s="1"/>
  <c r="B6320" i="106"/>
  <c r="D6320" i="106" s="1"/>
  <c r="B6321" i="106"/>
  <c r="D6321" i="106" s="1"/>
  <c r="B6322" i="106"/>
  <c r="D6322" i="106" s="1"/>
  <c r="B6323" i="106"/>
  <c r="D6323" i="106"/>
  <c r="B6324" i="106"/>
  <c r="D6324" i="106" s="1"/>
  <c r="B6325" i="106"/>
  <c r="D6325" i="106"/>
  <c r="B6326" i="106"/>
  <c r="D6326" i="106" s="1"/>
  <c r="B6327" i="106"/>
  <c r="D6327" i="106" s="1"/>
  <c r="B6328" i="106"/>
  <c r="D6328" i="106" s="1"/>
  <c r="B6329" i="106"/>
  <c r="D6329" i="106" s="1"/>
  <c r="B6330" i="106"/>
  <c r="D6330" i="106" s="1"/>
  <c r="B6331" i="106"/>
  <c r="D6331" i="106"/>
  <c r="B6332" i="106"/>
  <c r="D6332" i="106" s="1"/>
  <c r="B6333" i="106"/>
  <c r="D6333" i="106"/>
  <c r="B6334" i="106"/>
  <c r="D6334" i="106" s="1"/>
  <c r="B6335" i="106"/>
  <c r="D6335" i="106" s="1"/>
  <c r="B6336" i="106"/>
  <c r="D6336" i="106" s="1"/>
  <c r="B6337" i="106"/>
  <c r="D6337" i="106" s="1"/>
  <c r="B6338" i="106"/>
  <c r="D6338" i="106" s="1"/>
  <c r="B6339" i="106"/>
  <c r="D6339" i="106"/>
  <c r="B6340" i="106"/>
  <c r="D6340" i="106" s="1"/>
  <c r="B6341" i="106"/>
  <c r="D6341" i="106"/>
  <c r="B6342" i="106"/>
  <c r="D6342" i="106" s="1"/>
  <c r="B6343" i="106"/>
  <c r="D6343" i="106" s="1"/>
  <c r="B6344" i="106"/>
  <c r="D6344" i="106" s="1"/>
  <c r="B6345" i="106"/>
  <c r="D6345" i="106" s="1"/>
  <c r="B6346" i="106"/>
  <c r="D6346" i="106" s="1"/>
  <c r="B6347" i="106"/>
  <c r="D6347" i="106"/>
  <c r="B6348" i="106"/>
  <c r="D6348" i="106" s="1"/>
  <c r="B6349" i="106"/>
  <c r="D6349" i="106"/>
  <c r="B6350" i="106"/>
  <c r="D6350" i="106" s="1"/>
  <c r="B6353" i="106"/>
  <c r="D6353" i="106" s="1"/>
  <c r="B6354" i="106"/>
  <c r="D6354" i="106" s="1"/>
  <c r="B6355" i="106"/>
  <c r="D6355" i="106" s="1"/>
  <c r="B6356" i="106"/>
  <c r="D6356" i="106" s="1"/>
  <c r="B6358" i="106"/>
  <c r="D6358" i="106"/>
  <c r="B6359" i="106"/>
  <c r="D6359" i="106" s="1"/>
  <c r="B6360" i="106"/>
  <c r="D6360" i="106"/>
  <c r="B6361" i="106"/>
  <c r="D6361" i="106" s="1"/>
  <c r="B6362" i="106"/>
  <c r="D6362" i="106"/>
  <c r="B6363" i="106"/>
  <c r="D6363" i="106" s="1"/>
  <c r="B6364" i="106"/>
  <c r="D6364" i="106"/>
  <c r="B6365" i="106"/>
  <c r="D6365" i="106" s="1"/>
  <c r="B6366" i="106"/>
  <c r="D6366" i="106"/>
  <c r="B6367" i="106"/>
  <c r="D6367" i="106" s="1"/>
  <c r="B6368" i="106"/>
  <c r="D6368" i="106"/>
  <c r="B6369" i="106"/>
  <c r="D6369" i="106" s="1"/>
  <c r="B6370" i="106"/>
  <c r="D6370" i="106"/>
  <c r="B6371" i="106"/>
  <c r="D6371" i="106" s="1"/>
  <c r="B6372" i="106"/>
  <c r="D6372" i="106"/>
  <c r="B6373" i="106"/>
  <c r="D6373" i="106" s="1"/>
  <c r="B6374" i="106"/>
  <c r="D6374" i="106"/>
  <c r="B6375" i="106"/>
  <c r="D6375" i="106" s="1"/>
  <c r="B6376" i="106"/>
  <c r="D6376" i="106"/>
  <c r="B6377" i="106"/>
  <c r="D6377" i="106" s="1"/>
  <c r="B6378" i="106"/>
  <c r="D6378" i="106"/>
  <c r="B6379" i="106"/>
  <c r="D6379" i="106" s="1"/>
  <c r="B6380" i="106"/>
  <c r="D6380" i="106"/>
  <c r="B6381" i="106"/>
  <c r="D6381" i="106" s="1"/>
  <c r="B6382" i="106"/>
  <c r="D6382" i="106"/>
  <c r="B6383" i="106"/>
  <c r="D6383" i="106" s="1"/>
  <c r="B6384" i="106"/>
  <c r="D6384" i="106"/>
  <c r="B6385" i="106"/>
  <c r="D6385" i="106" s="1"/>
  <c r="B6386" i="106"/>
  <c r="D6386" i="106"/>
  <c r="B6387" i="106"/>
  <c r="D6387" i="106" s="1"/>
  <c r="B6388" i="106"/>
  <c r="D6388" i="106"/>
  <c r="B6389" i="106"/>
  <c r="D6389" i="106" s="1"/>
  <c r="B6390" i="106"/>
  <c r="D6390" i="106"/>
  <c r="B6391" i="106"/>
  <c r="D6391" i="106" s="1"/>
  <c r="B6392" i="106"/>
  <c r="D6392" i="106"/>
  <c r="B6393" i="106"/>
  <c r="D6393" i="106" s="1"/>
  <c r="B6394" i="106"/>
  <c r="D6394" i="106"/>
  <c r="B6395" i="106"/>
  <c r="D6395" i="106" s="1"/>
  <c r="B6398" i="106"/>
  <c r="D6398" i="106"/>
  <c r="B6399" i="106"/>
  <c r="D6399" i="106" s="1"/>
  <c r="B6401" i="106"/>
  <c r="D6401" i="106"/>
  <c r="B6402" i="106"/>
  <c r="D6402" i="106" s="1"/>
  <c r="B6403" i="106"/>
  <c r="D6403" i="106"/>
  <c r="B6404" i="106"/>
  <c r="D6404" i="106" s="1"/>
  <c r="B6405" i="106"/>
  <c r="D6405" i="106"/>
  <c r="B6406" i="106"/>
  <c r="D6406" i="106" s="1"/>
  <c r="B6407" i="106"/>
  <c r="D6407" i="106"/>
  <c r="B6408" i="106"/>
  <c r="D6408" i="106" s="1"/>
  <c r="B6410" i="106"/>
  <c r="D6410" i="106"/>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c r="B6729" i="106"/>
  <c r="D6729" i="106" s="1"/>
  <c r="B6730" i="106"/>
  <c r="D6730" i="106"/>
  <c r="B6731" i="106"/>
  <c r="D6731" i="106" s="1"/>
  <c r="B6732" i="106"/>
  <c r="D6732" i="106" s="1"/>
  <c r="B6733" i="106"/>
  <c r="D6733" i="106" s="1"/>
  <c r="B6734" i="106"/>
  <c r="D6734" i="106" s="1"/>
  <c r="B6735" i="106"/>
  <c r="D6735" i="106" s="1"/>
  <c r="B6736" i="106"/>
  <c r="D6736" i="106"/>
  <c r="B6737" i="106"/>
  <c r="D6737" i="106" s="1"/>
  <c r="B6738" i="106"/>
  <c r="D6738" i="106"/>
  <c r="B6739" i="106"/>
  <c r="D6739" i="106" s="1"/>
  <c r="B6740" i="106"/>
  <c r="D6740" i="106" s="1"/>
  <c r="B6741" i="106"/>
  <c r="D6741" i="106" s="1"/>
  <c r="B6742" i="106"/>
  <c r="D6742" i="106" s="1"/>
  <c r="B6743" i="106"/>
  <c r="D6743" i="106" s="1"/>
  <c r="B6744" i="106"/>
  <c r="D6744" i="106"/>
  <c r="B6745" i="106"/>
  <c r="D6745" i="106" s="1"/>
  <c r="B6746" i="106"/>
  <c r="D6746" i="106"/>
  <c r="B6747" i="106"/>
  <c r="D6747" i="106" s="1"/>
  <c r="B6748" i="106"/>
  <c r="D6748" i="106" s="1"/>
  <c r="B6749" i="106"/>
  <c r="D6749" i="106" s="1"/>
  <c r="B6750" i="106"/>
  <c r="D6750" i="106" s="1"/>
  <c r="B6751" i="106"/>
  <c r="D6751" i="106" s="1"/>
  <c r="B6752" i="106"/>
  <c r="D6752" i="106"/>
  <c r="B6753" i="106"/>
  <c r="D6753" i="106" s="1"/>
  <c r="B6754" i="106"/>
  <c r="D6754" i="106"/>
  <c r="B6755" i="106"/>
  <c r="D6755" i="106" s="1"/>
  <c r="B6756" i="106"/>
  <c r="D6756" i="106" s="1"/>
  <c r="B6757" i="106"/>
  <c r="D6757" i="106" s="1"/>
  <c r="B6758" i="106"/>
  <c r="D6758" i="106" s="1"/>
  <c r="B6759" i="106"/>
  <c r="D6759" i="106" s="1"/>
  <c r="B6760" i="106"/>
  <c r="D6760" i="106"/>
  <c r="B6761" i="106"/>
  <c r="D6761" i="106" s="1"/>
  <c r="B6762" i="106"/>
  <c r="D6762" i="106"/>
  <c r="B6763" i="106"/>
  <c r="D6763" i="106" s="1"/>
  <c r="B6764" i="106"/>
  <c r="D6764" i="106" s="1"/>
  <c r="B6765" i="106"/>
  <c r="D6765" i="106" s="1"/>
  <c r="B6766" i="106"/>
  <c r="D6766" i="106" s="1"/>
  <c r="B6767" i="106"/>
  <c r="D6767" i="106" s="1"/>
  <c r="B6768" i="106"/>
  <c r="D6768" i="106"/>
  <c r="B6769" i="106"/>
  <c r="D6769" i="106" s="1"/>
  <c r="B6770" i="106"/>
  <c r="D6770" i="106"/>
  <c r="B6771" i="106"/>
  <c r="D6771" i="106" s="1"/>
  <c r="B6772" i="106"/>
  <c r="D6772" i="106" s="1"/>
  <c r="B6773" i="106"/>
  <c r="D6773" i="106" s="1"/>
  <c r="B6774" i="106"/>
  <c r="D6774" i="106" s="1"/>
  <c r="B6775" i="106"/>
  <c r="D6775" i="106" s="1"/>
  <c r="B6776" i="106"/>
  <c r="D6776" i="106"/>
  <c r="B6777" i="106"/>
  <c r="D6777" i="106" s="1"/>
  <c r="B6778" i="106"/>
  <c r="D6778" i="106"/>
  <c r="B6779" i="106"/>
  <c r="D6779" i="106" s="1"/>
  <c r="B6780" i="106"/>
  <c r="D6780" i="106" s="1"/>
  <c r="B6781" i="106"/>
  <c r="D6781" i="106" s="1"/>
  <c r="B6782" i="106"/>
  <c r="D6782" i="106" s="1"/>
  <c r="B6783" i="106"/>
  <c r="D6783" i="106" s="1"/>
  <c r="B6784" i="106"/>
  <c r="D6784" i="106"/>
  <c r="B6785" i="106"/>
  <c r="D6785" i="106" s="1"/>
  <c r="B6786" i="106"/>
  <c r="D6786" i="106"/>
  <c r="B6787" i="106"/>
  <c r="D6787" i="106" s="1"/>
  <c r="B6788" i="106"/>
  <c r="D6788" i="106"/>
  <c r="B6789" i="106"/>
  <c r="D6789" i="106" s="1"/>
  <c r="B6790" i="106"/>
  <c r="D6790" i="106"/>
  <c r="B6791" i="106"/>
  <c r="D6791" i="106" s="1"/>
  <c r="B6792" i="106"/>
  <c r="D6792" i="106"/>
  <c r="B6793" i="106"/>
  <c r="D6793" i="106" s="1"/>
  <c r="B6794" i="106"/>
  <c r="D6794" i="106"/>
  <c r="B6795" i="106"/>
  <c r="D6795" i="106" s="1"/>
  <c r="B6796" i="106"/>
  <c r="D6796" i="106"/>
  <c r="B6797" i="106"/>
  <c r="D6797" i="106" s="1"/>
  <c r="B6798" i="106"/>
  <c r="D6798" i="106"/>
  <c r="B6799" i="106"/>
  <c r="D6799" i="106" s="1"/>
  <c r="B6800" i="106"/>
  <c r="D6800" i="106"/>
  <c r="B6801" i="106"/>
  <c r="D6801" i="106" s="1"/>
  <c r="B6802" i="106"/>
  <c r="D6802" i="106"/>
  <c r="B6803" i="106"/>
  <c r="D6803" i="106" s="1"/>
  <c r="B6804" i="106"/>
  <c r="D6804" i="106"/>
  <c r="B6805" i="106"/>
  <c r="D6805" i="106" s="1"/>
  <c r="B6806" i="106"/>
  <c r="D6806" i="106"/>
  <c r="B6807" i="106"/>
  <c r="D6807" i="106" s="1"/>
  <c r="B6808" i="106"/>
  <c r="D6808" i="106"/>
  <c r="B6809" i="106"/>
  <c r="D6809" i="106" s="1"/>
  <c r="B6810" i="106"/>
  <c r="D6810" i="106"/>
  <c r="B6811" i="106"/>
  <c r="D6811" i="106" s="1"/>
  <c r="B6812" i="106"/>
  <c r="D6812" i="106"/>
  <c r="B6813" i="106"/>
  <c r="D6813" i="106" s="1"/>
  <c r="B6814" i="106"/>
  <c r="D6814" i="106"/>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F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c r="D5730" i="106" s="1"/>
  <c r="H18" i="5"/>
  <c r="B5878" i="106" s="1"/>
  <c r="D5878" i="106" s="1"/>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09" i="5"/>
  <c r="B5121" i="106" s="1"/>
  <c r="D5121"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5" i="7"/>
  <c r="B1761" i="106" s="1"/>
  <c r="D1761" i="106" s="1"/>
  <c r="D13" i="7"/>
  <c r="B3726" i="106" s="1"/>
  <c r="D3726" i="106" s="1"/>
  <c r="D9" i="7"/>
  <c r="B1767" i="106" s="1"/>
  <c r="D1767" i="106" s="1"/>
  <c r="F136" i="34"/>
  <c r="F131" i="34"/>
  <c r="F111" i="34"/>
  <c r="B5599" i="106"/>
  <c r="D5599" i="106" s="1"/>
  <c r="H109" i="5"/>
  <c r="B6025" i="106" s="1"/>
  <c r="D6025" i="106" s="1"/>
  <c r="D7" i="7"/>
  <c r="B1763" i="106" s="1"/>
  <c r="D1763" i="106" s="1"/>
  <c r="B1746" i="106"/>
  <c r="D1746" i="106" s="1"/>
  <c r="D17" i="7"/>
  <c r="B4104" i="106" s="1"/>
  <c r="D4104" i="106" s="1"/>
  <c r="D12" i="7"/>
  <c r="B1769" i="106" s="1"/>
  <c r="D1769" i="106" s="1"/>
  <c r="D11" i="7"/>
  <c r="B1768" i="106" s="1"/>
  <c r="D1768" i="106" s="1"/>
  <c r="G172" i="5" l="1"/>
  <c r="L367" i="29"/>
  <c r="B6191" i="106"/>
  <c r="D6191" i="106" s="1"/>
  <c r="J41" i="3"/>
  <c r="K350" i="29"/>
  <c r="G352" i="29"/>
  <c r="B3647" i="106"/>
  <c r="D3647" i="106" s="1"/>
  <c r="B3619" i="106"/>
  <c r="D3619" i="106" s="1"/>
  <c r="C352" i="29"/>
  <c r="C172" i="5"/>
  <c r="B5214" i="106" s="1"/>
  <c r="D5214" i="106" s="1"/>
  <c r="D15" i="7"/>
  <c r="B1772" i="106" s="1"/>
  <c r="D1772" i="106" s="1"/>
  <c r="F106" i="34"/>
  <c r="H173" i="5"/>
  <c r="F128" i="34"/>
  <c r="D4" i="7"/>
  <c r="B1760" i="106" s="1"/>
  <c r="D1760" i="106" s="1"/>
  <c r="J274" i="5"/>
  <c r="B7054" i="106" s="1"/>
  <c r="D7054" i="106" s="1"/>
  <c r="I173" i="5"/>
  <c r="B4216" i="106" s="1"/>
  <c r="D4216" i="106" s="1"/>
  <c r="G109" i="5"/>
  <c r="L342" i="29"/>
  <c r="F49" i="34"/>
  <c r="J77" i="4"/>
  <c r="B6262" i="106" s="1"/>
  <c r="D6262" i="106" s="1"/>
  <c r="F127" i="34"/>
  <c r="D5" i="4"/>
  <c r="B3406" i="106" s="1"/>
  <c r="D3406" i="106" s="1"/>
  <c r="D109" i="5"/>
  <c r="K274" i="5"/>
  <c r="F130" i="34"/>
  <c r="L5" i="11"/>
  <c r="B2056" i="106" s="1"/>
  <c r="D2056" i="106" s="1"/>
  <c r="K28" i="118"/>
  <c r="O27" i="118" s="1"/>
  <c r="O29" i="118" s="1"/>
  <c r="E109" i="5"/>
  <c r="E4" i="4" s="1"/>
  <c r="B2630" i="106" s="1"/>
  <c r="D2630" i="106" s="1"/>
  <c r="F41" i="34"/>
  <c r="F35" i="34"/>
  <c r="B3565" i="106"/>
  <c r="D3565" i="106" s="1"/>
  <c r="K41" i="3"/>
  <c r="B1410" i="106"/>
  <c r="D1410" i="106" s="1"/>
  <c r="B1329" i="106"/>
  <c r="D1329" i="106" s="1"/>
  <c r="F61" i="34"/>
  <c r="G15" i="145"/>
  <c r="K24" i="12"/>
  <c r="E174" i="29"/>
  <c r="B1309" i="106" s="1"/>
  <c r="D1309" i="106" s="1"/>
  <c r="L15" i="11"/>
  <c r="B3459" i="106" s="1"/>
  <c r="D3459" i="106" s="1"/>
  <c r="D68" i="36"/>
  <c r="H4" i="4"/>
  <c r="B2655" i="106" s="1"/>
  <c r="D2655" i="106" s="1"/>
  <c r="C173" i="5"/>
  <c r="B5223" i="106" s="1"/>
  <c r="D5223"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D274" i="5"/>
  <c r="B3447" i="106"/>
  <c r="D3447" i="106" s="1"/>
  <c r="D19" i="7"/>
  <c r="B1775" i="106" s="1"/>
  <c r="D1775" i="106" s="1"/>
  <c r="B7270" i="106"/>
  <c r="B7733" i="106" l="1"/>
  <c r="D7733" i="106" s="1"/>
  <c r="K26" i="12"/>
  <c r="B7743" i="106" s="1"/>
  <c r="D7743" i="106" s="1"/>
  <c r="H367" i="29"/>
  <c r="B3660" i="106" s="1"/>
  <c r="D3660" i="106" s="1"/>
  <c r="B5356" i="106"/>
  <c r="D5356" i="106" s="1"/>
  <c r="D4" i="4"/>
  <c r="B2564" i="106" s="1"/>
  <c r="D2564" i="106" s="1"/>
  <c r="D7250" i="106"/>
  <c r="B3568" i="106"/>
  <c r="D3568" i="106" s="1"/>
  <c r="D52" i="36"/>
  <c r="B6024" i="106"/>
  <c r="D6024" i="106" s="1"/>
  <c r="G4" i="4"/>
  <c r="B2603" i="106" s="1"/>
  <c r="D2603" i="106" s="1"/>
  <c r="B3649" i="106"/>
  <c r="D3649" i="106" s="1"/>
  <c r="G367" i="29"/>
  <c r="B3650" i="106" s="1"/>
  <c r="D3650" i="106" s="1"/>
  <c r="B5906" i="106"/>
  <c r="D5906" i="106" s="1"/>
  <c r="H6" i="4"/>
  <c r="B3621" i="106"/>
  <c r="D3621" i="106" s="1"/>
  <c r="C367" i="29"/>
  <c r="B3622" i="106" s="1"/>
  <c r="D3622" i="106" s="1"/>
  <c r="B3670" i="106"/>
  <c r="D3670" i="106" s="1"/>
  <c r="K352" i="29"/>
  <c r="G173" i="5"/>
  <c r="B5770" i="106"/>
  <c r="D5770" i="106" s="1"/>
  <c r="L16" i="11"/>
  <c r="B2061" i="106" s="1"/>
  <c r="D2061" i="106" s="1"/>
  <c r="C114" i="29"/>
  <c r="B757" i="106" s="1"/>
  <c r="D757" i="106" s="1"/>
  <c r="C6" i="4"/>
  <c r="B2553" i="106" s="1"/>
  <c r="D255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F8" i="4" l="1"/>
  <c r="B5778" i="106"/>
  <c r="D5778" i="106" s="1"/>
  <c r="G6" i="4"/>
  <c r="B2604" i="106" s="1"/>
  <c r="D2604" i="106" s="1"/>
  <c r="K13" i="4"/>
  <c r="B3572" i="106" s="1"/>
  <c r="D3572" i="106" s="1"/>
  <c r="B3672" i="106"/>
  <c r="D3672" i="106" s="1"/>
  <c r="B2656" i="106"/>
  <c r="D2656" i="106" s="1"/>
  <c r="H8" i="4"/>
  <c r="K367" i="29"/>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B2658" i="106"/>
  <c r="D2658" i="106" s="1"/>
  <c r="H10" i="4"/>
  <c r="B4127" i="106" s="1"/>
  <c r="D4127"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<sst xmlns="http://schemas.openxmlformats.org/spreadsheetml/2006/main" count="5152" uniqueCount="2151">
  <si>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</si>
  <si>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</si>
  <si>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</si>
  <si>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</si>
  <si>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</si>
  <si>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</si>
  <si>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</si>
  <si>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</si>
  <si>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</si>
  <si>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</si>
  <si>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</si>
  <si>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</si>
  <si>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</si>
  <si>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</si>
  <si>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</si>
  <si>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</si>
  <si>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</si>
  <si>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</si>
  <si>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</si>
  <si>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</si>
  <si>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</si>
  <si>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</si>
  <si>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</si>
  <si>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</si>
  <si>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</si>
  <si>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</si>
  <si>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</si>
  <si>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</si>
  <si>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</si>
  <si>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</si>
  <si>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</si>
  <si>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</si>
  <si>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</si>
  <si>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</si>
  <si>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</si>
  <si>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</si>
  <si>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</si>
  <si>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</si>
  <si>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</si>
  <si>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</si>
  <si>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</si>
  <si>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</si>
  <si>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</si>
  <si>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</si>
  <si>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</si>
  <si>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</si>
  <si>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</si>
  <si>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</si>
  <si>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</si>
  <si>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</si>
  <si>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</si>
  <si>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</si>
  <si>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</si>
  <si>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</si>
  <si>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</si>
  <si>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</si>
  <si>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</si>
  <si>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</si>
  <si>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</si>
  <si>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</si>
  <si>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</si>
  <si>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</si>
  <si>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</si>
  <si>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</si>
  <si>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</si>
  <si>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</si>
  <si>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</si>
  <si>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</si>
  <si>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</si>
  <si>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</si>
  <si>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</si>
  <si>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</si>
  <si>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</si>
  <si>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</si>
  <si>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</si>
  <si>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</si>
  <si>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</si>
  <si>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</si>
  <si>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</si>
  <si>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</si>
  <si>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</si>
  <si>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</si>
  <si>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</si>
  <si>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</si>
  <si>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</si>
  <si>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</si>
  <si>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</si>
  <si>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</si>
  <si>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</si>
  <si>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</si>
  <si>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</si>
  <si>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</si>
  <si>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</si>
  <si>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</si>
  <si>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</si>
  <si>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</si>
  <si>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</si>
  <si>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</si>
  <si>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</si>
  <si>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</si>
  <si>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</si>
  <si>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</si>
  <si>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</si>
  <si>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</si>
  <si>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</si>
  <si>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</si>
  <si>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</si>
  <si>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</si>
  <si>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</si>
  <si>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</si>
  <si>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</si>
  <si>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</si>
  <si>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</si>
  <si>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</si>
  <si>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</si>
  <si>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</si>
  <si>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</si>
  <si>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</si>
  <si>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</si>
  <si>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</si>
  <si>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</si>
  <si>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</si>
  <si>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</si>
  <si>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</si>
  <si>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</si>
  <si>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</si>
  <si>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</si>
  <si>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</si>
  <si>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</si>
  <si>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</si>
  <si>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</si>
  <si>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</si>
  <si>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</si>
  <si>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</si>
  <si>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</si>
  <si>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</si>
  <si>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</si>
  <si>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</si>
  <si>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</si>
  <si>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</si>
  <si>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</si>
  <si>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</si>
  <si>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</si>
  <si>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</si>
  <si>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</si>
  <si>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</si>
  <si>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</si>
  <si>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</si>
  <si>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</si>
  <si>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</si>
  <si>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</si>
  <si>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</si>
  <si>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</si>
  <si>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</si>
  <si>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</si>
  <si>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</si>
  <si>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</si>
  <si>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</si>
  <si>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</si>
  <si>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</si>
  <si>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</si>
  <si>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</si>
  <si>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</si>
  <si>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</si>
  <si>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</si>
  <si>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</si>
  <si>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</si>
  <si>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</si>
  <si>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</si>
  <si>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</si>
  <si>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</si>
  <si>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</si>
  <si>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</si>
  <si>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</si>
  <si>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</si>
  <si>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</si>
  <si>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</si>
  <si>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</si>
  <si>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</si>
  <si>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</si>
  <si>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</si>
  <si>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</si>
  <si>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</si>
  <si>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</si>
  <si>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</si>
  <si>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</si>
  <si>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</si>
  <si>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</si>
  <si>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</si>
  <si>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</si>
  <si>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</si>
  <si>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</si>
  <si>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</si>
  <si>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</si>
  <si>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</si>
  <si>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</si>
  <si>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</si>
  <si>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</si>
  <si>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</si>
  <si>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</si>
  <si>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</si>
  <si>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</si>
  <si>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</si>
  <si>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</si>
  <si>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</si>
  <si>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</si>
  <si>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</si>
  <si>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</si>
  <si>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</si>
  <si>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</si>
  <si>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</si>
  <si>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</si>
  <si>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</si>
  <si>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</si>
  <si>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</si>
  <si>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</si>
  <si>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</si>
  <si>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</si>
  <si>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</si>
  <si>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</si>
  <si>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</si>
  <si>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</si>
  <si>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</si>
  <si>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</si>
  <si>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</si>
  <si>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</si>
  <si>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</si>
  <si>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</si>
  <si>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</si>
  <si>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</si>
  <si>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</si>
  <si>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</si>
  <si>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</si>
  <si>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</si>
  <si>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</si>
  <si>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</si>
  <si>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</si>
  <si>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</si>
  <si>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</si>
  <si>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</si>
  <si>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</si>
  <si>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</si>
  <si>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</si>
  <si>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</si>
  <si>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</si>
  <si>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</si>
  <si>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</si>
  <si>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</si>
  <si>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</si>
  <si>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</si>
  <si>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</si>
  <si>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</si>
  <si>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</si>
  <si>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</si>
  <si>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</si>
  <si>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</si>
  <si>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</si>
  <si>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</si>
  <si>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</si>
  <si>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</si>
  <si>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</si>
  <si>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</si>
  <si>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</si>
  <si>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</si>
  <si>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</si>
  <si>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</si>
  <si>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</si>
  <si>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</si>
  <si>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</si>
  <si>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</si>
  <si>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</si>
  <si>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</si>
  <si>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</si>
  <si>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</si>
  <si>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</si>
  <si>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</si>
  <si>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</si>
  <si>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</si>
  <si>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</si>
  <si>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</si>
  <si>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</si>
  <si>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</si>
  <si>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</si>
  <si>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</si>
  <si>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</si>
  <si>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</si>
  <si>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</si>
  <si>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</si>
  <si>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</si>
  <si>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</si>
  <si>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</si>
  <si>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</si>
  <si>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</si>
  <si>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</si>
  <si>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</si>
  <si>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</si>
  <si>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</si>
  <si>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</si>
  <si>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</si>
  <si>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</si>
  <si>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</si>
  <si>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</si>
  <si>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</si>
  <si>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</si>
  <si>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</si>
  <si>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</si>
  <si>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</si>
  <si>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</si>
  <si>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</si>
  <si>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</si>
  <si>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</si>
  <si>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</si>
  <si>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</si>
  <si>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</si>
  <si>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</si>
  <si>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</si>
  <si>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</si>
  <si>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</si>
  <si>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</si>
  <si>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</si>
  <si>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</si>
  <si>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</si>
  <si>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</si>
  <si>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</si>
  <si>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</si>
  <si>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</si>
  <si>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</si>
  <si>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</si>
  <si>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</si>
  <si>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</si>
  <si>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</si>
  <si>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</si>
  <si>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</si>
  <si>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</si>
  <si>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</si>
  <si>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</si>
  <si>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</si>
  <si>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</si>
  <si>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</si>
  <si>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</si>
  <si>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</si>
  <si>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</si>
  <si>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</si>
  <si>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</si>
  <si>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</si>
  <si>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</si>
  <si>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</si>
  <si>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</si>
  <si>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</si>
  <si>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</si>
  <si>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</si>
  <si>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</si>
  <si>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</si>
  <si>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</si>
  <si>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</si>
  <si>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</si>
  <si>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</si>
  <si>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</si>
  <si>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</si>
  <si>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</si>
  <si>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</si>
  <si>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</si>
  <si>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</si>
  <si>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</si>
  <si>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</si>
  <si>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</si>
  <si>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</si>
  <si>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</si>
  <si>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</si>
  <si>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</si>
  <si>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</si>
  <si>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</si>
  <si>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</si>
  <si>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</si>
  <si>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</si>
  <si>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</si>
  <si>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</si>
  <si>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</si>
  <si>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</si>
  <si>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</si>
  <si>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</si>
  <si>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</si>
  <si>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</si>
  <si>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</si>
  <si>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</si>
  <si>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</si>
  <si>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</si>
  <si>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</si>
  <si>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</si>
  <si>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</si>
  <si>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</si>
  <si>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</si>
  <si>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</si>
  <si>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</si>
  <si>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</si>
  <si>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</si>
  <si>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</si>
  <si>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</si>
  <si>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</si>
  <si>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</si>
  <si>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</si>
  <si>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</si>
  <si>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</si>
  <si>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</si>
  <si>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</si>
  <si>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</si>
  <si>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</si>
  <si>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</si>
  <si>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</si>
  <si>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</si>
  <si>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</si>
  <si>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</si>
  <si>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</si>
  <si>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</si>
  <si>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</si>
  <si>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</si>
  <si>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</si>
  <si>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</si>
  <si>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</si>
  <si>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</si>
  <si>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</si>
  <si>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</si>
  <si>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</si>
  <si>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</si>
  <si>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</si>
  <si>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</si>
  <si>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</si>
  <si>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</si>
  <si>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</si>
  <si>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</si>
  <si>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</si>
  <si>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</si>
  <si>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</si>
  <si>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</si>
  <si>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</si>
  <si>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</si>
  <si>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</si>
  <si>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</si>
  <si>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</si>
  <si>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</si>
  <si>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</si>
  <si>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</si>
  <si>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</si>
  <si>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</si>
  <si>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</si>
  <si>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</si>
  <si>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</si>
  <si>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</si>
  <si>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</si>
  <si>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</si>
  <si>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</si>
  <si>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</si>
  <si>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</si>
  <si>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</si>
  <si>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</si>
  <si>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</si>
  <si>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</si>
  <si>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</si>
  <si>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</si>
  <si>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</si>
  <si>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</si>
  <si>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</si>
  <si>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</si>
  <si>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</si>
  <si>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</si>
  <si>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</si>
  <si>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</si>
  <si>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</si>
  <si>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</si>
  <si>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</si>
  <si>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</si>
  <si>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</si>
  <si>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</si>
  <si>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</si>
  <si>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</si>
  <si>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</si>
  <si>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</si>
  <si>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</si>
  <si>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</si>
  <si>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</si>
  <si>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</si>
  <si>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</si>
  <si>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</si>
  <si>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</si>
  <si>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</si>
  <si>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</si>
  <si>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</si>
  <si>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</si>
  <si>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</si>
  <si>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</si>
  <si>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</si>
  <si>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</si>
  <si>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</si>
  <si>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</si>
  <si>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</si>
  <si>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</si>
  <si>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</si>
  <si>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</si>
  <si>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</si>
  <si>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</si>
  <si>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</si>
  <si>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</si>
  <si>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</si>
  <si>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</si>
  <si>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</si>
  <si>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</si>
  <si>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</si>
  <si>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</si>
  <si>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</si>
  <si>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</si>
  <si>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</si>
  <si>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</si>
  <si>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</si>
  <si>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</si>
  <si>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</si>
  <si>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</si>
  <si>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</si>
  <si>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</si>
  <si>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</si>
  <si>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</si>
  <si>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</si>
  <si>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</si>
  <si>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</si>
  <si>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</si>
  <si>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</si>
  <si>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</si>
  <si>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</si>
  <si>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</si>
  <si>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</si>
  <si>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</si>
  <si>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</si>
  <si>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</si>
  <si>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</si>
  <si>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</si>
  <si>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</si>
  <si>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</si>
  <si>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</si>
  <si>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</si>
  <si>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</si>
  <si>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</si>
  <si>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</si>
  <si>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</si>
  <si>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</si>
  <si>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</si>
  <si>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</si>
  <si>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</si>
  <si>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</si>
  <si>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</si>
  <si>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</si>
  <si>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</si>
  <si>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</si>
  <si>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</si>
  <si>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</si>
  <si>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</si>
  <si>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</si>
  <si>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</si>
  <si>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</si>
  <si>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</si>
  <si>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</si>
  <si>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</si>
  <si>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</si>
  <si>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</si>
  <si>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</si>
  <si>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</si>
  <si>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</si>
  <si>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</si>
  <si>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</si>
  <si>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</si>
  <si>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</si>
  <si>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</si>
  <si>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</si>
  <si>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</si>
  <si>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</si>
  <si>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</si>
  <si>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</si>
  <si>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</si>
  <si>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</si>
  <si>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</si>
  <si>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</si>
  <si>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</si>
  <si>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</si>
  <si>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</si>
  <si>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</si>
  <si>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</si>
  <si>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</si>
  <si>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</si>
  <si>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</si>
  <si>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</si>
  <si>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</si>
  <si>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</si>
  <si>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</si>
  <si>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</si>
  <si>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</si>
  <si>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</si>
  <si>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</si>
  <si>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</si>
  <si>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</si>
  <si>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</si>
  <si>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</si>
  <si>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</si>
  <si>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</si>
  <si>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</si>
  <si>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</si>
  <si>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</si>
  <si>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</si>
  <si>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</si>
  <si>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</si>
  <si>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</si>
  <si>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</si>
  <si>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</si>
  <si>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</si>
  <si>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</si>
  <si>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</si>
  <si>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</si>
  <si>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</si>
  <si>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</si>
  <si>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</si>
  <si>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</si>
  <si>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</si>
  <si>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</si>
  <si>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</si>
  <si>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</si>
  <si>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</si>
  <si>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</si>
  <si>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</si>
  <si>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</si>
  <si>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</si>
  <si>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</si>
  <si>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</si>
  <si>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</si>
  <si>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</si>
  <si>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</si>
  <si>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</si>
  <si>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</si>
  <si>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</si>
  <si>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</si>
  <si>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</si>
  <si>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</si>
  <si>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</si>
  <si>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</si>
  <si>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</si>
  <si>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</si>
  <si>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</si>
  <si>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</si>
  <si>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</si>
  <si>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</si>
  <si>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</si>
  <si>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</si>
  <si>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</si>
  <si>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</si>
  <si>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</si>
  <si>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</si>
  <si>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</si>
  <si>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</si>
  <si>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</si>
  <si>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</si>
  <si>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</si>
  <si>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</si>
  <si>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</si>
  <si>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</si>
  <si>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</si>
  <si>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</si>
  <si>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</si>
  <si>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</si>
  <si>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</si>
  <si>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</si>
  <si>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</si>
  <si>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</si>
  <si>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</si>
  <si>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</si>
  <si>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</si>
  <si>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</si>
  <si>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</si>
  <si>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</si>
  <si>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</si>
  <si>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</si>
  <si>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</si>
  <si>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</si>
  <si>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</si>
  <si>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</si>
  <si>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</si>
  <si>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</si>
  <si>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</si>
  <si>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</si>
  <si>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</si>
  <si>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</si>
  <si>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</si>
  <si>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</si>
  <si>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</si>
  <si>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</si>
  <si>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</si>
  <si>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</si>
  <si>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</si>
  <si>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</si>
  <si>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</si>
  <si>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</si>
  <si>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</si>
  <si>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</si>
  <si>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</si>
  <si>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</si>
  <si>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</si>
  <si>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</si>
  <si>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</si>
  <si>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</si>
  <si>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</si>
  <si>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</si>
  <si>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</si>
  <si>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</si>
  <si>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</si>
  <si>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</si>
  <si>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</si>
  <si>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</si>
  <si>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</si>
  <si>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</si>
  <si>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</si>
  <si>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</si>
  <si>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</si>
  <si>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</si>
  <si>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</si>
  <si>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</si>
  <si>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</si>
  <si>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</si>
  <si>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</si>
  <si>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</si>
  <si>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</si>
  <si>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</si>
  <si>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</si>
  <si>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</si>
  <si>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</si>
  <si>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</si>
  <si>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</si>
  <si>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</si>
  <si>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</si>
  <si>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</si>
  <si>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</si>
  <si>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</si>
  <si>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</si>
  <si>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</si>
  <si>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</si>
  <si>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</si>
  <si>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</si>
  <si>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</si>
  <si>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</si>
  <si>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</si>
  <si>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</si>
  <si>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</si>
  <si>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</si>
  <si>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</si>
  <si>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</si>
  <si>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</si>
  <si>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</si>
  <si>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</si>
  <si>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</si>
  <si>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</si>
  <si>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</si>
  <si>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</si>
  <si>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</si>
  <si>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</si>
  <si>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</si>
  <si>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</si>
  <si>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</si>
  <si>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</si>
  <si>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</si>
  <si>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</si>
  <si>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</si>
  <si>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</si>
  <si>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</si>
  <si>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</si>
  <si>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</si>
  <si>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</si>
  <si>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</si>
  <si>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</si>
  <si>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</si>
  <si>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</si>
  <si>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</si>
  <si>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</si>
  <si>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</si>
  <si>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</si>
  <si>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</si>
  <si>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</si>
  <si>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</si>
  <si>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</si>
  <si>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</si>
  <si>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</si>
  <si>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</si>
  <si>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</si>
  <si>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</si>
  <si>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</si>
  <si>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</si>
  <si>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</si>
  <si>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</si>
  <si>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</si>
  <si>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</si>
  <si>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</si>
  <si>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</si>
  <si>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</si>
  <si>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</si>
  <si>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</si>
  <si>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</si>
  <si>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</si>
  <si>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</si>
  <si>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</si>
  <si>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</si>
  <si>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</si>
  <si>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</si>
  <si>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</si>
  <si>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</si>
  <si>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</si>
  <si>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</si>
  <si>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</si>
  <si>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</si>
  <si>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</si>
  <si>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</si>
  <si>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</si>
  <si>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</si>
  <si>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</si>
  <si>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</si>
  <si>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</si>
  <si>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</si>
  <si>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</si>
  <si>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</si>
  <si>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</si>
  <si>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</si>
  <si>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</si>
  <si>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</si>
  <si>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</si>
  <si>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</si>
  <si>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</si>
  <si>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</si>
  <si>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</si>
  <si>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</si>
  <si>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</si>
  <si>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</si>
  <si>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</si>
  <si>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</si>
  <si>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</si>
  <si>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</si>
  <si>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</si>
  <si>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</si>
  <si>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</si>
  <si>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</si>
  <si>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</si>
  <si>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</si>
  <si>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</si>
  <si>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</si>
  <si>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</si>
  <si>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</si>
  <si>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</si>
  <si>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</si>
  <si>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</si>
  <si>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</si>
  <si>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</si>
  <si>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</si>
  <si>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</si>
  <si>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</si>
  <si>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</si>
  <si>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</si>
  <si>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</si>
  <si>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</si>
  <si>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</si>
  <si>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</si>
  <si>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</si>
  <si>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</si>
  <si>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</si>
  <si>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</si>
  <si>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</si>
  <si>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</si>
  <si>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</si>
  <si>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</si>
  <si>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</si>
  <si>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</si>
  <si>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</si>
  <si>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</si>
  <si>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</si>
  <si>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</si>
  <si>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</si>
  <si>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</si>
  <si>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</si>
  <si>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</si>
  <si>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</si>
  <si>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</si>
  <si>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</si>
  <si>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</si>
  <si>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</si>
  <si>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</si>
  <si>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</si>
  <si>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</si>
  <si>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</si>
  <si>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</si>
  <si>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</si>
  <si>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</si>
  <si>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</si>
  <si>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</si>
  <si>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</si>
  <si>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</si>
  <si>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</si>
  <si>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</si>
  <si>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</si>
  <si>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</si>
  <si>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</si>
  <si>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</si>
  <si>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</si>
  <si>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</si>
  <si>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</si>
  <si>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</si>
  <si>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</si>
  <si>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</si>
  <si>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</si>
  <si>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</si>
  <si>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</si>
  <si>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</si>
  <si>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</si>
  <si>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</si>
  <si>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</si>
  <si>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</si>
  <si>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</si>
  <si>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</si>
  <si>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</si>
  <si>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</si>
  <si>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</si>
  <si>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</si>
  <si>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</si>
  <si>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</si>
  <si>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</si>
  <si>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</si>
  <si>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</si>
  <si>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</si>
  <si>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</si>
  <si>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</si>
  <si>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</si>
  <si>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</si>
  <si>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</si>
  <si>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</si>
  <si>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</si>
  <si>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</si>
  <si>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</si>
  <si>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</si>
  <si>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</si>
  <si>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</si>
  <si>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</si>
  <si>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</si>
  <si>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</si>
  <si>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</si>
  <si>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</si>
  <si>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</si>
  <si>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</si>
  <si>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</si>
  <si>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</si>
  <si>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</si>
  <si>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</si>
  <si>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</si>
  <si>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</si>
  <si>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</si>
  <si>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</si>
  <si>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</si>
  <si>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</si>
  <si>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</si>
  <si>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</si>
  <si>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</si>
  <si>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</si>
  <si>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</si>
  <si>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</si>
  <si>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</si>
  <si>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</si>
  <si>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</si>
  <si>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</si>
  <si>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</si>
  <si>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</si>
  <si>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</si>
  <si>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</si>
  <si>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</si>
  <si>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</si>
  <si>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</si>
  <si>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</si>
  <si>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</si>
  <si>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</si>
  <si>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</si>
  <si>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</si>
  <si>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</si>
  <si>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</si>
  <si>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</si>
  <si>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</si>
  <si>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</si>
  <si>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</si>
  <si>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</si>
  <si>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</si>
  <si>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</si>
  <si>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</si>
  <si>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</si>
  <si>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</si>
  <si>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</si>
  <si>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</si>
  <si>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</si>
  <si>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</si>
  <si>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</si>
  <si>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</si>
  <si>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</si>
  <si>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</si>
  <si>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</si>
  <si>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</si>
  <si>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</si>
  <si>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</si>
  <si>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</si>
  <si>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</si>
  <si>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</si>
  <si>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</si>
  <si>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</si>
  <si>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</si>
  <si>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</si>
  <si>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</si>
  <si>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</si>
  <si>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</si>
  <si>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</si>
  <si>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</si>
  <si>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</si>
  <si>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</si>
  <si>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</si>
  <si>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</si>
  <si>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</si>
  <si>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</si>
  <si>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</si>
  <si>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</si>
  <si>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</si>
  <si>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</si>
  <si>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</si>
  <si>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</si>
  <si>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</si>
  <si>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</si>
  <si>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</si>
  <si>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</si>
  <si>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</si>
  <si>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</si>
  <si>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</si>
  <si>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</si>
  <si>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</si>
  <si>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</si>
  <si>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</si>
  <si>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</si>
  <si>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</si>
  <si>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</si>
  <si>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</si>
  <si>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</si>
  <si>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</si>
  <si>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</si>
  <si>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</si>
  <si>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</si>
  <si>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</si>
  <si>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</si>
  <si>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</si>
  <si>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</si>
  <si>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</si>
  <si>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</si>
  <si>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</si>
  <si>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</si>
  <si>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</si>
  <si>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</si>
  <si>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</si>
  <si>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</si>
  <si>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</si>
  <si>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</si>
  <si>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</si>
  <si>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</si>
  <si>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</si>
  <si>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</si>
  <si>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</si>
  <si>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</si>
  <si>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</si>
  <si>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</si>
  <si>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</si>
  <si>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</si>
  <si>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</si>
  <si>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</si>
  <si>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</si>
  <si>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</si>
  <si>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</si>
  <si>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</si>
  <si>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</si>
  <si>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</si>
  <si>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</si>
  <si>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</si>
  <si>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</si>
  <si>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</si>
  <si>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</si>
  <si>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</si>
  <si>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</si>
  <si>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</si>
  <si>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</si>
  <si>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</si>
  <si>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</si>
  <si>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</si>
  <si>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</si>
  <si>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</si>
  <si>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</si>
  <si>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</si>
  <si>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</si>
  <si>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</si>
  <si>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</si>
  <si>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</si>
  <si>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</si>
  <si>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</si>
  <si>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</si>
  <si>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</si>
  <si>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</si>
  <si>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</si>
  <si>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</si>
  <si>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</si>
  <si>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</si>
  <si>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</si>
  <si>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</si>
  <si>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</si>
  <si>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</si>
  <si>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</si>
  <si>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</si>
  <si>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</si>
  <si>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</si>
  <si>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</si>
  <si>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</si>
  <si>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</si>
  <si>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</si>
  <si>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</si>
  <si>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</si>
  <si>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</si>
  <si>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</si>
  <si>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</si>
  <si>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</si>
  <si>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</si>
  <si>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</si>
  <si>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</si>
  <si>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</si>
  <si>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</si>
  <si>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</si>
  <si>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</si>
  <si>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</si>
  <si>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</si>
  <si>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</si>
  <si>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</si>
  <si>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</si>
  <si>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</si>
  <si>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</si>
  <si>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</si>
  <si>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</si>
  <si>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</si>
  <si>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</si>
  <si>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</si>
  <si>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</si>
  <si>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</si>
  <si>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</si>
  <si>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</si>
  <si>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</si>
  <si>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</si>
  <si>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</si>
  <si>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</si>
  <si>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</si>
  <si>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</si>
  <si>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</si>
  <si>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</si>
  <si>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</si>
  <si>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</si>
  <si>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</si>
  <si>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</si>
  <si>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</si>
  <si>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</si>
  <si>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</si>
  <si>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</si>
  <si>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</si>
  <si>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</si>
  <si>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</si>
  <si>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</si>
  <si>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</si>
  <si>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</si>
  <si>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</si>
  <si>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</si>
  <si>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</si>
  <si>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</si>
  <si>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</si>
  <si>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</si>
  <si>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</si>
  <si>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</si>
  <si>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</si>
  <si>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</si>
  <si>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</si>
  <si>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</si>
  <si>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</si>
  <si>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</si>
  <si>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</si>
  <si>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</si>
  <si>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</si>
  <si>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</si>
  <si>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</si>
  <si>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</si>
  <si>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</si>
  <si>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</si>
  <si>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</si>
  <si>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</si>
  <si>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</si>
  <si>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</si>
  <si>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</si>
  <si>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</si>
  <si>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</si>
  <si>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</si>
  <si>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</si>
  <si>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</si>
  <si>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</si>
  <si>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</si>
  <si>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</si>
  <si>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</si>
  <si>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</si>
  <si>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</si>
  <si>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</si>
  <si>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</si>
  <si>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</si>
  <si>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</si>
  <si>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</si>
  <si>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</si>
  <si>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</si>
  <si>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</si>
  <si>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</si>
  <si>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</si>
  <si>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</si>
  <si>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</si>
  <si>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</si>
  <si>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</si>
  <si>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</si>
  <si>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</si>
  <si>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</si>
  <si>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</si>
  <si>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</si>
  <si>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</si>
  <si>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</si>
  <si>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</si>
  <si>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</si>
  <si>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</si>
  <si>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</si>
  <si>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</si>
  <si>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</si>
  <si>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</si>
  <si>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</si>
  <si>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</si>
  <si>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</si>
  <si>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</si>
  <si>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</si>
  <si>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</si>
  <si>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</si>
  <si>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</si>
  <si>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</si>
  <si>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</si>
  <si>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</si>
  <si>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</si>
  <si>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</si>
  <si>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</si>
  <si>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</si>
  <si>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</si>
  <si>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</si>
  <si>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</si>
  <si>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</si>
  <si>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</si>
  <si>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</si>
  <si>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</si>
  <si>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</si>
  <si>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</si>
  <si>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</si>
  <si>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</si>
  <si>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</si>
  <si>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</si>
  <si>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</si>
  <si>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</si>
  <si>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</si>
  <si>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</si>
  <si>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</si>
  <si>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</si>
  <si>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</si>
  <si>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</si>
  <si>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</si>
  <si>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</si>
  <si>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</si>
  <si>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</si>
  <si>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</si>
  <si>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</si>
  <si>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</si>
  <si>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</si>
  <si>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</si>
  <si>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</si>
  <si>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</si>
  <si>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</si>
  <si>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</si>
  <si>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</si>
  <si>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</si>
  <si>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</si>
  <si>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</si>
  <si>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</si>
  <si>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</si>
  <si>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</si>
  <si>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</si>
  <si>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</si>
  <si>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</si>
  <si>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</si>
  <si>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</si>
  <si>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</si>
  <si>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</si>
  <si>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</si>
  <si>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</si>
  <si>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</si>
  <si>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</si>
  <si>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</si>
  <si>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</si>
  <si>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</si>
  <si>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</si>
  <si>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</si>
  <si>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</si>
  <si>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</si>
  <si>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</si>
  <si>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</si>
  <si>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</si>
  <si>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</si>
  <si>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</si>
  <si>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</si>
  <si>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</si>
  <si>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</si>
  <si>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</si>
  <si>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</si>
  <si>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</si>
  <si>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</si>
  <si>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</si>
  <si>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</si>
  <si>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</si>
  <si>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</si>
  <si>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</si>
  <si>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</si>
  <si>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</si>
  <si>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</si>
  <si>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</si>
  <si>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</si>
  <si>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</si>
  <si>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</si>
  <si>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</si>
  <si>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</si>
  <si>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</si>
  <si>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</si>
  <si>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</si>
  <si>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</si>
  <si>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</si>
  <si>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</si>
  <si>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</si>
  <si>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</si>
  <si>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</si>
  <si>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</si>
  <si>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</si>
  <si>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</si>
  <si>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</si>
  <si>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</si>
  <si>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</si>
  <si>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</si>
  <si>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</si>
  <si>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</si>
  <si>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</si>
  <si>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</si>
  <si>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</si>
  <si>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</si>
  <si>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</si>
  <si>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</si>
  <si>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</si>
  <si>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</si>
  <si>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</si>
  <si>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</si>
  <si>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</si>
  <si>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</si>
  <si>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</si>
  <si>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</si>
  <si>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</si>
  <si>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</si>
  <si>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</si>
  <si>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</si>
  <si>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</si>
  <si>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</si>
  <si>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</si>
  <si>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</si>
  <si>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</si>
  <si>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</si>
  <si>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</si>
  <si>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</si>
  <si>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</si>
  <si>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</si>
  <si>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</si>
  <si>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</si>
  <si>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</si>
  <si>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</si>
  <si>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</si>
  <si>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</si>
  <si>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</si>
  <si>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</si>
  <si>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</si>
  <si>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</si>
  <si>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</si>
  <si>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</si>
  <si>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</si>
  <si>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</si>
  <si>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</si>
  <si>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</si>
  <si>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</si>
  <si>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</si>
  <si>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</si>
  <si>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</si>
  <si>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</si>
  <si>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</si>
  <si>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</si>
  <si>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</si>
  <si>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</si>
  <si>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</si>
  <si>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</si>
  <si>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</si>
  <si>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</si>
  <si>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</si>
  <si>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</si>
  <si>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</si>
  <si>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</si>
  <si>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</si>
  <si>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</si>
  <si>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</si>
  <si>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</si>
  <si>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</si>
  <si>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</si>
  <si>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</si>
  <si>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</si>
  <si>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</si>
  <si>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</si>
  <si>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</si>
  <si>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</si>
  <si>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</si>
  <si>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</si>
  <si>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</si>
  <si>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</si>
  <si>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</si>
  <si>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</si>
  <si>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</si>
  <si>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</si>
  <si>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</si>
  <si>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</si>
  <si>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</si>
  <si>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</si>
  <si>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</si>
  <si>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</si>
  <si>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</si>
  <si>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</si>
  <si>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</si>
  <si>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</si>
  <si>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</si>
  <si>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</si>
  <si>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</si>
  <si>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</si>
  <si>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</si>
  <si>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</si>
  <si>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</si>
  <si>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</si>
  <si>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</si>
  <si>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</si>
  <si>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</si>
  <si>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</si>
  <si>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</si>
  <si>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</si>
  <si>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</si>
  <si>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</si>
  <si>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</si>
  <si>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</si>
  <si>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</si>
  <si>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</si>
  <si>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</si>
  <si>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</si>
  <si>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</si>
  <si>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</si>
  <si>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</si>
  <si>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</si>
  <si>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</si>
  <si>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</si>
  <si>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</si>
  <si>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</si>
  <si>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</si>
  <si>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</si>
  <si>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</si>
  <si>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</si>
  <si>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</si>
  <si>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</si>
  <si>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</si>
  <si>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</si>
  <si>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</si>
  <si>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</si>
  <si>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</si>
  <si>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</si>
  <si>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</si>
  <si>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</si>
  <si>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</si>
  <si>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</si>
  <si>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</si>
  <si>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</si>
  <si>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</si>
  <si>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</si>
  <si>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</si>
  <si>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</si>
  <si>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</si>
  <si>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</si>
  <si>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</si>
  <si>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</si>
  <si>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</si>
  <si>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</si>
  <si>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</si>
  <si>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</si>
  <si>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</si>
  <si>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</si>
  <si>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</si>
  <si>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</si>
  <si>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</si>
  <si>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</si>
  <si>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</si>
  <si>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</si>
  <si>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</si>
  <si>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</si>
  <si>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</si>
  <si>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</si>
  <si>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</si>
  <si>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</si>
  <si>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</si>
  <si>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</si>
  <si>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</si>
  <si>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</si>
  <si>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</si>
  <si>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</si>
  <si>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</si>
  <si>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</si>
  <si>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</si>
  <si>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</si>
  <si>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</si>
  <si>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</si>
  <si>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</si>
  <si>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</si>
  <si>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</si>
  <si>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</si>
  <si>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</si>
  <si>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</si>
  <si>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</si>
  <si>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</si>
  <si>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</si>
  <si>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</si>
  <si>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</si>
  <si>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</si>
  <si>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</si>
  <si>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</si>
  <si>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</si>
  <si>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</si>
  <si>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</si>
  <si>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</si>
  <si>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</si>
  <si>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</si>
  <si>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</si>
  <si>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</si>
  <si>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</si>
  <si>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</si>
  <si>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</si>
  <si>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</si>
  <si>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</si>
  <si>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</si>
  <si>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</si>
  <si>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</si>
  <si>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</si>
  <si>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</si>
  <si>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</si>
  <si>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</si>
  <si>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</si>
  <si>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</si>
  <si>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</si>
  <si>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</si>
  <si>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</si>
  <si>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</si>
  <si>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</si>
  <si>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</si>
  <si>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</si>
  <si>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</si>
  <si>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</si>
  <si>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</si>
  <si>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</si>
  <si>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</si>
  <si>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</si>
  <si>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</si>
  <si>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</si>
  <si>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</si>
  <si>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</si>
  <si>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</si>
  <si>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</si>
  <si>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</si>
  <si>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</si>
  <si>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</si>
  <si>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</si>
  <si>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</si>
  <si>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</si>
  <si>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</si>
  <si>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</si>
  <si>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</si>
  <si>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</si>
  <si>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</si>
  <si>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</si>
  <si>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</si>
  <si>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</si>
  <si>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</si>
  <si>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</si>
  <si>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</si>
  <si>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</si>
  <si>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</si>
  <si>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</si>
  <si>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</si>
  <si>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</si>
  <si>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</si>
  <si>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</si>
  <si>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</si>
  <si>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</si>
  <si>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</si>
  <si>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</si>
  <si>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</si>
  <si>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</si>
  <si>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</si>
  <si>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</si>
  <si>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</si>
  <si>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</si>
  <si>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</si>
  <si>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</si>
  <si>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</si>
  <si>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</si>
  <si>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</si>
  <si>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</si>
  <si>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</si>
  <si>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</si>
  <si>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</si>
  <si>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</si>
  <si>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</si>
  <si>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</si>
  <si>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</si>
  <si>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</si>
  <si>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</si>
  <si>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</si>
  <si>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</si>
  <si>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</si>
  <si>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</si>
  <si>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</si>
  <si>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</si>
  <si>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</si>
  <si>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</si>
  <si>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</si>
  <si>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</si>
  <si>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</si>
  <si>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</si>
  <si>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</si>
  <si>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</si>
  <si>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</si>
  <si>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</si>
  <si>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</si>
  <si>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</si>
  <si>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</si>
  <si>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</si>
  <si>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</si>
  <si>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</si>
  <si>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</si>
  <si>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</si>
  <si>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</si>
  <si>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</si>
  <si>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</si>
  <si>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</si>
  <si>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</si>
  <si>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</si>
  <si>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</si>
  <si>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</si>
  <si>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</si>
  <si>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</si>
  <si>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</si>
  <si>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</si>
  <si>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</si>
  <si>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</si>
  <si>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</si>
  <si>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</si>
  <si>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</si>
  <si>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</si>
  <si>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</si>
  <si>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</si>
  <si>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</si>
  <si>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</si>
  <si>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</si>
  <si>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</si>
  <si>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</si>
  <si>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</si>
  <si>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</si>
  <si>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</si>
  <si>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</si>
  <si>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</si>
  <si>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</si>
  <si>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</si>
  <si>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</si>
  <si>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</si>
  <si>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</si>
  <si>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</si>
  <si>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</si>
  <si>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</si>
  <si>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</si>
  <si>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</si>
  <si>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</si>
  <si>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</si>
  <si>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</si>
  <si>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</si>
  <si>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</si>
  <si>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</si>
  <si>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</si>
  <si>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</si>
  <si>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</si>
  <si>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</si>
  <si>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</si>
  <si>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</si>
  <si>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</si>
  <si>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</si>
  <si>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</si>
  <si>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</si>
  <si>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</si>
  <si>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</si>
  <si>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</si>
  <si>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</si>
  <si>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</si>
  <si>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</si>
  <si>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</si>
  <si>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</si>
  <si>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</si>
  <si>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</si>
  <si>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</si>
  <si>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</si>
  <si>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</si>
  <si>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</si>
  <si>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</si>
  <si>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</si>
  <si>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</si>
  <si>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</si>
  <si>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</si>
  <si>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</si>
  <si>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</si>
  <si>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</si>
  <si>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</si>
  <si>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</si>
  <si>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</si>
  <si>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</si>
  <si>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</si>
  <si>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</si>
  <si>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</si>
  <si>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</si>
  <si>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</si>
  <si>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</si>
  <si>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</si>
  <si>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</si>
  <si>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</si>
  <si>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</si>
  <si>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</si>
  <si>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</si>
  <si>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</si>
  <si>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</si>
  <si>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</si>
  <si>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</si>
  <si>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</si>
  <si>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</si>
  <si>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</si>
  <si>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</si>
  <si>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</si>
  <si>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</si>
  <si>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</si>
  <si>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</si>
  <si>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</si>
  <si>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</si>
  <si>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</si>
  <si>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</si>
  <si>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</si>
  <si>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</si>
  <si>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</si>
  <si>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</si>
  <si>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</si>
  <si>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</si>
  <si>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</si>
  <si>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</si>
  <si>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</si>
  <si>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</si>
  <si>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</si>
  <si>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</si>
  <si>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</si>
  <si>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</si>
  <si>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</si>
  <si>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</si>
  <si>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</si>
  <si>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</si>
  <si>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</si>
  <si>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</si>
  <si>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</si>
  <si>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</si>
  <si>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</si>
  <si>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</si>
  <si>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</si>
  <si>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</si>
  <si>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</si>
  <si>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</si>
  <si>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</si>
  <si>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</si>
  <si>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</si>
  <si>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</si>
  <si>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</si>
  <si>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</si>
  <si>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</si>
  <si>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</si>
  <si>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</si>
  <si>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</si>
  <si>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</si>
  <si>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</si>
  <si>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</si>
  <si>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</si>
  <si>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</si>
  <si>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</si>
  <si>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</si>
  <si>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</si>
  <si>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</si>
  <si>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</si>
  <si>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</si>
  <si>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</si>
  <si>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</si>
  <si>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</si>
  <si>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</si>
  <si>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</si>
  <si>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</si>
  <si>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</si>
  <si>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</si>
  <si>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</si>
  <si>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</si>
  <si>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</si>
  <si>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</si>
  <si>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</si>
  <si>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</si>
  <si>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</si>
  <si>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</si>
  <si>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</si>
  <si>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</si>
  <si>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</si>
  <si>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</si>
  <si>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</si>
  <si>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</si>
  <si>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</si>
  <si>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</si>
  <si>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</si>
  <si>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</si>
  <si>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</si>
  <si>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</si>
  <si>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</si>
  <si>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</si>
  <si>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</si>
  <si>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</si>
  <si>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</si>
  <si>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</si>
  <si>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</si>
  <si>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</si>
  <si>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</si>
  <si>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</si>
  <si>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</si>
  <si>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</si>
  <si>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</si>
  <si>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</si>
  <si>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</si>
  <si>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</si>
  <si>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</si>
  <si>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</si>
  <si>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</si>
  <si>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</si>
  <si>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</si>
  <si>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</si>
  <si>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</si>
  <si>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</si>
  <si>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</si>
  <si>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</si>
  <si>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</si>
  <si>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</si>
  <si>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</si>
  <si>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</si>
  <si>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</si>
  <si>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</si>
  <si>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</si>
  <si>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</si>
  <si>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</si>
  <si>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</si>
  <si>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</si>
  <si>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</si>
  <si>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</si>
  <si>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</si>
  <si>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</si>
  <si>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</si>
  <si>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</si>
  <si>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</si>
  <si>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</si>
  <si>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</si>
  <si>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</si>
  <si>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</si>
  <si>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</si>
  <si>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</si>
  <si>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</si>
  <si>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</si>
  <si>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</si>
  <si>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</si>
  <si>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</si>
  <si>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</si>
  <si>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</si>
  <si>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</si>
  <si>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</si>
  <si>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</si>
  <si>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</si>
  <si>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</si>
  <si>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</si>
  <si>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</si>
  <si>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</si>
  <si>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</si>
  <si>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</si>
  <si>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</si>
  <si>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</si>
  <si>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</si>
  <si>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</si>
  <si>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</si>
  <si>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</si>
  <si>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</si>
  <si>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</si>
  <si>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</si>
  <si>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</si>
  <si>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</si>
  <si>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</si>
  <si>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</si>
  <si>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</si>
  <si>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</si>
  <si>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</si>
  <si>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</si>
  <si>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</si>
  <si>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</si>
  <si>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</si>
  <si>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</si>
  <si>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</si>
  <si>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</si>
  <si>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</si>
  <si>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</si>
  <si>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</si>
  <si>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</si>
  <si>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</si>
  <si>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</si>
  <si>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</si>
  <si>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</si>
  <si>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</si>
  <si>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</si>
  <si>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</si>
  <si>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</si>
  <si>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</si>
  <si>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</si>
  <si>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</si>
  <si>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</si>
  <si>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</si>
  <si>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</si>
  <si>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</si>
  <si>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</si>
  <si>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</si>
  <si>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</si>
  <si>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</si>
  <si>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</si>
  <si>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</si>
  <si>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</si>
  <si>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</si>
  <si>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</si>
  <si>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</si>
  <si>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</si>
  <si>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</si>
  <si>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</si>
  <si>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</si>
  <si>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</si>
  <si>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</si>
  <si>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</si>
  <si>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</si>
  <si>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</si>
  <si>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</si>
  <si>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</si>
  <si>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</si>
  <si>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</si>
  <si>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</si>
  <si>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</si>
  <si>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</si>
  <si>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</si>
  <si>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</si>
  <si>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</si>
  <si>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</si>
  <si>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</si>
  <si>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</si>
  <si>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</si>
  <si>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</si>
  <si>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</si>
  <si>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</si>
  <si>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</si>
  <si>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</si>
  <si>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</si>
  <si>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</si>
  <si>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</si>
  <si>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</si>
  <si>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</si>
  <si>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</si>
  <si>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</si>
  <si>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</si>
  <si>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</si>
  <si>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</si>
  <si>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</si>
  <si>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</si>
  <si>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</si>
  <si>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</si>
  <si>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</si>
  <si>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</si>
  <si>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</si>
  <si>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</si>
  <si>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</si>
  <si>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</si>
  <si>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</si>
  <si>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</si>
  <si>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</si>
  <si>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</si>
  <si>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</si>
  <si>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</si>
  <si>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</si>
  <si>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</si>
  <si>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</si>
  <si>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</si>
  <si>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</si>
  <si>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</si>
  <si>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</si>
  <si>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</si>
  <si>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</si>
  <si>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</si>
  <si>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</si>
  <si>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</si>
  <si>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</si>
  <si>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</si>
  <si>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</si>
  <si>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</si>
  <si>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</si>
  <si>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</si>
  <si>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</si>
  <si>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</si>
  <si>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</si>
  <si>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</si>
  <si>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</si>
  <si>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</si>
  <si>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</si>
  <si>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</si>
  <si>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</si>
  <si>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</si>
  <si>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</si>
  <si>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</si>
  <si>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</si>
  <si>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</si>
  <si>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</si>
  <si>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</si>
  <si>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</si>
  <si>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</si>
  <si>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</si>
  <si>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</si>
  <si>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</si>
  <si>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</si>
  <si>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</si>
  <si>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</si>
  <si>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</si>
  <si>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</si>
  <si>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</si>
  <si>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</si>
  <si>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</si>
  <si>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</si>
  <si>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</si>
  <si>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</si>
  <si>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</si>
  <si>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</si>
  <si>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</si>
  <si>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</si>
  <si>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</si>
  <si>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</si>
  <si>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Pehlman and Dold, P.C.</t>
  </si>
  <si>
    <t>100 North Amos Avenue</t>
  </si>
  <si>
    <t>Springfield</t>
  </si>
  <si>
    <t>IL</t>
  </si>
  <si>
    <t>(217) 787-0563</t>
  </si>
  <si>
    <t>(217) 787-9266</t>
  </si>
  <si>
    <t>060-004845</t>
  </si>
  <si>
    <t>x</t>
  </si>
  <si>
    <t>Sangamon</t>
  </si>
  <si>
    <t>2201 Toronto Road</t>
  </si>
  <si>
    <t>Jodi Ferriell, Director</t>
  </si>
  <si>
    <t>jferriell@caccschool.org</t>
  </si>
  <si>
    <t>(217) 529-5431</t>
  </si>
  <si>
    <t>(217) 529-7614</t>
  </si>
  <si>
    <t>Dorinda L Fitzgerald</t>
  </si>
  <si>
    <t>dfitzgerald@p-dcpas.com</t>
  </si>
  <si>
    <t>2003 Debt Certificate (paid out of Education Fund)</t>
  </si>
  <si>
    <t>TRS Employer Share of NPL</t>
  </si>
  <si>
    <t>IMRF Employer Share of NPL</t>
  </si>
  <si>
    <t>Debt Certificate</t>
  </si>
  <si>
    <t>Pension Obligations</t>
  </si>
  <si>
    <t>Prairie State Insurance Cooperative</t>
  </si>
  <si>
    <t>Of the federal expenditures presented in the schedule, Capital Area Career Center provided federal awards to subrecipients as follows:</t>
  </si>
  <si>
    <t>Not applicable - not payments made to subrecipients</t>
  </si>
  <si>
    <r>
      <t xml:space="preserve">The accompanying Schedule of Expenditures of Federal Awards includes the federal grant activity of </t>
    </r>
    <r>
      <rPr>
        <b/>
        <sz val="9"/>
        <rFont val="Calibri"/>
        <family val="2"/>
        <scheme val="minor"/>
      </rPr>
      <t>Capital Area Career Center</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</si>
  <si>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US Department of Education - Student Financial Aid Cluster:</t>
  </si>
  <si>
    <t>Federal Direct Student Loans (FDSL) ( M )</t>
  </si>
  <si>
    <t>Federal PELL Grant Programs ( M )</t>
  </si>
  <si>
    <t>TOTAL US DEPARTMENT OF EDUCATION - STUDENT FINANCIAL AID CLUSTER</t>
  </si>
  <si>
    <t>n/a</t>
  </si>
  <si>
    <t>PELL - Flow Through Funding (See Federal Note #1)</t>
  </si>
  <si>
    <t>WIOA - Flow Through Funding (See Federal Note #1)</t>
  </si>
  <si>
    <t>Regional Office of Career and Technical Education - Basic Grants to States - V.E. Carl D. Perkins</t>
  </si>
  <si>
    <t>84.048A</t>
  </si>
  <si>
    <t>US Department of Education - Passed through from one LEA to Another -</t>
  </si>
  <si>
    <t>TOTAL US DEPARTMENT OF EDUCATION PASSED THROUGH FROM ONE LEA TO ANOTHER - CFDA #84.084A</t>
  </si>
  <si>
    <t>US Department of Health &amp; Human Services passed through the IL Department of Commerce &amp; Economic Opportunity:</t>
  </si>
  <si>
    <t>TOTAL US DEPARTMENT OF HEALTH &amp; HUMAN SERVICES PASSED THROUGH THE IL DEPARTMENT OF COMMERCE &amp; ECONOMIC OPPORTUNITY - CFDA #93.569</t>
  </si>
  <si>
    <t>Community Services Block Grant</t>
  </si>
  <si>
    <t>US Department of Labor passed through the IL Department of Commerce &amp; Economic Opportunity:</t>
  </si>
  <si>
    <t>WIOA Adult Programs ( M )</t>
  </si>
  <si>
    <t>Reintegration of Ex-Offenders</t>
  </si>
  <si>
    <t>TOTAL US DEPARTMENT OF LABOR PASSED THROUGH THE IL DEPARTMENT OF COMMERCE &amp; ECONOMIC OPPORTUNITY</t>
  </si>
  <si>
    <t>US Department of Vetern Affairs:</t>
  </si>
  <si>
    <t>Post 9/11 - Veterans Education Assistance</t>
  </si>
  <si>
    <t>TOTAL US DEPARMENT OF VETERAN AFFAIRS - CFDA #64.028</t>
  </si>
  <si>
    <t>TOTAL FEDERAL FUNDING</t>
  </si>
  <si>
    <t>FDSL - Flow Through Funding (See Federal Note #1)</t>
  </si>
  <si>
    <t>Reintegration of Ex-Offenders - Flow Through Funding (See Federal Note #1)</t>
  </si>
  <si>
    <t>Post 9/11 Veterans Educ Asstiance -Flow Through Funding (See Fedl Note #1)</t>
  </si>
  <si>
    <t>Community Services Block Grant - Flow Through Funding (See Fedl Note #1)</t>
  </si>
  <si>
    <t>Unmodified</t>
  </si>
  <si>
    <t>Student Financial Aid Cluster</t>
  </si>
  <si>
    <t>Federal Direct Awards Program (FDSL)</t>
  </si>
  <si>
    <t>Federal PELL Grant Programs</t>
  </si>
  <si>
    <t>WIOA Adult Programs</t>
  </si>
  <si>
    <t>N/a</t>
  </si>
  <si>
    <t>NONE</t>
  </si>
  <si>
    <t>THIS Employer Share of NPL</t>
  </si>
  <si>
    <t>OPEB Obligations</t>
  </si>
  <si>
    <t>10-2540-300</t>
  </si>
  <si>
    <t>The Computer Department</t>
  </si>
  <si>
    <t>University of Spa &amp; Cosmetology Arts</t>
  </si>
  <si>
    <t>10-1400-300</t>
  </si>
  <si>
    <t>ED - Oper &amp; Maint of Plant Services - Purchased Services</t>
  </si>
  <si>
    <t>ED - CTE Programs - Purchased Services</t>
  </si>
  <si>
    <t xml:space="preserve">    Rewards $1,647, Misc Refunds and Reimbursements  $2,212</t>
  </si>
  <si>
    <t xml:space="preserve">Education Fund - A/c 1999 - Scrap Metal Sales  $2,550, Proceeds from the sale of non fixed asset equipment $1,460, Credit Card </t>
  </si>
  <si>
    <t>Education Fund - A/c 3999 - IL Community College Board - Licensed Practical Nursing Grant $694,000</t>
  </si>
  <si>
    <t>Capital Projects Fund - A/c 1993 - Student Parking Fees $5,439</t>
  </si>
  <si>
    <t>Education Fund - A/c 8990 - Principal payment of Debt Certificate $100,000</t>
  </si>
  <si>
    <t xml:space="preserve">Capital Area Career Center                  </t>
  </si>
  <si>
    <t xml:space="preserve">Pehlman and Dold, P.C.               </t>
  </si>
  <si>
    <t>Springfield, IL</t>
  </si>
  <si>
    <t>Error #8 - Debt Certificate principal payments posted to account 8990</t>
  </si>
  <si>
    <t>Error #8 - Changes in Net Pension Liabilities and Net OPEB Liability per Gasb 68 and GASB 75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</si>
</sst>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protection locked="0"/>
    </xf>
    <xf numFmtId="3" fontId="62" fillId="0" borderId="22"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1619250</xdr:colOff>
          <xdr:row>4</xdr:row>
          <xdr:rowOff>9525</xdr:rowOff>
        </xdr:from>
        <xdr:to>
          <xdr:col>1</xdr:col>
          <xdr:colOff>2533650</xdr:colOff>
          <xdr:row>8</xdr:row>
          <xdr:rowOff>47625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5B82A503-3CC4-4B00-BF33-6C89C70657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3" t="s">
        <v>425</v>
      </c>
      <c r="J1" s="2004"/>
      <c r="K1" s="2004"/>
      <c r="L1" s="2004"/>
      <c r="M1" s="2004"/>
      <c r="N1" s="2004"/>
      <c r="O1" s="2004"/>
      <c r="P1" s="2004"/>
      <c r="Q1" s="2004"/>
      <c r="R1" s="2004"/>
      <c r="S1" s="2004"/>
    </row>
    <row r="2" spans="1:28" ht="12" customHeight="1" x14ac:dyDescent="0.2">
      <c r="A2" s="47" t="s">
        <v>1684</v>
      </c>
      <c r="D2" s="48"/>
      <c r="I2" s="2005" t="s">
        <v>1036</v>
      </c>
      <c r="J2" s="2004"/>
      <c r="K2" s="2004"/>
      <c r="L2" s="2004"/>
      <c r="M2" s="2004"/>
      <c r="N2" s="2004"/>
      <c r="O2" s="2004"/>
      <c r="P2" s="2004"/>
      <c r="Q2" s="2004"/>
      <c r="R2" s="2004"/>
      <c r="S2" s="2004"/>
    </row>
    <row r="3" spans="1:28" ht="12" customHeight="1" x14ac:dyDescent="0.2">
      <c r="A3" s="155" t="s">
        <v>1685</v>
      </c>
      <c r="B3" s="156"/>
      <c r="C3" s="156"/>
      <c r="D3" s="157"/>
      <c r="I3" s="2005" t="s">
        <v>54</v>
      </c>
      <c r="J3" s="2004"/>
      <c r="K3" s="2004"/>
      <c r="L3" s="2004"/>
      <c r="M3" s="2004"/>
      <c r="N3" s="2004"/>
      <c r="O3" s="2004"/>
      <c r="P3" s="2004"/>
      <c r="Q3" s="2004"/>
      <c r="R3" s="2004"/>
      <c r="S3" s="2004"/>
    </row>
    <row r="4" spans="1:28" ht="12" customHeight="1" x14ac:dyDescent="0.2">
      <c r="A4" s="37"/>
      <c r="I4" s="2005" t="s">
        <v>545</v>
      </c>
      <c r="J4" s="2004"/>
      <c r="K4" s="2004"/>
      <c r="L4" s="2004"/>
      <c r="M4" s="2004"/>
      <c r="N4" s="2004"/>
      <c r="O4" s="2004"/>
      <c r="P4" s="2004"/>
      <c r="Q4" s="2004"/>
      <c r="R4" s="2004"/>
      <c r="S4" s="2004"/>
    </row>
    <row r="5" spans="1:28" ht="14.1" customHeight="1" x14ac:dyDescent="0.2">
      <c r="B5" s="104"/>
      <c r="C5" s="26" t="s">
        <v>966</v>
      </c>
      <c r="D5" s="84"/>
      <c r="E5" s="84"/>
      <c r="H5" s="38"/>
      <c r="I5" s="2013" t="s">
        <v>701</v>
      </c>
      <c r="J5" s="2012"/>
      <c r="K5" s="2012"/>
      <c r="L5" s="2012"/>
      <c r="M5" s="2012"/>
      <c r="N5" s="2012"/>
      <c r="O5" s="2012"/>
      <c r="P5" s="2012"/>
      <c r="Q5" s="2012"/>
      <c r="R5" s="2012"/>
      <c r="S5" s="2012"/>
    </row>
    <row r="6" spans="1:28" ht="14.1" customHeight="1" x14ac:dyDescent="0.2">
      <c r="B6" s="104" t="s">
        <v>2082</v>
      </c>
      <c r="C6" s="26" t="s">
        <v>967</v>
      </c>
      <c r="D6" s="84"/>
      <c r="E6" s="84"/>
      <c r="I6" s="2011" t="s">
        <v>938</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695</v>
      </c>
      <c r="J9" s="2009"/>
      <c r="K9" s="2009"/>
      <c r="L9" s="2009"/>
      <c r="M9" s="2009"/>
      <c r="N9" s="2009"/>
      <c r="O9" s="2009"/>
      <c r="P9" s="2009"/>
      <c r="Q9" s="2009"/>
      <c r="R9" s="2009"/>
      <c r="S9" s="2010"/>
      <c r="T9" s="2024" t="s">
        <v>554</v>
      </c>
      <c r="U9" s="2025"/>
      <c r="V9" s="2025"/>
      <c r="W9" s="2025"/>
      <c r="X9" s="2025"/>
      <c r="Y9" s="2025"/>
      <c r="Z9" s="2025"/>
      <c r="AA9" s="2026"/>
    </row>
    <row r="10" spans="1:28" ht="13.5" customHeight="1" x14ac:dyDescent="0.2">
      <c r="A10" s="2031" t="s">
        <v>696</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1012</v>
      </c>
      <c r="B11" s="2035"/>
      <c r="C11" s="2035"/>
      <c r="D11" s="2035"/>
      <c r="E11" s="2035"/>
      <c r="F11" s="2035"/>
      <c r="G11" s="2035"/>
      <c r="H11" s="2036"/>
      <c r="I11" s="27"/>
      <c r="J11" s="74"/>
      <c r="K11" s="27"/>
      <c r="O11" s="148"/>
      <c r="P11" s="100" t="s">
        <v>210</v>
      </c>
      <c r="Q11" s="30"/>
      <c r="R11" s="28"/>
      <c r="S11" s="27"/>
      <c r="T11" s="2028"/>
      <c r="U11" s="2029"/>
      <c r="V11" s="2029"/>
      <c r="W11" s="2029"/>
      <c r="X11" s="2029"/>
      <c r="Y11" s="2029"/>
      <c r="Z11" s="2029"/>
      <c r="AA11" s="2030"/>
    </row>
    <row r="12" spans="1:28" ht="13.5" customHeight="1" x14ac:dyDescent="0.2">
      <c r="A12" s="85" t="s">
        <v>982</v>
      </c>
      <c r="B12" s="76"/>
      <c r="C12" s="76"/>
      <c r="D12" s="76"/>
      <c r="E12" s="76"/>
      <c r="F12" s="76"/>
      <c r="G12" s="76"/>
      <c r="H12" s="53"/>
      <c r="I12" s="29"/>
      <c r="J12" s="30"/>
      <c r="K12" s="28"/>
      <c r="O12" s="149" t="s">
        <v>2082</v>
      </c>
      <c r="P12" s="100" t="s">
        <v>211</v>
      </c>
      <c r="Q12" s="74"/>
      <c r="R12" s="30"/>
      <c r="S12" s="30"/>
      <c r="T12" s="85" t="s">
        <v>283</v>
      </c>
      <c r="U12" s="51"/>
      <c r="V12" s="51"/>
      <c r="W12" s="51"/>
      <c r="X12" s="51"/>
      <c r="Y12" s="45"/>
      <c r="Z12" s="45"/>
      <c r="AA12" s="46"/>
    </row>
    <row r="13" spans="1:28" ht="13.5" customHeight="1" x14ac:dyDescent="0.2">
      <c r="A13" s="2038">
        <v>51084790040</v>
      </c>
      <c r="B13" s="2039"/>
      <c r="C13" s="2039"/>
      <c r="D13" s="2039"/>
      <c r="E13" s="2039"/>
      <c r="F13" s="2039"/>
      <c r="G13" s="2039"/>
      <c r="H13" s="2040"/>
      <c r="I13" s="31"/>
      <c r="J13" s="30"/>
      <c r="K13" s="28"/>
      <c r="L13" s="30"/>
      <c r="M13" s="30"/>
      <c r="N13" s="30"/>
      <c r="O13" s="30"/>
      <c r="P13" s="30"/>
      <c r="Q13" s="30"/>
      <c r="R13" s="30"/>
      <c r="S13" s="30"/>
      <c r="T13" s="2043" t="s">
        <v>2147</v>
      </c>
      <c r="U13" s="2044"/>
      <c r="V13" s="2044"/>
      <c r="W13" s="2044"/>
      <c r="X13" s="2044"/>
      <c r="Y13" s="2045"/>
      <c r="Z13" s="2045"/>
      <c r="AA13" s="204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7" t="s">
        <v>2083</v>
      </c>
      <c r="B15" s="2041"/>
      <c r="C15" s="2041"/>
      <c r="D15" s="2041"/>
      <c r="E15" s="2041"/>
      <c r="F15" s="2041"/>
      <c r="G15" s="2041"/>
      <c r="H15" s="2042"/>
      <c r="T15" s="2047" t="s">
        <v>2089</v>
      </c>
      <c r="U15" s="1991"/>
      <c r="V15" s="1991"/>
      <c r="W15" s="1991"/>
      <c r="X15" s="1991"/>
      <c r="Y15" s="2048"/>
      <c r="Z15" s="2048"/>
      <c r="AA15" s="204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7" t="s">
        <v>2146</v>
      </c>
      <c r="B17" s="1998"/>
      <c r="C17" s="1998"/>
      <c r="D17" s="1998"/>
      <c r="E17" s="1998"/>
      <c r="F17" s="1998"/>
      <c r="G17" s="1998"/>
      <c r="H17" s="2023"/>
      <c r="T17" s="2054" t="s">
        <v>2076</v>
      </c>
      <c r="U17" s="2055"/>
      <c r="V17" s="2055"/>
      <c r="W17" s="2055"/>
      <c r="X17" s="2055"/>
      <c r="Y17" s="2055"/>
      <c r="Z17" s="2055"/>
      <c r="AA17" s="2056"/>
    </row>
    <row r="18" spans="1:27" ht="13.5" customHeight="1" x14ac:dyDescent="0.2">
      <c r="A18" s="85" t="s">
        <v>551</v>
      </c>
      <c r="B18" s="76"/>
      <c r="C18" s="72"/>
      <c r="D18" s="76"/>
      <c r="E18" s="76"/>
      <c r="F18" s="76"/>
      <c r="G18" s="76"/>
      <c r="H18" s="56"/>
      <c r="I18" s="2022" t="s">
        <v>697</v>
      </c>
      <c r="J18" s="1973"/>
      <c r="K18" s="1973"/>
      <c r="L18" s="1973"/>
      <c r="M18" s="1973"/>
      <c r="N18" s="1973"/>
      <c r="O18" s="1973"/>
      <c r="P18" s="1973"/>
      <c r="Q18" s="1973"/>
      <c r="R18" s="1973"/>
      <c r="S18" s="1974"/>
      <c r="T18" s="85" t="s">
        <v>735</v>
      </c>
      <c r="U18" s="51"/>
      <c r="V18" s="72"/>
      <c r="W18" s="50"/>
      <c r="X18" s="85" t="s">
        <v>284</v>
      </c>
      <c r="Y18" s="81"/>
      <c r="Z18" s="159" t="s">
        <v>698</v>
      </c>
      <c r="AA18" s="46"/>
    </row>
    <row r="19" spans="1:27" ht="13.5" customHeight="1" x14ac:dyDescent="0.2">
      <c r="A19" s="2037" t="s">
        <v>2084</v>
      </c>
      <c r="B19" s="1983"/>
      <c r="C19" s="1983"/>
      <c r="D19" s="1983"/>
      <c r="E19" s="1983"/>
      <c r="F19" s="1983"/>
      <c r="G19" s="1983"/>
      <c r="H19" s="1963"/>
      <c r="I19" s="30"/>
      <c r="J19" s="99"/>
      <c r="K19" s="40"/>
      <c r="L19" s="38"/>
      <c r="M19" s="112" t="s">
        <v>333</v>
      </c>
      <c r="P19" s="27"/>
      <c r="Q19" s="27"/>
      <c r="R19" s="27"/>
      <c r="S19" s="31"/>
      <c r="T19" s="2037" t="s">
        <v>2077</v>
      </c>
      <c r="U19" s="1962"/>
      <c r="V19" s="1962"/>
      <c r="W19" s="1963"/>
      <c r="X19" s="2052" t="s">
        <v>2078</v>
      </c>
      <c r="Y19" s="2053"/>
      <c r="Z19" s="2050">
        <v>62702</v>
      </c>
      <c r="AA19" s="205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1" t="s">
        <v>2148</v>
      </c>
      <c r="B21" s="1962"/>
      <c r="C21" s="1962"/>
      <c r="D21" s="1962"/>
      <c r="E21" s="1962"/>
      <c r="F21" s="1962"/>
      <c r="G21" s="1962"/>
      <c r="H21" s="1963"/>
      <c r="I21" s="2017" t="s">
        <v>699</v>
      </c>
      <c r="J21" s="2012"/>
      <c r="K21" s="2012"/>
      <c r="L21" s="2012"/>
      <c r="M21" s="2012"/>
      <c r="N21" s="2012"/>
      <c r="O21" s="2012"/>
      <c r="P21" s="2012"/>
      <c r="Q21" s="2012"/>
      <c r="R21" s="2012"/>
      <c r="S21" s="2018"/>
      <c r="T21" s="2061" t="s">
        <v>2079</v>
      </c>
      <c r="U21" s="2062"/>
      <c r="V21" s="2062"/>
      <c r="W21" s="2062"/>
      <c r="X21" s="2067" t="s">
        <v>2080</v>
      </c>
      <c r="Y21" s="2068"/>
      <c r="Z21" s="2068"/>
      <c r="AA21" s="2069"/>
    </row>
    <row r="22" spans="1:27" ht="13.5" customHeight="1" x14ac:dyDescent="0.2">
      <c r="A22" s="87" t="s">
        <v>552</v>
      </c>
      <c r="B22" s="59"/>
      <c r="C22" s="59"/>
      <c r="D22" s="59"/>
      <c r="E22" s="59"/>
      <c r="F22" s="59"/>
      <c r="G22" s="59"/>
      <c r="H22" s="60"/>
      <c r="I22" s="2019" t="s">
        <v>1504</v>
      </c>
      <c r="J22" s="2020"/>
      <c r="K22" s="2020"/>
      <c r="L22" s="2020"/>
      <c r="M22" s="2020"/>
      <c r="N22" s="2020"/>
      <c r="O22" s="2020"/>
      <c r="P22" s="2020"/>
      <c r="Q22" s="2020"/>
      <c r="R22" s="2020"/>
      <c r="S22" s="2021"/>
      <c r="T22" s="85" t="s">
        <v>1596</v>
      </c>
      <c r="U22" s="51"/>
      <c r="V22" s="72"/>
      <c r="W22" s="51"/>
      <c r="X22" s="160" t="s">
        <v>1385</v>
      </c>
      <c r="Z22" s="45"/>
      <c r="AA22" s="46"/>
    </row>
    <row r="23" spans="1:27" ht="13.5" customHeight="1" x14ac:dyDescent="0.2">
      <c r="A23" s="2014"/>
      <c r="B23" s="2015"/>
      <c r="C23" s="2015"/>
      <c r="D23" s="2015"/>
      <c r="E23" s="2015"/>
      <c r="F23" s="2015"/>
      <c r="G23" s="2015"/>
      <c r="H23" s="2016"/>
      <c r="T23" s="1997" t="s">
        <v>2081</v>
      </c>
      <c r="U23" s="2060"/>
      <c r="V23" s="2060"/>
      <c r="W23" s="2060"/>
      <c r="X23" s="2064">
        <v>43466</v>
      </c>
      <c r="Y23" s="2065"/>
      <c r="Z23" s="2065"/>
      <c r="AA23" s="2066"/>
    </row>
    <row r="24" spans="1:27" ht="14.1" customHeight="1" x14ac:dyDescent="0.2">
      <c r="A24" s="88" t="s">
        <v>698</v>
      </c>
      <c r="B24" s="49"/>
      <c r="C24" s="49"/>
      <c r="D24" s="49"/>
      <c r="E24" s="49"/>
      <c r="F24" s="49"/>
      <c r="G24" s="49"/>
      <c r="H24" s="61"/>
      <c r="J24" s="1984" t="str">
        <f>IF(B5="x",IF(AUDITCHECK!D29="AFR form Incomplete.","",IF(AUDITCHECK!D29="Deficit reduction plan is required.","School District must complete a deficit reduction plan in the 2018-2019 Budget",)),"")</f>
        <v/>
      </c>
      <c r="K24" s="1984"/>
      <c r="L24" s="1984"/>
      <c r="M24" s="1984"/>
      <c r="N24" s="1984"/>
      <c r="O24" s="1984"/>
      <c r="P24" s="1984"/>
      <c r="Q24" s="1984"/>
      <c r="R24" s="1984"/>
      <c r="S24" s="1985"/>
      <c r="T24" s="105" t="s">
        <v>552</v>
      </c>
      <c r="U24" s="106"/>
      <c r="V24" s="106"/>
      <c r="W24" s="106"/>
      <c r="X24" s="107"/>
      <c r="Y24" s="107"/>
      <c r="Z24" s="107"/>
      <c r="AA24" s="108"/>
    </row>
    <row r="25" spans="1:27" ht="14.1" customHeight="1" x14ac:dyDescent="0.2">
      <c r="A25" s="1961">
        <v>62712</v>
      </c>
      <c r="B25" s="1962"/>
      <c r="C25" s="1962"/>
      <c r="D25" s="1962"/>
      <c r="E25" s="1962"/>
      <c r="F25" s="1962"/>
      <c r="G25" s="1962"/>
      <c r="H25" s="1963"/>
      <c r="I25" s="113"/>
      <c r="J25" s="1986"/>
      <c r="K25" s="1986"/>
      <c r="L25" s="1986"/>
      <c r="M25" s="1986"/>
      <c r="N25" s="1986"/>
      <c r="O25" s="1986"/>
      <c r="P25" s="1986"/>
      <c r="Q25" s="1986"/>
      <c r="R25" s="1986"/>
      <c r="S25" s="1987"/>
      <c r="T25" s="2057" t="s">
        <v>2090</v>
      </c>
      <c r="U25" s="2058"/>
      <c r="V25" s="2058"/>
      <c r="W25" s="2058"/>
      <c r="X25" s="2058"/>
      <c r="Y25" s="2058"/>
      <c r="Z25" s="2058"/>
      <c r="AA25" s="20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2" t="s">
        <v>1591</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48" t="s">
        <v>2082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3"/>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7" t="s">
        <v>2085</v>
      </c>
      <c r="B38" s="1998"/>
      <c r="C38" s="1998"/>
      <c r="D38" s="1998"/>
      <c r="E38" s="1998"/>
      <c r="F38" s="1962"/>
      <c r="G38" s="1962"/>
      <c r="H38" s="1963"/>
      <c r="I38" s="1990"/>
      <c r="J38" s="1991"/>
      <c r="K38" s="1991"/>
      <c r="L38" s="1991"/>
      <c r="M38" s="1991"/>
      <c r="N38" s="1991"/>
      <c r="O38" s="1991"/>
      <c r="P38" s="1992"/>
      <c r="Q38" s="1992"/>
      <c r="R38" s="1992"/>
      <c r="S38" s="1993"/>
      <c r="T38" s="2047"/>
      <c r="U38" s="1991"/>
      <c r="V38" s="1991"/>
      <c r="W38" s="1991"/>
      <c r="X38" s="1992"/>
      <c r="Y38" s="1992"/>
      <c r="Z38" s="1992"/>
      <c r="AA38" s="1993"/>
    </row>
    <row r="39" spans="1:27" ht="12" customHeight="1" x14ac:dyDescent="0.2">
      <c r="A39" s="1967" t="s">
        <v>552</v>
      </c>
      <c r="B39" s="1968"/>
      <c r="C39" s="72"/>
      <c r="D39" s="69"/>
      <c r="E39" s="69"/>
      <c r="F39" s="79"/>
      <c r="G39" s="69"/>
      <c r="H39" s="56"/>
      <c r="I39" s="1967" t="s">
        <v>552</v>
      </c>
      <c r="J39" s="1968"/>
      <c r="K39" s="1968"/>
      <c r="L39" s="1968"/>
      <c r="M39" s="1968"/>
      <c r="N39" s="67"/>
      <c r="O39" s="72"/>
      <c r="P39" s="72"/>
      <c r="Q39" s="78"/>
      <c r="R39" s="72"/>
      <c r="S39" s="56"/>
      <c r="T39" s="72" t="s">
        <v>552</v>
      </c>
      <c r="U39" s="51"/>
      <c r="V39" s="72"/>
      <c r="W39" s="50"/>
      <c r="X39" s="78"/>
      <c r="Y39" s="45"/>
      <c r="Z39" s="45"/>
      <c r="AA39" s="46"/>
    </row>
    <row r="40" spans="1:27" ht="13.5" customHeight="1" x14ac:dyDescent="0.2">
      <c r="A40" s="1975" t="s">
        <v>2086</v>
      </c>
      <c r="B40" s="1976"/>
      <c r="C40" s="1977"/>
      <c r="D40" s="1977"/>
      <c r="E40" s="1977"/>
      <c r="F40" s="1978"/>
      <c r="G40" s="1978"/>
      <c r="H40" s="1979"/>
      <c r="I40" s="2000"/>
      <c r="J40" s="2001"/>
      <c r="K40" s="2001"/>
      <c r="L40" s="2001"/>
      <c r="M40" s="2001"/>
      <c r="N40" s="2001"/>
      <c r="O40" s="2001"/>
      <c r="P40" s="2001"/>
      <c r="Q40" s="2001"/>
      <c r="R40" s="2001"/>
      <c r="S40" s="2002"/>
      <c r="T40" s="2000"/>
      <c r="U40" s="2063"/>
      <c r="V40" s="2001"/>
      <c r="W40" s="2001"/>
      <c r="X40" s="2001"/>
      <c r="Y40" s="2001"/>
      <c r="Z40" s="2001"/>
      <c r="AA40" s="200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9" t="s">
        <v>2087</v>
      </c>
      <c r="B42" s="1981"/>
      <c r="C42" s="1982"/>
      <c r="D42" s="1980" t="s">
        <v>2088</v>
      </c>
      <c r="E42" s="1981"/>
      <c r="F42" s="1981"/>
      <c r="G42" s="1981"/>
      <c r="H42" s="1982"/>
      <c r="I42" s="1964"/>
      <c r="J42" s="1965"/>
      <c r="K42" s="1965"/>
      <c r="L42" s="1965"/>
      <c r="M42" s="1965"/>
      <c r="N42" s="1965"/>
      <c r="O42" s="1966"/>
      <c r="P42" s="1999"/>
      <c r="Q42" s="1965"/>
      <c r="R42" s="1965"/>
      <c r="S42" s="1966"/>
      <c r="T42" s="1964"/>
      <c r="U42" s="1965"/>
      <c r="V42" s="1965"/>
      <c r="W42" s="1966"/>
      <c r="X42" s="1999"/>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7" t="s">
        <v>1709</v>
      </c>
    </row>
    <row r="23" spans="1:5" x14ac:dyDescent="0.2">
      <c r="A23" s="168"/>
      <c r="B23" s="162" t="s">
        <v>1967</v>
      </c>
      <c r="D23" s="167" t="s">
        <v>658</v>
      </c>
      <c r="E23" s="1857"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9"/>
      <c r="J77" s="261">
        <v>43373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v>3334</v>
      </c>
      <c r="G88" s="276"/>
      <c r="H88" s="276"/>
      <c r="I88" s="276"/>
      <c r="J88" s="277">
        <f>SUM(E88:I88)</f>
        <v>3334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3334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2075</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2020</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2">
        <f>ROUND(D10+F10+H10,5)</f>
        <v>0</v>
      </c>
      <c r="K10" s="222"/>
      <c r="L10" s="355"/>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5628539</v>
      </c>
      <c r="E16" s="356"/>
      <c r="F16" s="1753">
        <f>SUM('Acct Summary 7-8'!C17,'Acct Summary 7-8'!D17,'Acct Summary 7-8'!F17)</f>
        <v>4931660</v>
      </c>
      <c r="G16" s="356"/>
      <c r="H16" s="1753">
        <f>SUM(D16-F16)</f>
        <v>696879</v>
      </c>
      <c r="I16" s="222"/>
      <c r="J16" s="1753">
        <f>SUM('Acct Summary 7-8'!C81,'Acct Summary 7-8'!D81,'Acct Summary 7-8'!F81,'Acct Summary 7-8'!I81)</f>
        <v>2949355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1637026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 xml:space="preserve">Capital Area Career Center                  </v>
      </c>
      <c r="E7" s="391"/>
      <c r="G7" s="252"/>
      <c r="H7" s="387"/>
      <c r="I7" s="387"/>
      <c r="J7" s="387"/>
      <c r="K7" s="387"/>
      <c r="L7" s="329"/>
      <c r="M7" s="329"/>
      <c r="N7" s="329"/>
      <c r="O7" s="329"/>
      <c r="P7" s="329"/>
    </row>
    <row r="8" spans="1:18" ht="12.75" x14ac:dyDescent="0.2">
      <c r="A8" s="329"/>
      <c r="B8" s="329"/>
      <c r="C8" s="389" t="s">
        <v>1187</v>
      </c>
      <c r="D8" s="392">
        <f>COVER!A13</f>
        <v>51084790040</v>
      </c>
      <c r="E8" s="393"/>
      <c r="G8" s="329"/>
      <c r="H8" s="329"/>
      <c r="I8" s="329"/>
      <c r="J8" s="329"/>
      <c r="K8" s="329"/>
      <c r="L8" s="329"/>
      <c r="M8" s="329"/>
      <c r="N8" s="329"/>
      <c r="O8" s="329"/>
      <c r="P8" s="329"/>
    </row>
    <row r="9" spans="1:18" ht="12.75" x14ac:dyDescent="0.2">
      <c r="A9" s="329"/>
      <c r="B9" s="329"/>
      <c r="C9" s="389" t="s">
        <v>737</v>
      </c>
      <c r="D9" s="394" t="str">
        <f>COVER!A15</f>
        <v>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2949355</v>
      </c>
      <c r="I12" s="404"/>
      <c r="J12" s="404"/>
      <c r="K12" s="405">
        <f>TRUNC((H12/H13*100000),5)/100000</f>
        <v>0.52400010019999999</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5628539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4931660</v>
      </c>
      <c r="I17" s="404"/>
      <c r="J17" s="416"/>
      <c r="K17" s="405">
        <f>TRUNC((H17/H18*100000),5)/100000</f>
        <v>0.87618829679999999</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5628539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2674059</v>
      </c>
      <c r="I24" s="422"/>
      <c r="J24" s="422"/>
      <c r="K24" s="423">
        <f>TRUNC(((H24/H25*100000)/100000),2)</f>
        <v>195.2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13699.055560000001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1637026</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22" sqref="A22"/>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2674059</v>
      </c>
      <c r="D4" s="466"/>
      <c r="E4" s="466"/>
      <c r="F4" s="466"/>
      <c r="G4" s="466"/>
      <c r="H4" s="466">
        <v>34705</v>
      </c>
      <c r="I4" s="466"/>
      <c r="J4" s="467"/>
      <c r="K4" s="466"/>
      <c r="L4" s="466">
        <v>24515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496249</v>
      </c>
      <c r="D8" s="467"/>
      <c r="E8" s="467"/>
      <c r="F8" s="467"/>
      <c r="G8" s="478"/>
      <c r="H8" s="467"/>
      <c r="I8" s="474"/>
      <c r="J8" s="474"/>
      <c r="K8" s="479"/>
      <c r="L8" s="480"/>
      <c r="M8" s="468"/>
      <c r="N8" s="469"/>
    </row>
    <row r="9" spans="1:14" ht="13.5" customHeight="1" x14ac:dyDescent="0.2">
      <c r="A9" s="473" t="s">
        <v>288</v>
      </c>
      <c r="B9" s="470">
        <v>160</v>
      </c>
      <c r="C9" s="476">
        <v>38487</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4301</v>
      </c>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3213096</v>
      </c>
      <c r="D13" s="1757">
        <f t="shared" ref="D13:L13" si="0">SUM(D4:D12)</f>
        <v>0</v>
      </c>
      <c r="E13" s="1757">
        <f t="shared" si="0"/>
        <v>0</v>
      </c>
      <c r="F13" s="1757">
        <f t="shared" si="0"/>
        <v>0</v>
      </c>
      <c r="G13" s="1757">
        <f t="shared" si="0"/>
        <v>0</v>
      </c>
      <c r="H13" s="1757">
        <f t="shared" si="0"/>
        <v>34705</v>
      </c>
      <c r="I13" s="1757">
        <f t="shared" si="0"/>
        <v>0</v>
      </c>
      <c r="J13" s="1757">
        <f t="shared" si="0"/>
        <v>0</v>
      </c>
      <c r="K13" s="1757">
        <f t="shared" si="0"/>
        <v>0</v>
      </c>
      <c r="L13" s="1757">
        <f t="shared" si="0"/>
        <v>24515</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300000</v>
      </c>
      <c r="N16" s="484"/>
    </row>
    <row r="17" spans="1:14" s="485" customFormat="1" ht="12.75" customHeight="1" x14ac:dyDescent="0.2">
      <c r="A17" s="482" t="s">
        <v>1470</v>
      </c>
      <c r="B17" s="483">
        <v>230</v>
      </c>
      <c r="C17" s="477"/>
      <c r="D17" s="477"/>
      <c r="E17" s="477"/>
      <c r="F17" s="477"/>
      <c r="G17" s="477"/>
      <c r="H17" s="477"/>
      <c r="I17" s="477"/>
      <c r="J17" s="477"/>
      <c r="K17" s="477"/>
      <c r="L17" s="477"/>
      <c r="M17" s="467">
        <v>11010306</v>
      </c>
      <c r="N17" s="484"/>
    </row>
    <row r="18" spans="1:14" s="485" customFormat="1" ht="12.75" customHeight="1" x14ac:dyDescent="0.2">
      <c r="A18" s="482" t="s">
        <v>1471</v>
      </c>
      <c r="B18" s="483">
        <v>240</v>
      </c>
      <c r="C18" s="477"/>
      <c r="D18" s="477"/>
      <c r="E18" s="477"/>
      <c r="F18" s="477"/>
      <c r="G18" s="477"/>
      <c r="H18" s="477"/>
      <c r="I18" s="477"/>
      <c r="J18" s="477"/>
      <c r="K18" s="477"/>
      <c r="L18" s="477"/>
      <c r="M18" s="467">
        <v>588573</v>
      </c>
      <c r="N18" s="484"/>
    </row>
    <row r="19" spans="1:14" s="485" customFormat="1" ht="12.75" customHeight="1" x14ac:dyDescent="0.2">
      <c r="A19" s="482" t="s">
        <v>1472</v>
      </c>
      <c r="B19" s="483">
        <v>250</v>
      </c>
      <c r="C19" s="477"/>
      <c r="D19" s="477"/>
      <c r="E19" s="477"/>
      <c r="F19" s="477"/>
      <c r="G19" s="477"/>
      <c r="H19" s="477"/>
      <c r="I19" s="477"/>
      <c r="J19" s="477"/>
      <c r="K19" s="477"/>
      <c r="L19" s="477"/>
      <c r="M19" s="467">
        <v>1394569</v>
      </c>
      <c r="N19" s="484"/>
    </row>
    <row r="20" spans="1:14" s="485" customFormat="1" ht="12.75" customHeight="1" x14ac:dyDescent="0.2">
      <c r="A20" s="482" t="s">
        <v>1473</v>
      </c>
      <c r="B20" s="483">
        <v>260</v>
      </c>
      <c r="C20" s="477"/>
      <c r="D20" s="477"/>
      <c r="E20" s="477"/>
      <c r="F20" s="477"/>
      <c r="G20" s="477"/>
      <c r="H20" s="477"/>
      <c r="I20" s="477"/>
      <c r="J20" s="477"/>
      <c r="K20" s="477"/>
      <c r="L20" s="477"/>
      <c r="M20" s="467">
        <v>2525</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1637026</v>
      </c>
    </row>
    <row r="23" spans="1:14" ht="13.5" customHeight="1" thickBot="1" x14ac:dyDescent="0.25">
      <c r="A23" s="1756" t="s">
        <v>664</v>
      </c>
      <c r="B23" s="1761"/>
      <c r="C23" s="468"/>
      <c r="D23" s="468"/>
      <c r="E23" s="468"/>
      <c r="F23" s="468"/>
      <c r="G23" s="468"/>
      <c r="H23" s="468"/>
      <c r="I23" s="468"/>
      <c r="J23" s="468"/>
      <c r="K23" s="468"/>
      <c r="L23" s="468"/>
      <c r="M23" s="1708">
        <f>SUM(M15:M22)</f>
        <v>13295973</v>
      </c>
      <c r="N23" s="1708">
        <f>SUM(N21:N22)</f>
        <v>1637026</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14899</v>
      </c>
      <c r="D26" s="467"/>
      <c r="E26" s="467"/>
      <c r="F26" s="467"/>
      <c r="G26" s="467"/>
      <c r="H26" s="467"/>
      <c r="I26" s="467"/>
      <c r="J26" s="474"/>
      <c r="K26" s="467"/>
      <c r="L26" s="468"/>
      <c r="M26" s="468"/>
      <c r="N26" s="468"/>
    </row>
    <row r="27" spans="1:14" ht="13.5" customHeight="1" x14ac:dyDescent="0.2">
      <c r="A27" s="473" t="s">
        <v>668</v>
      </c>
      <c r="B27" s="470">
        <v>430</v>
      </c>
      <c r="C27" s="467">
        <v>90533</v>
      </c>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156459</v>
      </c>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1850</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24515</v>
      </c>
      <c r="M33" s="468"/>
      <c r="N33" s="469"/>
    </row>
    <row r="34" spans="1:14" ht="13.5" customHeight="1" thickBot="1" x14ac:dyDescent="0.25">
      <c r="A34" s="1758" t="s">
        <v>675</v>
      </c>
      <c r="B34" s="1759"/>
      <c r="C34" s="1760">
        <f>SUM(C25:C33)</f>
        <v>263741</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24515</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1637026</v>
      </c>
    </row>
    <row r="37" spans="1:14" ht="13.5" thickBot="1" x14ac:dyDescent="0.25">
      <c r="A37" s="1756" t="s">
        <v>674</v>
      </c>
      <c r="B37" s="1761"/>
      <c r="C37" s="477"/>
      <c r="D37" s="477"/>
      <c r="E37" s="477"/>
      <c r="F37" s="477"/>
      <c r="G37" s="477"/>
      <c r="H37" s="477"/>
      <c r="I37" s="477"/>
      <c r="J37" s="477"/>
      <c r="K37" s="477"/>
      <c r="L37" s="480"/>
      <c r="M37" s="468"/>
      <c r="N37" s="1708">
        <f>SUM(N36:N36)</f>
        <v>1637026</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2949355</v>
      </c>
      <c r="D39" s="466"/>
      <c r="E39" s="466"/>
      <c r="F39" s="466"/>
      <c r="G39" s="466"/>
      <c r="H39" s="466">
        <v>34705</v>
      </c>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13295973</v>
      </c>
      <c r="N40" s="497"/>
    </row>
    <row r="41" spans="1:14" ht="13.5" customHeight="1" thickBot="1" x14ac:dyDescent="0.25">
      <c r="A41" s="1756" t="s">
        <v>676</v>
      </c>
      <c r="B41" s="1726"/>
      <c r="C41" s="1708">
        <f>(SUM(C34,C37,C38,C39))</f>
        <v>3213096</v>
      </c>
      <c r="D41" s="1708">
        <f t="shared" ref="D41:L41" si="2">SUM(D34,D37,D38:D39)</f>
        <v>0</v>
      </c>
      <c r="E41" s="1708">
        <f t="shared" si="2"/>
        <v>0</v>
      </c>
      <c r="F41" s="1708">
        <f t="shared" si="2"/>
        <v>0</v>
      </c>
      <c r="G41" s="1708">
        <f t="shared" si="2"/>
        <v>0</v>
      </c>
      <c r="H41" s="1708">
        <f t="shared" si="2"/>
        <v>34705</v>
      </c>
      <c r="I41" s="1708">
        <f t="shared" si="2"/>
        <v>0</v>
      </c>
      <c r="J41" s="1708">
        <f t="shared" si="2"/>
        <v>0</v>
      </c>
      <c r="K41" s="1708">
        <f t="shared" si="2"/>
        <v>0</v>
      </c>
      <c r="L41" s="1708">
        <f t="shared" si="2"/>
        <v>24515</v>
      </c>
      <c r="M41" s="1708">
        <f>SUM(M40)</f>
        <v>13295973</v>
      </c>
      <c r="N41" s="1708">
        <f>SUM(N37)</f>
        <v>1637026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notes to the financial statments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22" sqref="A22"/>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0" t="s">
        <v>1579</v>
      </c>
      <c r="B4" s="1951">
        <v>1000</v>
      </c>
      <c r="C4" s="1762">
        <f>'Revenues 9-14'!C109</f>
        <v>4313462</v>
      </c>
      <c r="D4" s="1762">
        <f>'Revenues 9-14'!D109</f>
        <v>0</v>
      </c>
      <c r="E4" s="1762">
        <f>'Revenues 9-14'!E109</f>
        <v>0</v>
      </c>
      <c r="F4" s="1762">
        <f>'Revenues 9-14'!F109</f>
        <v>0</v>
      </c>
      <c r="G4" s="1762">
        <f>'Revenues 9-14'!G109</f>
        <v>0</v>
      </c>
      <c r="H4" s="1762">
        <f>'Revenues 9-14'!H109</f>
        <v>5439</v>
      </c>
      <c r="I4" s="1762">
        <f>'Revenues 9-14'!I109</f>
        <v>0</v>
      </c>
      <c r="J4" s="1762">
        <f>'Revenues 9-14'!J109</f>
        <v>0</v>
      </c>
      <c r="K4" s="1762">
        <f>'Revenues 9-14'!K109</f>
        <v>0</v>
      </c>
      <c r="L4" s="347"/>
    </row>
    <row r="5" spans="1:13" ht="15.75" customHeight="1" x14ac:dyDescent="0.2">
      <c r="A5" s="1598" t="s">
        <v>1580</v>
      </c>
      <c r="B5" s="1599">
        <v>2000</v>
      </c>
      <c r="C5" s="1763">
        <f>'Revenues 9-14'!C114</f>
        <v>604379</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710698</v>
      </c>
      <c r="D6" s="1763">
        <f>'Revenues 9-14'!D173</f>
        <v>0</v>
      </c>
      <c r="E6" s="1763">
        <f>'Revenues 9-14'!E173</f>
        <v>0</v>
      </c>
      <c r="F6" s="1763">
        <f>'Revenues 9-14'!F173</f>
        <v>0</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0</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5628539</v>
      </c>
      <c r="D8" s="1708">
        <f t="shared" ref="D8:K8" si="0">SUM(D4:D7)</f>
        <v>0</v>
      </c>
      <c r="E8" s="1708">
        <f t="shared" si="0"/>
        <v>0</v>
      </c>
      <c r="F8" s="1708">
        <f t="shared" si="0"/>
        <v>0</v>
      </c>
      <c r="G8" s="1708">
        <f t="shared" si="0"/>
        <v>0</v>
      </c>
      <c r="H8" s="1708">
        <f t="shared" si="0"/>
        <v>5439</v>
      </c>
      <c r="I8" s="1708">
        <f t="shared" si="0"/>
        <v>0</v>
      </c>
      <c r="J8" s="1708">
        <f t="shared" si="0"/>
        <v>0</v>
      </c>
      <c r="K8" s="1708">
        <f t="shared" si="0"/>
        <v>0</v>
      </c>
      <c r="L8" s="347"/>
    </row>
    <row r="9" spans="1:13" ht="15.75" thickTop="1" x14ac:dyDescent="0.2">
      <c r="A9" s="514" t="s">
        <v>1752</v>
      </c>
      <c r="B9" s="515">
        <v>3998</v>
      </c>
      <c r="C9" s="481">
        <v>1089806</v>
      </c>
      <c r="D9" s="516"/>
      <c r="E9" s="481"/>
      <c r="F9" s="481"/>
      <c r="G9" s="517"/>
      <c r="H9" s="481"/>
      <c r="I9" s="509" t="s">
        <v>1231</v>
      </c>
      <c r="J9" s="478"/>
      <c r="K9" s="481"/>
      <c r="L9" s="347"/>
    </row>
    <row r="10" spans="1:13" s="519" customFormat="1" ht="13.5" thickBot="1" x14ac:dyDescent="0.25">
      <c r="A10" s="1756" t="s">
        <v>1235</v>
      </c>
      <c r="B10" s="1729"/>
      <c r="C10" s="1708">
        <f>SUM(C8:C9)</f>
        <v>6718345</v>
      </c>
      <c r="D10" s="1708">
        <f t="shared" ref="D10:K10" si="1">SUM(D8:D9)</f>
        <v>0</v>
      </c>
      <c r="E10" s="1708">
        <f t="shared" si="1"/>
        <v>0</v>
      </c>
      <c r="F10" s="1708">
        <f t="shared" si="1"/>
        <v>0</v>
      </c>
      <c r="G10" s="1708">
        <f t="shared" si="1"/>
        <v>0</v>
      </c>
      <c r="H10" s="1708">
        <f t="shared" si="1"/>
        <v>5439</v>
      </c>
      <c r="I10" s="1708">
        <f t="shared" si="1"/>
        <v>0</v>
      </c>
      <c r="J10" s="1708">
        <f t="shared" si="1"/>
        <v>0</v>
      </c>
      <c r="K10" s="1708">
        <f t="shared" si="1"/>
        <v>0</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2">
        <f>'Expenditures 15-22'!K33</f>
        <v>3303547</v>
      </c>
      <c r="D12" s="520" t="s">
        <v>1231</v>
      </c>
      <c r="E12" s="468" t="s">
        <v>1231</v>
      </c>
      <c r="F12" s="468" t="s">
        <v>1231</v>
      </c>
      <c r="G12" s="1762">
        <f>'Expenditures 15-22'!K229</f>
        <v>0</v>
      </c>
      <c r="H12" s="521"/>
      <c r="I12" s="468" t="s">
        <v>1231</v>
      </c>
      <c r="J12" s="468" t="s">
        <v>1231</v>
      </c>
      <c r="K12" s="521" t="s">
        <v>1231</v>
      </c>
      <c r="L12" s="347"/>
    </row>
    <row r="13" spans="1:13" ht="15.75" customHeight="1" x14ac:dyDescent="0.2">
      <c r="A13" s="1598" t="s">
        <v>477</v>
      </c>
      <c r="B13" s="1600">
        <v>2000</v>
      </c>
      <c r="C13" s="1763">
        <f>'Expenditures 15-22'!K74</f>
        <v>1623246</v>
      </c>
      <c r="D13" s="1763">
        <f>'Expenditures 15-22'!K129</f>
        <v>0</v>
      </c>
      <c r="E13" s="469" t="s">
        <v>1231</v>
      </c>
      <c r="F13" s="1763">
        <f>'Expenditures 15-22'!K184</f>
        <v>0</v>
      </c>
      <c r="G13" s="1763">
        <f>'Expenditures 15-22'!K279</f>
        <v>0</v>
      </c>
      <c r="H13" s="1763">
        <f>'Expenditures 15-22'!K303</f>
        <v>10</v>
      </c>
      <c r="I13" s="468" t="s">
        <v>1231</v>
      </c>
      <c r="J13" s="1763">
        <f>'Expenditures 15-22'!K330</f>
        <v>0</v>
      </c>
      <c r="K13" s="1767">
        <f>'Expenditures 15-22'!K352</f>
        <v>0</v>
      </c>
      <c r="L13" s="347"/>
    </row>
    <row r="14" spans="1:13" ht="15.75" customHeight="1" x14ac:dyDescent="0.2">
      <c r="A14" s="1598" t="s">
        <v>469</v>
      </c>
      <c r="B14" s="1600">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0</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4867</v>
      </c>
      <c r="D16" s="1763">
        <f>'Expenditures 15-22'!K149</f>
        <v>0</v>
      </c>
      <c r="E16" s="1763">
        <f>'Expenditures 15-22'!K172</f>
        <v>0</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4931660</v>
      </c>
      <c r="D17" s="1708">
        <f t="shared" si="2"/>
        <v>0</v>
      </c>
      <c r="E17" s="1708">
        <f t="shared" si="2"/>
        <v>0</v>
      </c>
      <c r="F17" s="1708">
        <f t="shared" si="2"/>
        <v>0</v>
      </c>
      <c r="G17" s="1708">
        <f t="shared" si="2"/>
        <v>0</v>
      </c>
      <c r="H17" s="1708">
        <f t="shared" si="2"/>
        <v>10</v>
      </c>
      <c r="I17" s="468"/>
      <c r="J17" s="1708">
        <f>SUM(J12:J16)</f>
        <v>0</v>
      </c>
      <c r="K17" s="1708">
        <f>SUM(K12:K16)</f>
        <v>0</v>
      </c>
      <c r="L17" s="347"/>
    </row>
    <row r="18" spans="1:12" ht="15" customHeight="1" thickTop="1" x14ac:dyDescent="0.2">
      <c r="A18" s="1764" t="s">
        <v>1753</v>
      </c>
      <c r="B18" s="1765">
        <v>4180</v>
      </c>
      <c r="C18" s="1762">
        <f t="shared" ref="C18:H18" si="3">C9</f>
        <v>1089806</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6021466</v>
      </c>
      <c r="D19" s="1708">
        <f t="shared" si="4"/>
        <v>0</v>
      </c>
      <c r="E19" s="1708">
        <f t="shared" si="4"/>
        <v>0</v>
      </c>
      <c r="F19" s="1708">
        <f t="shared" si="4"/>
        <v>0</v>
      </c>
      <c r="G19" s="1708">
        <f t="shared" si="4"/>
        <v>0</v>
      </c>
      <c r="H19" s="1708">
        <f t="shared" si="4"/>
        <v>10</v>
      </c>
      <c r="I19" s="468"/>
      <c r="J19" s="1708">
        <f>SUM(J17:J18)</f>
        <v>0</v>
      </c>
      <c r="K19" s="1708">
        <f>SUM(K17:K18)</f>
        <v>0</v>
      </c>
      <c r="L19" s="347"/>
    </row>
    <row r="20" spans="1:12" ht="16.5" thickTop="1" thickBot="1" x14ac:dyDescent="0.25">
      <c r="A20" s="2146" t="s">
        <v>1754</v>
      </c>
      <c r="B20" s="2147"/>
      <c r="C20" s="1766">
        <f>C8-C17</f>
        <v>696879</v>
      </c>
      <c r="D20" s="1766">
        <f t="shared" ref="D20:K20" si="5">D8-D17</f>
        <v>0</v>
      </c>
      <c r="E20" s="1766">
        <f t="shared" si="5"/>
        <v>0</v>
      </c>
      <c r="F20" s="1766">
        <f t="shared" si="5"/>
        <v>0</v>
      </c>
      <c r="G20" s="1766">
        <f t="shared" si="5"/>
        <v>0</v>
      </c>
      <c r="H20" s="1766">
        <f t="shared" si="5"/>
        <v>5429</v>
      </c>
      <c r="I20" s="1766">
        <f t="shared" si="5"/>
        <v>0</v>
      </c>
      <c r="J20" s="1766">
        <f t="shared" si="5"/>
        <v>0</v>
      </c>
      <c r="K20" s="1766">
        <f t="shared" si="5"/>
        <v>0</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v>22300</v>
      </c>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3">
        <f>SUM(C24:C43)</f>
        <v>22300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3">
        <f>D30</f>
        <v>0</v>
      </c>
      <c r="L52" s="524"/>
    </row>
    <row r="53" spans="1:12" s="485" customFormat="1" ht="26.25" x14ac:dyDescent="0.2">
      <c r="A53" s="1512" t="s">
        <v>1897</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v>100000</v>
      </c>
      <c r="D75" s="531"/>
      <c r="E75" s="530"/>
      <c r="F75" s="532"/>
      <c r="G75" s="532"/>
      <c r="H75" s="532"/>
      <c r="I75" s="530"/>
      <c r="J75" s="530"/>
      <c r="K75" s="532"/>
      <c r="L75" s="524"/>
    </row>
    <row r="76" spans="1:12" s="485" customFormat="1" ht="14.25" thickTop="1" thickBot="1" x14ac:dyDescent="0.25">
      <c r="A76" s="2136" t="s">
        <v>460</v>
      </c>
      <c r="B76" s="2137"/>
      <c r="C76" s="1723">
        <f t="shared" ref="C76:K76" si="7">SUM(C47:C75)</f>
        <v>100000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8" t="s">
        <v>1239</v>
      </c>
      <c r="B77" s="2139"/>
      <c r="C77" s="1723">
        <f t="shared" ref="C77:K77" si="8">C44-C76</f>
        <v>-77700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2" t="s">
        <v>618</v>
      </c>
      <c r="B78" s="2143"/>
      <c r="C78" s="1722">
        <f t="shared" ref="C78:K78" si="9">C20+C77</f>
        <v>619179</v>
      </c>
      <c r="D78" s="1722">
        <f t="shared" si="9"/>
        <v>0</v>
      </c>
      <c r="E78" s="1722">
        <f t="shared" si="9"/>
        <v>0</v>
      </c>
      <c r="F78" s="1722">
        <f t="shared" si="9"/>
        <v>0</v>
      </c>
      <c r="G78" s="1722">
        <f t="shared" si="9"/>
        <v>0</v>
      </c>
      <c r="H78" s="1722">
        <f t="shared" si="9"/>
        <v>5429</v>
      </c>
      <c r="I78" s="1722">
        <f t="shared" si="9"/>
        <v>0</v>
      </c>
      <c r="J78" s="1722">
        <f t="shared" si="9"/>
        <v>0</v>
      </c>
      <c r="K78" s="1722">
        <f t="shared" si="9"/>
        <v>0</v>
      </c>
      <c r="L78" s="533"/>
    </row>
    <row r="79" spans="1:12" ht="13.5" thickTop="1" x14ac:dyDescent="0.2">
      <c r="A79" s="1516" t="s">
        <v>2071</v>
      </c>
      <c r="B79" s="534"/>
      <c r="C79" s="478">
        <v>2330176</v>
      </c>
      <c r="D79" s="535"/>
      <c r="E79" s="535"/>
      <c r="F79" s="535"/>
      <c r="G79" s="535"/>
      <c r="H79" s="535">
        <v>29276</v>
      </c>
      <c r="I79" s="535"/>
      <c r="J79" s="535"/>
      <c r="K79" s="535"/>
      <c r="L79" s="347"/>
    </row>
    <row r="80" spans="1:12" x14ac:dyDescent="0.2">
      <c r="A80" s="2148" t="s">
        <v>1896</v>
      </c>
      <c r="B80" s="2149"/>
      <c r="C80" s="467"/>
      <c r="D80" s="467"/>
      <c r="E80" s="467"/>
      <c r="F80" s="467"/>
      <c r="G80" s="467"/>
      <c r="H80" s="467"/>
      <c r="I80" s="467"/>
      <c r="J80" s="467"/>
      <c r="K80" s="467"/>
      <c r="L80" s="347"/>
    </row>
    <row r="81" spans="1:12" ht="13.5" thickBot="1" x14ac:dyDescent="0.25">
      <c r="A81" s="2140" t="s">
        <v>2072</v>
      </c>
      <c r="B81" s="2141"/>
      <c r="C81" s="1708">
        <f>(SUM(C78:C80))</f>
        <v>2949355</v>
      </c>
      <c r="D81" s="1708">
        <f>SUM(D78:D80)</f>
        <v>0</v>
      </c>
      <c r="E81" s="1708">
        <f t="shared" ref="E81:K81" si="10">SUM(E78:E80)</f>
        <v>0</v>
      </c>
      <c r="F81" s="1708">
        <f t="shared" si="10"/>
        <v>0</v>
      </c>
      <c r="G81" s="1708">
        <f t="shared" si="10"/>
        <v>0</v>
      </c>
      <c r="H81" s="1708">
        <f t="shared" si="10"/>
        <v>34705</v>
      </c>
      <c r="I81" s="1708">
        <f t="shared" si="10"/>
        <v>0</v>
      </c>
      <c r="J81" s="1708">
        <f t="shared" si="10"/>
        <v>0</v>
      </c>
      <c r="K81" s="1708">
        <f t="shared" si="10"/>
        <v>0</v>
      </c>
      <c r="L81" s="347"/>
    </row>
    <row r="82" spans="1:12" ht="0.75" customHeight="1" thickTop="1" thickBot="1" x14ac:dyDescent="0.25">
      <c r="A82" s="536" t="s">
        <v>361</v>
      </c>
      <c r="B82" s="537"/>
      <c r="C82" s="538">
        <f>(C81-C79)</f>
        <v>619179</v>
      </c>
      <c r="D82" s="538">
        <f t="shared" ref="D82:K82" si="11">(D81-D79)</f>
        <v>0</v>
      </c>
      <c r="E82" s="538">
        <f t="shared" si="11"/>
        <v>0</v>
      </c>
      <c r="F82" s="538">
        <f t="shared" si="11"/>
        <v>0</v>
      </c>
      <c r="G82" s="538">
        <f t="shared" si="11"/>
        <v>0</v>
      </c>
      <c r="H82" s="538">
        <f t="shared" si="11"/>
        <v>5429</v>
      </c>
      <c r="I82" s="538">
        <f t="shared" si="11"/>
        <v>0</v>
      </c>
      <c r="J82" s="538">
        <f t="shared" si="11"/>
        <v>0</v>
      </c>
      <c r="K82" s="538">
        <f t="shared" si="11"/>
        <v>0</v>
      </c>
    </row>
    <row r="83" spans="1:12" ht="14.25" hidden="1" thickTop="1" thickBot="1" x14ac:dyDescent="0.25">
      <c r="A83" s="539" t="s">
        <v>362</v>
      </c>
      <c r="B83" s="464"/>
      <c r="C83" s="540">
        <f>C82/C81</f>
        <v>0.20993708793956645</v>
      </c>
      <c r="D83" s="540" t="e">
        <f t="shared" ref="D83:K83" si="12">D82/D81</f>
        <v>#DIV/0!</v>
      </c>
      <c r="E83" s="540" t="e">
        <f t="shared" si="12"/>
        <v>#DIV/0!</v>
      </c>
      <c r="F83" s="540" t="e">
        <f t="shared" si="12"/>
        <v>#DIV/0!</v>
      </c>
      <c r="G83" s="540" t="e">
        <f t="shared" si="12"/>
        <v>#DIV/0!</v>
      </c>
      <c r="H83" s="540">
        <f t="shared" si="12"/>
        <v>0.15643279066416943</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notes to the financial statments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22" sqref="A22"/>
      <selection pane="bottomLeft" activeCell="C29" sqref="C2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1903</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0</v>
      </c>
      <c r="D12" s="1727">
        <f t="shared" si="0"/>
        <v>0</v>
      </c>
      <c r="E12" s="1727">
        <f t="shared" si="0"/>
        <v>0</v>
      </c>
      <c r="F12" s="1727">
        <f t="shared" si="0"/>
        <v>0</v>
      </c>
      <c r="G12" s="1727">
        <f t="shared" si="0"/>
        <v>0</v>
      </c>
      <c r="H12" s="1727">
        <f t="shared" si="0"/>
        <v>0</v>
      </c>
      <c r="I12" s="1727">
        <f t="shared" si="0"/>
        <v>0</v>
      </c>
      <c r="J12" s="1727">
        <f t="shared" si="0"/>
        <v>0</v>
      </c>
      <c r="K12" s="1708">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0</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2224</v>
      </c>
      <c r="D28" s="468"/>
      <c r="E28" s="468"/>
      <c r="F28" s="468"/>
      <c r="G28" s="468"/>
      <c r="H28" s="468"/>
      <c r="I28" s="468"/>
      <c r="J28" s="468"/>
      <c r="K28" s="468"/>
    </row>
    <row r="29" spans="1:11" ht="12.75" customHeight="1" x14ac:dyDescent="0.2">
      <c r="A29" s="463" t="s">
        <v>889</v>
      </c>
      <c r="B29" s="470">
        <v>1332</v>
      </c>
      <c r="C29" s="551">
        <v>2274004</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v>1346348</v>
      </c>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3622576</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6206</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6206</v>
      </c>
      <c r="D67" s="1708">
        <f t="shared" ref="D67:K67" si="2">SUM(D65:D66)</f>
        <v>0</v>
      </c>
      <c r="E67" s="1708">
        <f t="shared" si="2"/>
        <v>0</v>
      </c>
      <c r="F67" s="1708">
        <f t="shared" si="2"/>
        <v>0</v>
      </c>
      <c r="G67" s="1708">
        <f t="shared" si="2"/>
        <v>0</v>
      </c>
      <c r="H67" s="1708">
        <f t="shared" si="2"/>
        <v>0</v>
      </c>
      <c r="I67" s="1708">
        <f t="shared" si="2"/>
        <v>0</v>
      </c>
      <c r="J67" s="1708">
        <f t="shared" si="2"/>
        <v>0</v>
      </c>
      <c r="K67" s="1708">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81380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81380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308404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308404</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v>104206</v>
      </c>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104206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148966</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33855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v>5439</v>
      </c>
      <c r="I106" s="521"/>
      <c r="J106" s="467"/>
      <c r="K106" s="467"/>
    </row>
    <row r="107" spans="1:12" ht="12.75" customHeight="1" x14ac:dyDescent="0.2">
      <c r="A107" s="463" t="s">
        <v>80</v>
      </c>
      <c r="B107" s="470">
        <v>1999</v>
      </c>
      <c r="C107" s="551">
        <v>7869</v>
      </c>
      <c r="D107" s="466"/>
      <c r="E107" s="466"/>
      <c r="F107" s="466"/>
      <c r="G107" s="466"/>
      <c r="H107" s="466"/>
      <c r="I107" s="466"/>
      <c r="J107" s="467"/>
      <c r="K107" s="466"/>
    </row>
    <row r="108" spans="1:12" ht="12.75" customHeight="1" thickBot="1" x14ac:dyDescent="0.25">
      <c r="A108" s="1728" t="s">
        <v>508</v>
      </c>
      <c r="B108" s="1732"/>
      <c r="C108" s="1727">
        <f>SUM(C95:C107)</f>
        <v>190690</v>
      </c>
      <c r="D108" s="1727">
        <f t="shared" ref="D108:K108" si="3">SUM(D95:D107)</f>
        <v>0</v>
      </c>
      <c r="E108" s="1727">
        <f t="shared" si="3"/>
        <v>0</v>
      </c>
      <c r="F108" s="1727">
        <f t="shared" si="3"/>
        <v>0</v>
      </c>
      <c r="G108" s="1727">
        <f t="shared" si="3"/>
        <v>0</v>
      </c>
      <c r="H108" s="1727">
        <f t="shared" si="3"/>
        <v>5439</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4313462</v>
      </c>
      <c r="D109" s="1735">
        <f t="shared" si="4"/>
        <v>0</v>
      </c>
      <c r="E109" s="1735">
        <f t="shared" si="4"/>
        <v>0</v>
      </c>
      <c r="F109" s="1735">
        <f t="shared" si="4"/>
        <v>0</v>
      </c>
      <c r="G109" s="1735">
        <f t="shared" si="4"/>
        <v>0</v>
      </c>
      <c r="H109" s="1735">
        <f t="shared" si="4"/>
        <v>5439</v>
      </c>
      <c r="I109" s="1735">
        <f t="shared" si="4"/>
        <v>0</v>
      </c>
      <c r="J109" s="1735">
        <f t="shared" si="4"/>
        <v>0</v>
      </c>
      <c r="K109" s="1722">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461234</v>
      </c>
      <c r="D111" s="481"/>
      <c r="E111" s="561"/>
      <c r="F111" s="481"/>
      <c r="G111" s="481"/>
      <c r="H111" s="561"/>
      <c r="I111" s="468"/>
      <c r="J111" s="468"/>
      <c r="K111" s="468"/>
    </row>
    <row r="112" spans="1:12" ht="12.75" customHeight="1" x14ac:dyDescent="0.2">
      <c r="A112" s="463" t="s">
        <v>878</v>
      </c>
      <c r="B112" s="470">
        <v>2200</v>
      </c>
      <c r="C112" s="551">
        <v>143145</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604379</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0</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3451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3451</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13247</v>
      </c>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13247</v>
      </c>
      <c r="D154" s="1727">
        <f>SUM(D151:D153)</f>
        <v>0</v>
      </c>
      <c r="E154" s="561"/>
      <c r="F154" s="1727">
        <f>SUM(F151:F153)</f>
        <v>0</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694000</v>
      </c>
      <c r="D171" s="580"/>
      <c r="E171" s="580"/>
      <c r="F171" s="580"/>
      <c r="G171" s="581"/>
      <c r="H171" s="582"/>
      <c r="I171" s="581"/>
      <c r="J171" s="581"/>
      <c r="K171" s="582"/>
    </row>
    <row r="172" spans="1:11" ht="12.75" customHeight="1" thickTop="1" thickBot="1" x14ac:dyDescent="0.25">
      <c r="A172" s="2164" t="s">
        <v>418</v>
      </c>
      <c r="B172" s="2165"/>
      <c r="C172" s="1742">
        <f t="shared" ref="C172:K172" si="6">SUM(C131,C140,C144,C145:C149,C154,C155:C170,C171)</f>
        <v>710698</v>
      </c>
      <c r="D172" s="1742">
        <f t="shared" si="6"/>
        <v>0</v>
      </c>
      <c r="E172" s="1742">
        <f t="shared" si="6"/>
        <v>0</v>
      </c>
      <c r="F172" s="1742">
        <f t="shared" si="6"/>
        <v>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710698</v>
      </c>
      <c r="D173" s="1735">
        <f>SUM(D121,D172)</f>
        <v>0</v>
      </c>
      <c r="E173" s="1735">
        <f>SUM(E121,E172)</f>
        <v>0</v>
      </c>
      <c r="F173" s="1735">
        <f t="shared" ref="F173:K173" si="7">SUM(F121,F172)</f>
        <v>0</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0" t="s">
        <v>1764</v>
      </c>
      <c r="B178" s="2171"/>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2" t="s">
        <v>818</v>
      </c>
      <c r="B184" s="2173"/>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8" t="s">
        <v>1904</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0</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0</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0</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5628539</v>
      </c>
      <c r="D275" s="1735">
        <f t="shared" si="12"/>
        <v>0</v>
      </c>
      <c r="E275" s="1735">
        <f t="shared" si="12"/>
        <v>0</v>
      </c>
      <c r="F275" s="1735">
        <f t="shared" si="12"/>
        <v>0</v>
      </c>
      <c r="G275" s="1735">
        <f t="shared" si="12"/>
        <v>0</v>
      </c>
      <c r="H275" s="1735">
        <f t="shared" si="12"/>
        <v>5439</v>
      </c>
      <c r="I275" s="1735">
        <f t="shared" si="12"/>
        <v>0</v>
      </c>
      <c r="J275" s="1735">
        <f t="shared" si="12"/>
        <v>0</v>
      </c>
      <c r="K275" s="1722">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notes to the financial statments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22" sqref="A22"/>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1">
        <f>SUM(C5:J5)</f>
        <v>0</v>
      </c>
      <c r="L5" s="466"/>
    </row>
    <row r="6" spans="1:14" x14ac:dyDescent="0.2">
      <c r="A6" s="1526" t="s">
        <v>1508</v>
      </c>
      <c r="B6" s="615" t="s">
        <v>1506</v>
      </c>
      <c r="C6" s="477"/>
      <c r="D6" s="477"/>
      <c r="E6" s="466"/>
      <c r="F6" s="477"/>
      <c r="G6" s="477"/>
      <c r="H6" s="477"/>
      <c r="I6" s="477"/>
      <c r="J6" s="477"/>
      <c r="K6" s="1691">
        <f>SUM(C6,E6)</f>
        <v>0</v>
      </c>
      <c r="L6" s="466"/>
    </row>
    <row r="7" spans="1:14" x14ac:dyDescent="0.2">
      <c r="A7" s="1526" t="s">
        <v>165</v>
      </c>
      <c r="B7" s="615" t="s">
        <v>1024</v>
      </c>
      <c r="C7" s="467"/>
      <c r="D7" s="467"/>
      <c r="E7" s="467"/>
      <c r="F7" s="467"/>
      <c r="G7" s="467"/>
      <c r="H7" s="467"/>
      <c r="I7" s="467"/>
      <c r="J7" s="467"/>
      <c r="K7" s="1691">
        <f t="shared" ref="K7:K32" si="0">SUM(C7:J7)</f>
        <v>0</v>
      </c>
      <c r="L7" s="466"/>
    </row>
    <row r="8" spans="1:14" x14ac:dyDescent="0.2">
      <c r="A8" s="1526" t="s">
        <v>166</v>
      </c>
      <c r="B8" s="615">
        <v>1200</v>
      </c>
      <c r="C8" s="466"/>
      <c r="D8" s="466"/>
      <c r="E8" s="466"/>
      <c r="F8" s="466"/>
      <c r="G8" s="466"/>
      <c r="H8" s="466"/>
      <c r="I8" s="467"/>
      <c r="J8" s="467"/>
      <c r="K8" s="1691">
        <f t="shared" si="0"/>
        <v>0</v>
      </c>
      <c r="L8" s="466"/>
    </row>
    <row r="9" spans="1:14" x14ac:dyDescent="0.2">
      <c r="A9" s="1526" t="s">
        <v>745</v>
      </c>
      <c r="B9" s="615" t="s">
        <v>1025</v>
      </c>
      <c r="C9" s="467"/>
      <c r="D9" s="467"/>
      <c r="E9" s="467"/>
      <c r="F9" s="467"/>
      <c r="G9" s="467"/>
      <c r="H9" s="467"/>
      <c r="I9" s="467"/>
      <c r="J9" s="467"/>
      <c r="K9" s="1691">
        <f t="shared" si="0"/>
        <v>0</v>
      </c>
      <c r="L9" s="466"/>
    </row>
    <row r="10" spans="1:14" x14ac:dyDescent="0.2">
      <c r="A10" s="1526" t="s">
        <v>746</v>
      </c>
      <c r="B10" s="615">
        <v>1250</v>
      </c>
      <c r="C10" s="466">
        <v>23722</v>
      </c>
      <c r="D10" s="466">
        <v>3826</v>
      </c>
      <c r="E10" s="466"/>
      <c r="F10" s="466">
        <v>55</v>
      </c>
      <c r="G10" s="466"/>
      <c r="H10" s="466"/>
      <c r="I10" s="467"/>
      <c r="J10" s="467"/>
      <c r="K10" s="1691">
        <f t="shared" si="0"/>
        <v>27603</v>
      </c>
      <c r="L10" s="466">
        <v>28536</v>
      </c>
    </row>
    <row r="11" spans="1:14" x14ac:dyDescent="0.2">
      <c r="A11" s="1526" t="s">
        <v>1192</v>
      </c>
      <c r="B11" s="615" t="s">
        <v>163</v>
      </c>
      <c r="C11" s="467"/>
      <c r="D11" s="467"/>
      <c r="E11" s="467"/>
      <c r="F11" s="467"/>
      <c r="G11" s="467"/>
      <c r="H11" s="467"/>
      <c r="I11" s="467"/>
      <c r="J11" s="467"/>
      <c r="K11" s="1691">
        <f t="shared" si="0"/>
        <v>0</v>
      </c>
      <c r="L11" s="466"/>
    </row>
    <row r="12" spans="1:14" x14ac:dyDescent="0.2">
      <c r="A12" s="1526" t="s">
        <v>1019</v>
      </c>
      <c r="B12" s="615">
        <v>1300</v>
      </c>
      <c r="C12" s="466">
        <v>896917</v>
      </c>
      <c r="D12" s="466">
        <v>251461</v>
      </c>
      <c r="E12" s="466">
        <v>281112</v>
      </c>
      <c r="F12" s="466">
        <v>221772</v>
      </c>
      <c r="G12" s="466">
        <v>30698</v>
      </c>
      <c r="H12" s="466">
        <v>19541</v>
      </c>
      <c r="I12" s="467">
        <v>33746</v>
      </c>
      <c r="J12" s="467"/>
      <c r="K12" s="1691">
        <f t="shared" si="0"/>
        <v>1735247</v>
      </c>
      <c r="L12" s="466">
        <v>2039161</v>
      </c>
    </row>
    <row r="13" spans="1:14" x14ac:dyDescent="0.2">
      <c r="A13" s="1526" t="s">
        <v>747</v>
      </c>
      <c r="B13" s="615">
        <v>1400</v>
      </c>
      <c r="C13" s="466">
        <v>1050851</v>
      </c>
      <c r="D13" s="466">
        <v>210246</v>
      </c>
      <c r="E13" s="466">
        <v>132263</v>
      </c>
      <c r="F13" s="466">
        <v>90392</v>
      </c>
      <c r="G13" s="466">
        <v>34463</v>
      </c>
      <c r="H13" s="466">
        <v>2139</v>
      </c>
      <c r="I13" s="467">
        <v>20343</v>
      </c>
      <c r="J13" s="467"/>
      <c r="K13" s="1691">
        <f t="shared" si="0"/>
        <v>1540697</v>
      </c>
      <c r="L13" s="466">
        <v>1748361</v>
      </c>
    </row>
    <row r="14" spans="1:14" x14ac:dyDescent="0.2">
      <c r="A14" s="1526" t="s">
        <v>1020</v>
      </c>
      <c r="B14" s="615">
        <v>1500</v>
      </c>
      <c r="C14" s="466"/>
      <c r="D14" s="466"/>
      <c r="E14" s="466"/>
      <c r="F14" s="466"/>
      <c r="G14" s="466"/>
      <c r="H14" s="466"/>
      <c r="I14" s="467"/>
      <c r="J14" s="467"/>
      <c r="K14" s="1691">
        <f t="shared" si="0"/>
        <v>0</v>
      </c>
      <c r="L14" s="466"/>
    </row>
    <row r="15" spans="1:14" x14ac:dyDescent="0.2">
      <c r="A15" s="1526" t="s">
        <v>1021</v>
      </c>
      <c r="B15" s="615">
        <v>1600</v>
      </c>
      <c r="C15" s="466"/>
      <c r="D15" s="466"/>
      <c r="E15" s="466"/>
      <c r="F15" s="466"/>
      <c r="G15" s="466"/>
      <c r="H15" s="466"/>
      <c r="I15" s="467"/>
      <c r="J15" s="467"/>
      <c r="K15" s="1691">
        <f t="shared" si="0"/>
        <v>0</v>
      </c>
      <c r="L15" s="466"/>
    </row>
    <row r="16" spans="1:14" x14ac:dyDescent="0.2">
      <c r="A16" s="1526" t="s">
        <v>1044</v>
      </c>
      <c r="B16" s="615" t="s">
        <v>444</v>
      </c>
      <c r="C16" s="466"/>
      <c r="D16" s="466"/>
      <c r="E16" s="466"/>
      <c r="F16" s="466"/>
      <c r="G16" s="466"/>
      <c r="H16" s="466"/>
      <c r="I16" s="467"/>
      <c r="J16" s="467"/>
      <c r="K16" s="1691">
        <f t="shared" si="0"/>
        <v>0</v>
      </c>
      <c r="L16" s="466"/>
    </row>
    <row r="17" spans="1:12" x14ac:dyDescent="0.2">
      <c r="A17" s="1526" t="s">
        <v>748</v>
      </c>
      <c r="B17" s="615" t="s">
        <v>164</v>
      </c>
      <c r="C17" s="467"/>
      <c r="D17" s="467"/>
      <c r="E17" s="467"/>
      <c r="F17" s="467"/>
      <c r="G17" s="467"/>
      <c r="H17" s="467"/>
      <c r="I17" s="467"/>
      <c r="J17" s="467"/>
      <c r="K17" s="1691">
        <f t="shared" si="0"/>
        <v>0</v>
      </c>
      <c r="L17" s="466"/>
    </row>
    <row r="18" spans="1:12" x14ac:dyDescent="0.2">
      <c r="A18" s="1526" t="s">
        <v>1148</v>
      </c>
      <c r="B18" s="615">
        <v>1800</v>
      </c>
      <c r="C18" s="466"/>
      <c r="D18" s="466"/>
      <c r="E18" s="466"/>
      <c r="F18" s="466"/>
      <c r="G18" s="466"/>
      <c r="H18" s="466"/>
      <c r="I18" s="467"/>
      <c r="J18" s="467"/>
      <c r="K18" s="1691">
        <f t="shared" si="0"/>
        <v>0</v>
      </c>
      <c r="L18" s="466"/>
    </row>
    <row r="19" spans="1:12" x14ac:dyDescent="0.2">
      <c r="A19" s="1526" t="s">
        <v>136</v>
      </c>
      <c r="B19" s="615">
        <v>1900</v>
      </c>
      <c r="C19" s="466"/>
      <c r="D19" s="466"/>
      <c r="E19" s="466"/>
      <c r="F19" s="466"/>
      <c r="G19" s="466"/>
      <c r="H19" s="466"/>
      <c r="I19" s="467"/>
      <c r="J19" s="467"/>
      <c r="K19" s="1691">
        <f t="shared" si="0"/>
        <v>0</v>
      </c>
      <c r="L19" s="466"/>
    </row>
    <row r="20" spans="1:12" x14ac:dyDescent="0.2">
      <c r="A20" s="1527" t="s">
        <v>762</v>
      </c>
      <c r="B20" s="603" t="s">
        <v>749</v>
      </c>
      <c r="C20" s="477"/>
      <c r="D20" s="477"/>
      <c r="E20" s="477"/>
      <c r="F20" s="477"/>
      <c r="G20" s="477"/>
      <c r="H20" s="474"/>
      <c r="I20" s="617"/>
      <c r="J20" s="475"/>
      <c r="K20" s="1691">
        <f t="shared" si="0"/>
        <v>0</v>
      </c>
      <c r="L20" s="471"/>
    </row>
    <row r="21" spans="1:12" x14ac:dyDescent="0.2">
      <c r="A21" s="1527" t="s">
        <v>763</v>
      </c>
      <c r="B21" s="603" t="s">
        <v>750</v>
      </c>
      <c r="C21" s="477"/>
      <c r="D21" s="477"/>
      <c r="E21" s="477"/>
      <c r="F21" s="477"/>
      <c r="G21" s="477"/>
      <c r="H21" s="474"/>
      <c r="I21" s="617"/>
      <c r="J21" s="477"/>
      <c r="K21" s="1691">
        <f t="shared" si="0"/>
        <v>0</v>
      </c>
      <c r="L21" s="471"/>
    </row>
    <row r="22" spans="1:12" x14ac:dyDescent="0.2">
      <c r="A22" s="1527" t="s">
        <v>764</v>
      </c>
      <c r="B22" s="603" t="s">
        <v>751</v>
      </c>
      <c r="C22" s="477"/>
      <c r="D22" s="477"/>
      <c r="E22" s="477"/>
      <c r="F22" s="477"/>
      <c r="G22" s="477"/>
      <c r="H22" s="474"/>
      <c r="I22" s="617"/>
      <c r="J22" s="477"/>
      <c r="K22" s="1691">
        <f t="shared" si="0"/>
        <v>0</v>
      </c>
      <c r="L22" s="471"/>
    </row>
    <row r="23" spans="1:12" x14ac:dyDescent="0.2">
      <c r="A23" s="1527" t="s">
        <v>765</v>
      </c>
      <c r="B23" s="603" t="s">
        <v>752</v>
      </c>
      <c r="C23" s="477"/>
      <c r="D23" s="477"/>
      <c r="E23" s="477"/>
      <c r="F23" s="477"/>
      <c r="G23" s="477"/>
      <c r="H23" s="474"/>
      <c r="I23" s="617"/>
      <c r="J23" s="477"/>
      <c r="K23" s="1691">
        <f t="shared" si="0"/>
        <v>0</v>
      </c>
      <c r="L23" s="471"/>
    </row>
    <row r="24" spans="1:12" ht="12.75" customHeight="1" x14ac:dyDescent="0.2">
      <c r="A24" s="1527" t="s">
        <v>766</v>
      </c>
      <c r="B24" s="603" t="s">
        <v>753</v>
      </c>
      <c r="C24" s="477"/>
      <c r="D24" s="477"/>
      <c r="E24" s="477"/>
      <c r="F24" s="477"/>
      <c r="G24" s="477"/>
      <c r="H24" s="474"/>
      <c r="I24" s="617"/>
      <c r="J24" s="477"/>
      <c r="K24" s="1691">
        <f t="shared" si="0"/>
        <v>0</v>
      </c>
      <c r="L24" s="471"/>
    </row>
    <row r="25" spans="1:12" ht="12.75" customHeight="1" x14ac:dyDescent="0.2">
      <c r="A25" s="1527" t="s">
        <v>835</v>
      </c>
      <c r="B25" s="603" t="s">
        <v>754</v>
      </c>
      <c r="C25" s="477"/>
      <c r="D25" s="477"/>
      <c r="E25" s="477"/>
      <c r="F25" s="477"/>
      <c r="G25" s="477"/>
      <c r="H25" s="474"/>
      <c r="I25" s="617"/>
      <c r="J25" s="477"/>
      <c r="K25" s="1691">
        <f t="shared" si="0"/>
        <v>0</v>
      </c>
      <c r="L25" s="471"/>
    </row>
    <row r="26" spans="1:12" x14ac:dyDescent="0.2">
      <c r="A26" s="1527" t="s">
        <v>643</v>
      </c>
      <c r="B26" s="603" t="s">
        <v>755</v>
      </c>
      <c r="C26" s="477"/>
      <c r="D26" s="477"/>
      <c r="E26" s="477"/>
      <c r="F26" s="477"/>
      <c r="G26" s="477"/>
      <c r="H26" s="474"/>
      <c r="I26" s="617"/>
      <c r="J26" s="477"/>
      <c r="K26" s="1691">
        <f t="shared" si="0"/>
        <v>0</v>
      </c>
      <c r="L26" s="471"/>
    </row>
    <row r="27" spans="1:12" x14ac:dyDescent="0.2">
      <c r="A27" s="1527" t="s">
        <v>644</v>
      </c>
      <c r="B27" s="603" t="s">
        <v>756</v>
      </c>
      <c r="C27" s="477"/>
      <c r="D27" s="477"/>
      <c r="E27" s="477"/>
      <c r="F27" s="477"/>
      <c r="G27" s="477"/>
      <c r="H27" s="474"/>
      <c r="I27" s="617"/>
      <c r="J27" s="477"/>
      <c r="K27" s="1691">
        <f t="shared" si="0"/>
        <v>0</v>
      </c>
      <c r="L27" s="471"/>
    </row>
    <row r="28" spans="1:12" x14ac:dyDescent="0.2">
      <c r="A28" s="1527" t="s">
        <v>152</v>
      </c>
      <c r="B28" s="603" t="s">
        <v>757</v>
      </c>
      <c r="C28" s="477"/>
      <c r="D28" s="477"/>
      <c r="E28" s="477"/>
      <c r="F28" s="477"/>
      <c r="G28" s="477"/>
      <c r="H28" s="474"/>
      <c r="I28" s="617"/>
      <c r="J28" s="477"/>
      <c r="K28" s="1691">
        <f t="shared" si="0"/>
        <v>0</v>
      </c>
      <c r="L28" s="471"/>
    </row>
    <row r="29" spans="1:12" x14ac:dyDescent="0.2">
      <c r="A29" s="1527" t="s">
        <v>153</v>
      </c>
      <c r="B29" s="603" t="s">
        <v>758</v>
      </c>
      <c r="C29" s="477"/>
      <c r="D29" s="477"/>
      <c r="E29" s="477"/>
      <c r="F29" s="477"/>
      <c r="G29" s="477"/>
      <c r="H29" s="474"/>
      <c r="I29" s="617"/>
      <c r="J29" s="477"/>
      <c r="K29" s="1691">
        <f t="shared" si="0"/>
        <v>0</v>
      </c>
      <c r="L29" s="471"/>
    </row>
    <row r="30" spans="1:12" x14ac:dyDescent="0.2">
      <c r="A30" s="1527" t="s">
        <v>154</v>
      </c>
      <c r="B30" s="603" t="s">
        <v>759</v>
      </c>
      <c r="C30" s="477"/>
      <c r="D30" s="477"/>
      <c r="E30" s="477"/>
      <c r="F30" s="477"/>
      <c r="G30" s="477"/>
      <c r="H30" s="474"/>
      <c r="I30" s="617"/>
      <c r="J30" s="477"/>
      <c r="K30" s="1691">
        <f t="shared" si="0"/>
        <v>0</v>
      </c>
      <c r="L30" s="471"/>
    </row>
    <row r="31" spans="1:12" x14ac:dyDescent="0.2">
      <c r="A31" s="1527" t="s">
        <v>155</v>
      </c>
      <c r="B31" s="603" t="s">
        <v>760</v>
      </c>
      <c r="C31" s="477"/>
      <c r="D31" s="477"/>
      <c r="E31" s="477"/>
      <c r="F31" s="477"/>
      <c r="G31" s="477"/>
      <c r="H31" s="474"/>
      <c r="I31" s="617"/>
      <c r="J31" s="477"/>
      <c r="K31" s="1691">
        <f t="shared" si="0"/>
        <v>0</v>
      </c>
      <c r="L31" s="471"/>
    </row>
    <row r="32" spans="1:12" x14ac:dyDescent="0.2">
      <c r="A32" s="1528"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1971490</v>
      </c>
      <c r="D33" s="1690">
        <f t="shared" ref="D33:L33" si="1">SUM(D5:D32)</f>
        <v>465533</v>
      </c>
      <c r="E33" s="1690">
        <f t="shared" si="1"/>
        <v>413375</v>
      </c>
      <c r="F33" s="1690">
        <f t="shared" si="1"/>
        <v>312219</v>
      </c>
      <c r="G33" s="1690">
        <f t="shared" si="1"/>
        <v>65161</v>
      </c>
      <c r="H33" s="1690">
        <f t="shared" si="1"/>
        <v>21680</v>
      </c>
      <c r="I33" s="1690">
        <f t="shared" si="1"/>
        <v>54089</v>
      </c>
      <c r="J33" s="1690">
        <f t="shared" si="1"/>
        <v>0</v>
      </c>
      <c r="K33" s="1690">
        <f t="shared" si="1"/>
        <v>3303547</v>
      </c>
      <c r="L33" s="1690">
        <f t="shared" si="1"/>
        <v>3816058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39953</v>
      </c>
      <c r="D36" s="481">
        <v>6379</v>
      </c>
      <c r="E36" s="481">
        <v>15258</v>
      </c>
      <c r="F36" s="481">
        <v>2874</v>
      </c>
      <c r="G36" s="481"/>
      <c r="H36" s="481"/>
      <c r="I36" s="467"/>
      <c r="J36" s="467"/>
      <c r="K36" s="1691">
        <f t="shared" ref="K36:K41" si="2">SUM(C36:J36)</f>
        <v>64464</v>
      </c>
      <c r="L36" s="466">
        <v>81217</v>
      </c>
    </row>
    <row r="37" spans="1:14" x14ac:dyDescent="0.2">
      <c r="A37" s="1526" t="s">
        <v>1151</v>
      </c>
      <c r="B37" s="615">
        <v>2120</v>
      </c>
      <c r="C37" s="466">
        <v>28372</v>
      </c>
      <c r="D37" s="466">
        <v>3702</v>
      </c>
      <c r="E37" s="466">
        <v>1310</v>
      </c>
      <c r="F37" s="466">
        <v>398</v>
      </c>
      <c r="G37" s="466"/>
      <c r="H37" s="466"/>
      <c r="I37" s="467"/>
      <c r="J37" s="467"/>
      <c r="K37" s="1691">
        <f t="shared" si="2"/>
        <v>33782</v>
      </c>
      <c r="L37" s="466">
        <v>36578</v>
      </c>
    </row>
    <row r="38" spans="1:14" x14ac:dyDescent="0.2">
      <c r="A38" s="1526" t="s">
        <v>207</v>
      </c>
      <c r="B38" s="615">
        <v>2130</v>
      </c>
      <c r="C38" s="466"/>
      <c r="D38" s="466"/>
      <c r="E38" s="466"/>
      <c r="F38" s="466"/>
      <c r="G38" s="466"/>
      <c r="H38" s="466"/>
      <c r="I38" s="467"/>
      <c r="J38" s="467"/>
      <c r="K38" s="1691">
        <f t="shared" si="2"/>
        <v>0</v>
      </c>
      <c r="L38" s="466"/>
    </row>
    <row r="39" spans="1:14" x14ac:dyDescent="0.2">
      <c r="A39" s="1526" t="s">
        <v>208</v>
      </c>
      <c r="B39" s="615">
        <v>2140</v>
      </c>
      <c r="C39" s="466"/>
      <c r="D39" s="466"/>
      <c r="E39" s="466"/>
      <c r="F39" s="466"/>
      <c r="G39" s="466"/>
      <c r="H39" s="466"/>
      <c r="I39" s="467"/>
      <c r="J39" s="467"/>
      <c r="K39" s="1691">
        <f t="shared" si="2"/>
        <v>0</v>
      </c>
      <c r="L39" s="466"/>
    </row>
    <row r="40" spans="1:14" x14ac:dyDescent="0.2">
      <c r="A40" s="1526" t="s">
        <v>209</v>
      </c>
      <c r="B40" s="615">
        <v>2150</v>
      </c>
      <c r="C40" s="466"/>
      <c r="D40" s="466"/>
      <c r="E40" s="466"/>
      <c r="F40" s="466"/>
      <c r="G40" s="466"/>
      <c r="H40" s="466"/>
      <c r="I40" s="467"/>
      <c r="J40" s="467"/>
      <c r="K40" s="1691">
        <f t="shared" si="2"/>
        <v>0</v>
      </c>
      <c r="L40" s="466"/>
    </row>
    <row r="41" spans="1:14" x14ac:dyDescent="0.2">
      <c r="A41" s="1526"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68325</v>
      </c>
      <c r="D42" s="1690">
        <f t="shared" ref="D42:L42" si="3">SUM(D36:D41)</f>
        <v>10081</v>
      </c>
      <c r="E42" s="1690">
        <f t="shared" si="3"/>
        <v>16568</v>
      </c>
      <c r="F42" s="1690">
        <f t="shared" si="3"/>
        <v>3272</v>
      </c>
      <c r="G42" s="1690">
        <f t="shared" si="3"/>
        <v>0</v>
      </c>
      <c r="H42" s="1690">
        <f t="shared" si="3"/>
        <v>0</v>
      </c>
      <c r="I42" s="1690">
        <f t="shared" si="3"/>
        <v>0</v>
      </c>
      <c r="J42" s="1690">
        <f t="shared" si="3"/>
        <v>0</v>
      </c>
      <c r="K42" s="1690">
        <f t="shared" si="3"/>
        <v>98246</v>
      </c>
      <c r="L42" s="1690">
        <f t="shared" si="3"/>
        <v>117795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210</v>
      </c>
      <c r="D44" s="481"/>
      <c r="E44" s="481"/>
      <c r="F44" s="481"/>
      <c r="G44" s="481"/>
      <c r="H44" s="481"/>
      <c r="I44" s="467"/>
      <c r="J44" s="467"/>
      <c r="K44" s="1692">
        <f>SUM(C44:J44)</f>
        <v>210</v>
      </c>
      <c r="L44" s="481"/>
    </row>
    <row r="45" spans="1:14" x14ac:dyDescent="0.2">
      <c r="A45" s="1526" t="s">
        <v>869</v>
      </c>
      <c r="B45" s="615">
        <v>2220</v>
      </c>
      <c r="C45" s="466"/>
      <c r="D45" s="466"/>
      <c r="E45" s="466"/>
      <c r="F45" s="466"/>
      <c r="G45" s="466"/>
      <c r="H45" s="466"/>
      <c r="I45" s="467"/>
      <c r="J45" s="467"/>
      <c r="K45" s="1692">
        <f>SUM(C45:J45)</f>
        <v>0</v>
      </c>
      <c r="L45" s="466"/>
    </row>
    <row r="46" spans="1:14" x14ac:dyDescent="0.2">
      <c r="A46" s="1526" t="s">
        <v>870</v>
      </c>
      <c r="B46" s="615">
        <v>2230</v>
      </c>
      <c r="C46" s="466"/>
      <c r="D46" s="466"/>
      <c r="E46" s="466">
        <v>5825</v>
      </c>
      <c r="F46" s="466"/>
      <c r="G46" s="466"/>
      <c r="H46" s="466"/>
      <c r="I46" s="467"/>
      <c r="J46" s="467"/>
      <c r="K46" s="1692">
        <f>SUM(C46:J46)</f>
        <v>5825</v>
      </c>
      <c r="L46" s="466">
        <v>5825</v>
      </c>
    </row>
    <row r="47" spans="1:14" ht="12.75" customHeight="1" thickBot="1" x14ac:dyDescent="0.25">
      <c r="A47" s="1688" t="s">
        <v>582</v>
      </c>
      <c r="B47" s="1689" t="s">
        <v>32</v>
      </c>
      <c r="C47" s="1690">
        <f>SUM(C44:C46)</f>
        <v>210</v>
      </c>
      <c r="D47" s="1690">
        <f t="shared" ref="D47:K47" si="4">SUM(D44:D46)</f>
        <v>0</v>
      </c>
      <c r="E47" s="1690">
        <f t="shared" si="4"/>
        <v>5825</v>
      </c>
      <c r="F47" s="1690">
        <f t="shared" si="4"/>
        <v>0</v>
      </c>
      <c r="G47" s="1690">
        <f t="shared" si="4"/>
        <v>0</v>
      </c>
      <c r="H47" s="1690">
        <f t="shared" si="4"/>
        <v>0</v>
      </c>
      <c r="I47" s="1690">
        <f t="shared" si="4"/>
        <v>0</v>
      </c>
      <c r="J47" s="1690">
        <f t="shared" si="4"/>
        <v>0</v>
      </c>
      <c r="K47" s="1690">
        <f t="shared" si="4"/>
        <v>6035</v>
      </c>
      <c r="L47" s="1690">
        <f>SUM(L44:L46)</f>
        <v>5825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33448</v>
      </c>
      <c r="F49" s="481">
        <v>564</v>
      </c>
      <c r="G49" s="481"/>
      <c r="H49" s="481">
        <v>854</v>
      </c>
      <c r="I49" s="467"/>
      <c r="J49" s="467"/>
      <c r="K49" s="1692">
        <f>SUM(C49:J49)</f>
        <v>34866</v>
      </c>
      <c r="L49" s="481">
        <v>48000</v>
      </c>
    </row>
    <row r="50" spans="1:14" x14ac:dyDescent="0.2">
      <c r="A50" s="1526" t="s">
        <v>872</v>
      </c>
      <c r="B50" s="615">
        <v>2320</v>
      </c>
      <c r="C50" s="466">
        <v>117764</v>
      </c>
      <c r="D50" s="466">
        <v>26506</v>
      </c>
      <c r="E50" s="466">
        <v>1672</v>
      </c>
      <c r="F50" s="466">
        <v>681</v>
      </c>
      <c r="G50" s="466"/>
      <c r="H50" s="466">
        <v>1676</v>
      </c>
      <c r="I50" s="467"/>
      <c r="J50" s="467"/>
      <c r="K50" s="1692">
        <f>SUM(C50:J50)</f>
        <v>148299</v>
      </c>
      <c r="L50" s="466">
        <v>149035</v>
      </c>
    </row>
    <row r="51" spans="1:14" x14ac:dyDescent="0.2">
      <c r="A51" s="1526" t="s">
        <v>44</v>
      </c>
      <c r="B51" s="615">
        <v>2330</v>
      </c>
      <c r="C51" s="466"/>
      <c r="D51" s="466"/>
      <c r="E51" s="466"/>
      <c r="F51" s="466"/>
      <c r="G51" s="466"/>
      <c r="H51" s="466"/>
      <c r="I51" s="467"/>
      <c r="J51" s="467"/>
      <c r="K51" s="1692">
        <f>SUM(C51:J51)</f>
        <v>0</v>
      </c>
      <c r="L51" s="466"/>
    </row>
    <row r="52" spans="1:14" ht="22.5" x14ac:dyDescent="0.2">
      <c r="A52" s="1527"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117764</v>
      </c>
      <c r="D53" s="1690">
        <f t="shared" ref="D53:L53" si="5">SUM(D49:D52)</f>
        <v>26506</v>
      </c>
      <c r="E53" s="1690">
        <f t="shared" si="5"/>
        <v>35120</v>
      </c>
      <c r="F53" s="1690">
        <f t="shared" si="5"/>
        <v>1245</v>
      </c>
      <c r="G53" s="1690">
        <f t="shared" si="5"/>
        <v>0</v>
      </c>
      <c r="H53" s="1690">
        <f t="shared" si="5"/>
        <v>2530</v>
      </c>
      <c r="I53" s="1690">
        <f t="shared" si="5"/>
        <v>0</v>
      </c>
      <c r="J53" s="1690">
        <f t="shared" si="5"/>
        <v>0</v>
      </c>
      <c r="K53" s="1690">
        <f t="shared" si="5"/>
        <v>183165</v>
      </c>
      <c r="L53" s="1690">
        <f t="shared" si="5"/>
        <v>197035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67000</v>
      </c>
      <c r="D55" s="481">
        <v>19274</v>
      </c>
      <c r="E55" s="481">
        <v>3376</v>
      </c>
      <c r="F55" s="481">
        <v>1256</v>
      </c>
      <c r="G55" s="481"/>
      <c r="H55" s="481">
        <v>495</v>
      </c>
      <c r="I55" s="467">
        <v>877</v>
      </c>
      <c r="J55" s="467"/>
      <c r="K55" s="1692">
        <f>SUM(C55:J55)</f>
        <v>92278</v>
      </c>
      <c r="L55" s="481">
        <v>93677</v>
      </c>
    </row>
    <row r="56" spans="1:14" ht="12.75" customHeight="1" x14ac:dyDescent="0.2">
      <c r="A56" s="1530"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67000</v>
      </c>
      <c r="D57" s="1694">
        <f t="shared" ref="D57:K57" si="6">SUM(D55:D56)</f>
        <v>19274</v>
      </c>
      <c r="E57" s="1694">
        <f t="shared" si="6"/>
        <v>3376</v>
      </c>
      <c r="F57" s="1694">
        <f t="shared" si="6"/>
        <v>1256</v>
      </c>
      <c r="G57" s="1694">
        <f t="shared" si="6"/>
        <v>0</v>
      </c>
      <c r="H57" s="1694">
        <f t="shared" si="6"/>
        <v>495</v>
      </c>
      <c r="I57" s="1694">
        <f t="shared" si="6"/>
        <v>877</v>
      </c>
      <c r="J57" s="1694">
        <f t="shared" si="6"/>
        <v>0</v>
      </c>
      <c r="K57" s="1694">
        <f t="shared" si="6"/>
        <v>92278</v>
      </c>
      <c r="L57" s="1690">
        <f>SUM(L55:L56)</f>
        <v>93677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100287</v>
      </c>
      <c r="D59" s="481">
        <v>24187</v>
      </c>
      <c r="E59" s="481">
        <v>16855</v>
      </c>
      <c r="F59" s="481">
        <v>4984</v>
      </c>
      <c r="G59" s="481"/>
      <c r="H59" s="481">
        <v>4960</v>
      </c>
      <c r="I59" s="467"/>
      <c r="J59" s="467"/>
      <c r="K59" s="1692">
        <f t="shared" ref="K59:K64" si="7">SUM(C59:J59)</f>
        <v>151273</v>
      </c>
      <c r="L59" s="481">
        <v>165699</v>
      </c>
      <c r="M59" s="610"/>
      <c r="N59" s="610"/>
    </row>
    <row r="60" spans="1:14" s="343" customFormat="1" x14ac:dyDescent="0.2">
      <c r="A60" s="1526" t="s">
        <v>483</v>
      </c>
      <c r="B60" s="615">
        <v>2520</v>
      </c>
      <c r="C60" s="466"/>
      <c r="D60" s="466"/>
      <c r="E60" s="466"/>
      <c r="F60" s="466"/>
      <c r="G60" s="466"/>
      <c r="H60" s="466"/>
      <c r="I60" s="467"/>
      <c r="J60" s="467"/>
      <c r="K60" s="1692">
        <f t="shared" si="7"/>
        <v>0</v>
      </c>
      <c r="L60" s="466"/>
      <c r="M60" s="610"/>
      <c r="N60" s="610"/>
    </row>
    <row r="61" spans="1:14" s="343" customFormat="1" x14ac:dyDescent="0.2">
      <c r="A61" s="1526" t="s">
        <v>206</v>
      </c>
      <c r="B61" s="615">
        <v>2540</v>
      </c>
      <c r="C61" s="466">
        <v>258431</v>
      </c>
      <c r="D61" s="466">
        <v>77361</v>
      </c>
      <c r="E61" s="466">
        <v>487173</v>
      </c>
      <c r="F61" s="466">
        <v>73847</v>
      </c>
      <c r="G61" s="466">
        <v>114022</v>
      </c>
      <c r="H61" s="466"/>
      <c r="I61" s="467">
        <v>1878</v>
      </c>
      <c r="J61" s="467"/>
      <c r="K61" s="1692">
        <f t="shared" si="7"/>
        <v>1012712</v>
      </c>
      <c r="L61" s="466">
        <v>1087079</v>
      </c>
      <c r="M61" s="610"/>
      <c r="N61" s="610"/>
    </row>
    <row r="62" spans="1:14" s="343" customFormat="1" x14ac:dyDescent="0.2">
      <c r="A62" s="1526" t="s">
        <v>1010</v>
      </c>
      <c r="B62" s="615">
        <v>2550</v>
      </c>
      <c r="C62" s="466"/>
      <c r="D62" s="466"/>
      <c r="E62" s="466">
        <v>9632</v>
      </c>
      <c r="F62" s="466"/>
      <c r="G62" s="466"/>
      <c r="H62" s="466"/>
      <c r="I62" s="467"/>
      <c r="J62" s="467"/>
      <c r="K62" s="1692">
        <f t="shared" si="7"/>
        <v>9632</v>
      </c>
      <c r="L62" s="466">
        <v>7000</v>
      </c>
      <c r="M62" s="610"/>
      <c r="N62" s="610"/>
    </row>
    <row r="63" spans="1:14" s="610" customFormat="1" x14ac:dyDescent="0.2">
      <c r="A63" s="1526" t="s">
        <v>102</v>
      </c>
      <c r="B63" s="615">
        <v>2560</v>
      </c>
      <c r="C63" s="466">
        <v>30006</v>
      </c>
      <c r="D63" s="466">
        <v>4119</v>
      </c>
      <c r="E63" s="466"/>
      <c r="F63" s="466">
        <v>35780</v>
      </c>
      <c r="G63" s="466"/>
      <c r="H63" s="466"/>
      <c r="I63" s="467"/>
      <c r="J63" s="467"/>
      <c r="K63" s="1692">
        <f t="shared" si="7"/>
        <v>69905</v>
      </c>
      <c r="L63" s="466">
        <v>69743</v>
      </c>
    </row>
    <row r="64" spans="1:14" s="610" customFormat="1" x14ac:dyDescent="0.2">
      <c r="A64" s="1531"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388724</v>
      </c>
      <c r="D65" s="1690">
        <f t="shared" ref="D65:L65" si="8">SUM(D59:D64)</f>
        <v>105667</v>
      </c>
      <c r="E65" s="1690">
        <f t="shared" si="8"/>
        <v>513660</v>
      </c>
      <c r="F65" s="1690">
        <f t="shared" si="8"/>
        <v>114611</v>
      </c>
      <c r="G65" s="1690">
        <f t="shared" si="8"/>
        <v>114022</v>
      </c>
      <c r="H65" s="1690">
        <f t="shared" si="8"/>
        <v>4960</v>
      </c>
      <c r="I65" s="1690">
        <f t="shared" si="8"/>
        <v>1878</v>
      </c>
      <c r="J65" s="1690">
        <f t="shared" si="8"/>
        <v>0</v>
      </c>
      <c r="K65" s="1690">
        <f t="shared" si="8"/>
        <v>1243522</v>
      </c>
      <c r="L65" s="1690">
        <f t="shared" si="8"/>
        <v>1329521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c r="M67" s="610"/>
      <c r="N67" s="610"/>
    </row>
    <row r="68" spans="1:14" s="343" customFormat="1" x14ac:dyDescent="0.2">
      <c r="A68" s="1526" t="s">
        <v>628</v>
      </c>
      <c r="B68" s="615">
        <v>2620</v>
      </c>
      <c r="C68" s="466"/>
      <c r="D68" s="466"/>
      <c r="E68" s="466"/>
      <c r="F68" s="466"/>
      <c r="G68" s="466"/>
      <c r="H68" s="466"/>
      <c r="I68" s="467"/>
      <c r="J68" s="467"/>
      <c r="K68" s="1692">
        <f>SUM(C68:J68)</f>
        <v>0</v>
      </c>
      <c r="L68" s="466"/>
      <c r="M68" s="610"/>
      <c r="N68" s="610"/>
    </row>
    <row r="69" spans="1:14" s="343" customFormat="1" x14ac:dyDescent="0.2">
      <c r="A69" s="1526" t="s">
        <v>1121</v>
      </c>
      <c r="B69" s="615">
        <v>2630</v>
      </c>
      <c r="C69" s="466"/>
      <c r="D69" s="466"/>
      <c r="E69" s="466"/>
      <c r="F69" s="466"/>
      <c r="G69" s="466"/>
      <c r="H69" s="466"/>
      <c r="I69" s="467"/>
      <c r="J69" s="467"/>
      <c r="K69" s="1692">
        <f>SUM(C69:J69)</f>
        <v>0</v>
      </c>
      <c r="L69" s="466"/>
      <c r="M69" s="610"/>
      <c r="N69" s="610"/>
    </row>
    <row r="70" spans="1:14" s="343" customFormat="1" x14ac:dyDescent="0.2">
      <c r="A70" s="1526" t="s">
        <v>423</v>
      </c>
      <c r="B70" s="615">
        <v>2640</v>
      </c>
      <c r="C70" s="466"/>
      <c r="D70" s="466"/>
      <c r="E70" s="466"/>
      <c r="F70" s="466"/>
      <c r="G70" s="466"/>
      <c r="H70" s="466"/>
      <c r="I70" s="467"/>
      <c r="J70" s="467"/>
      <c r="K70" s="1692">
        <f>SUM(C70:J70)</f>
        <v>0</v>
      </c>
      <c r="L70" s="466"/>
      <c r="M70" s="610"/>
      <c r="N70" s="610"/>
    </row>
    <row r="71" spans="1:14" s="343" customFormat="1" x14ac:dyDescent="0.2">
      <c r="A71" s="1526" t="s">
        <v>424</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642023</v>
      </c>
      <c r="D74" s="1697">
        <f t="shared" ref="D74:K74" si="10">SUM(D42,D47,D53,D57,D65,D72,D73)</f>
        <v>161528</v>
      </c>
      <c r="E74" s="1697">
        <f t="shared" si="10"/>
        <v>574549</v>
      </c>
      <c r="F74" s="1697">
        <f t="shared" si="10"/>
        <v>120384</v>
      </c>
      <c r="G74" s="1697">
        <f t="shared" si="10"/>
        <v>114022</v>
      </c>
      <c r="H74" s="1697">
        <f t="shared" si="10"/>
        <v>7985</v>
      </c>
      <c r="I74" s="1697">
        <f t="shared" si="10"/>
        <v>2755</v>
      </c>
      <c r="J74" s="1697">
        <f t="shared" si="10"/>
        <v>0</v>
      </c>
      <c r="K74" s="1697">
        <f t="shared" si="10"/>
        <v>1623246</v>
      </c>
      <c r="L74" s="1697">
        <f>SUM(L42,L47,L53,L57,L65,L72,L73)</f>
        <v>1743853</v>
      </c>
    </row>
    <row r="75" spans="1:14" s="259" customFormat="1" ht="15.75" customHeight="1" thickTop="1" thickBot="1" x14ac:dyDescent="0.25">
      <c r="A75" s="1632" t="s">
        <v>49</v>
      </c>
      <c r="B75" s="1633" t="s">
        <v>596</v>
      </c>
      <c r="C75" s="573"/>
      <c r="D75" s="573"/>
      <c r="E75" s="573"/>
      <c r="F75" s="573"/>
      <c r="G75" s="573"/>
      <c r="H75" s="573"/>
      <c r="I75" s="531"/>
      <c r="J75" s="531"/>
      <c r="K75" s="1690">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row>
    <row r="79" spans="1:14" x14ac:dyDescent="0.2">
      <c r="A79" s="1526" t="s">
        <v>322</v>
      </c>
      <c r="B79" s="615">
        <v>4120</v>
      </c>
      <c r="C79" s="617"/>
      <c r="D79" s="617"/>
      <c r="E79" s="466"/>
      <c r="F79" s="617"/>
      <c r="G79" s="617"/>
      <c r="H79" s="466"/>
      <c r="I79" s="477"/>
      <c r="J79" s="477"/>
      <c r="K79" s="1691">
        <f t="shared" si="11"/>
        <v>0</v>
      </c>
      <c r="L79" s="466"/>
    </row>
    <row r="80" spans="1:14" x14ac:dyDescent="0.2">
      <c r="A80" s="1526" t="s">
        <v>323</v>
      </c>
      <c r="B80" s="615">
        <v>4130</v>
      </c>
      <c r="C80" s="617"/>
      <c r="D80" s="617"/>
      <c r="E80" s="466"/>
      <c r="F80" s="617"/>
      <c r="G80" s="617"/>
      <c r="H80" s="466"/>
      <c r="I80" s="477"/>
      <c r="J80" s="477"/>
      <c r="K80" s="1691">
        <f t="shared" si="11"/>
        <v>0</v>
      </c>
      <c r="L80" s="466"/>
    </row>
    <row r="81" spans="1:12" x14ac:dyDescent="0.2">
      <c r="A81" s="1526" t="s">
        <v>721</v>
      </c>
      <c r="B81" s="615">
        <v>4140</v>
      </c>
      <c r="C81" s="617"/>
      <c r="D81" s="617"/>
      <c r="E81" s="466"/>
      <c r="F81" s="617"/>
      <c r="G81" s="617"/>
      <c r="H81" s="466"/>
      <c r="I81" s="477"/>
      <c r="J81" s="477"/>
      <c r="K81" s="1691">
        <f t="shared" si="11"/>
        <v>0</v>
      </c>
      <c r="L81" s="466"/>
    </row>
    <row r="82" spans="1:12" x14ac:dyDescent="0.2">
      <c r="A82" s="1526" t="s">
        <v>88</v>
      </c>
      <c r="B82" s="615">
        <v>4170</v>
      </c>
      <c r="C82" s="617"/>
      <c r="D82" s="617"/>
      <c r="E82" s="466"/>
      <c r="F82" s="617"/>
      <c r="G82" s="617"/>
      <c r="H82" s="466"/>
      <c r="I82" s="477"/>
      <c r="J82" s="477"/>
      <c r="K82" s="1691">
        <f t="shared" si="11"/>
        <v>0</v>
      </c>
      <c r="L82" s="466"/>
    </row>
    <row r="83" spans="1:12" x14ac:dyDescent="0.2">
      <c r="A83" s="1530"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0</v>
      </c>
      <c r="F84" s="617"/>
      <c r="G84" s="617"/>
      <c r="H84" s="1690">
        <f>SUM(H78:H83)</f>
        <v>0</v>
      </c>
      <c r="I84" s="477"/>
      <c r="J84" s="477"/>
      <c r="K84" s="1690">
        <f>SUM(K78:K83)</f>
        <v>0</v>
      </c>
      <c r="L84" s="1690">
        <f>SUM(L78:L83)</f>
        <v>0</v>
      </c>
    </row>
    <row r="85" spans="1:12" ht="12.75" customHeight="1" thickTop="1" thickBot="1" x14ac:dyDescent="0.25">
      <c r="A85" s="1533" t="s">
        <v>273</v>
      </c>
      <c r="B85" s="636">
        <v>4210</v>
      </c>
      <c r="C85" s="617"/>
      <c r="D85" s="617"/>
      <c r="E85" s="637"/>
      <c r="F85" s="617"/>
      <c r="G85" s="617"/>
      <c r="H85" s="535"/>
      <c r="I85" s="477"/>
      <c r="J85" s="477"/>
      <c r="K85" s="1697">
        <f>H85</f>
        <v>0</v>
      </c>
      <c r="L85" s="530"/>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row>
    <row r="87" spans="1:12" ht="14.25" thickTop="1" thickBot="1" x14ac:dyDescent="0.25">
      <c r="A87" s="1535" t="s">
        <v>724</v>
      </c>
      <c r="B87" s="640">
        <v>4230</v>
      </c>
      <c r="C87" s="617"/>
      <c r="D87" s="617"/>
      <c r="E87" s="639"/>
      <c r="F87" s="617"/>
      <c r="G87" s="617"/>
      <c r="H87" s="467"/>
      <c r="I87" s="477"/>
      <c r="J87" s="477"/>
      <c r="K87" s="1697">
        <f t="shared" si="12"/>
        <v>0</v>
      </c>
      <c r="L87" s="530"/>
    </row>
    <row r="88" spans="1:12" ht="12.75" customHeight="1" thickTop="1" thickBot="1" x14ac:dyDescent="0.25">
      <c r="A88" s="1535" t="s">
        <v>789</v>
      </c>
      <c r="B88" s="640">
        <v>4240</v>
      </c>
      <c r="C88" s="617"/>
      <c r="D88" s="617"/>
      <c r="E88" s="639"/>
      <c r="F88" s="617"/>
      <c r="G88" s="617"/>
      <c r="H88" s="467"/>
      <c r="I88" s="477"/>
      <c r="J88" s="477"/>
      <c r="K88" s="1697">
        <f t="shared" si="12"/>
        <v>0</v>
      </c>
      <c r="L88" s="530"/>
    </row>
    <row r="89" spans="1:12" ht="12.75" customHeight="1" thickTop="1" thickBot="1" x14ac:dyDescent="0.25">
      <c r="A89" s="1535" t="s">
        <v>725</v>
      </c>
      <c r="B89" s="640">
        <v>4270</v>
      </c>
      <c r="C89" s="617"/>
      <c r="D89" s="617"/>
      <c r="E89" s="639"/>
      <c r="F89" s="617"/>
      <c r="G89" s="617"/>
      <c r="H89" s="467"/>
      <c r="I89" s="477"/>
      <c r="J89" s="477"/>
      <c r="K89" s="1697">
        <f t="shared" si="12"/>
        <v>0</v>
      </c>
      <c r="L89" s="530"/>
    </row>
    <row r="90" spans="1:12" ht="12.75" customHeight="1" thickTop="1" thickBot="1" x14ac:dyDescent="0.25">
      <c r="A90" s="1535" t="s">
        <v>710</v>
      </c>
      <c r="B90" s="640">
        <v>4280</v>
      </c>
      <c r="C90" s="617"/>
      <c r="D90" s="617"/>
      <c r="E90" s="639"/>
      <c r="F90" s="617"/>
      <c r="G90" s="617"/>
      <c r="H90" s="467"/>
      <c r="I90" s="477"/>
      <c r="J90" s="477"/>
      <c r="K90" s="1697">
        <f t="shared" si="12"/>
        <v>0</v>
      </c>
      <c r="L90" s="530"/>
    </row>
    <row r="91" spans="1:12" ht="12.75" customHeight="1" thickTop="1" thickBot="1" x14ac:dyDescent="0.25">
      <c r="A91" s="1535"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row>
    <row r="94" spans="1:12" ht="12.75" customHeight="1" thickTop="1" thickBot="1" x14ac:dyDescent="0.25">
      <c r="A94" s="1535" t="s">
        <v>713</v>
      </c>
      <c r="B94" s="640">
        <v>4320</v>
      </c>
      <c r="C94" s="617"/>
      <c r="D94" s="617"/>
      <c r="E94" s="639"/>
      <c r="F94" s="617"/>
      <c r="G94" s="617"/>
      <c r="H94" s="467"/>
      <c r="I94" s="477"/>
      <c r="J94" s="477"/>
      <c r="K94" s="1697">
        <f t="shared" si="12"/>
        <v>0</v>
      </c>
      <c r="L94" s="530"/>
    </row>
    <row r="95" spans="1:12" ht="15" customHeight="1" thickTop="1" thickBot="1" x14ac:dyDescent="0.25">
      <c r="A95" s="1535" t="s">
        <v>1568</v>
      </c>
      <c r="B95" s="640">
        <v>4330</v>
      </c>
      <c r="C95" s="617"/>
      <c r="D95" s="617"/>
      <c r="E95" s="639"/>
      <c r="F95" s="617"/>
      <c r="G95" s="617"/>
      <c r="H95" s="467"/>
      <c r="I95" s="477"/>
      <c r="J95" s="477"/>
      <c r="K95" s="1697">
        <f t="shared" si="12"/>
        <v>0</v>
      </c>
      <c r="L95" s="530"/>
    </row>
    <row r="96" spans="1:12" ht="14.25" thickTop="1" thickBot="1" x14ac:dyDescent="0.25">
      <c r="A96" s="1535" t="s">
        <v>714</v>
      </c>
      <c r="B96" s="640">
        <v>4340</v>
      </c>
      <c r="C96" s="617"/>
      <c r="D96" s="617"/>
      <c r="E96" s="639"/>
      <c r="F96" s="617"/>
      <c r="G96" s="617"/>
      <c r="H96" s="467"/>
      <c r="I96" s="477"/>
      <c r="J96" s="477"/>
      <c r="K96" s="1697">
        <f t="shared" si="12"/>
        <v>0</v>
      </c>
      <c r="L96" s="530"/>
    </row>
    <row r="97" spans="1:14" ht="12.75" customHeight="1" thickTop="1" thickBot="1" x14ac:dyDescent="0.25">
      <c r="A97" s="1535" t="s">
        <v>787</v>
      </c>
      <c r="B97" s="640">
        <v>4370</v>
      </c>
      <c r="C97" s="617"/>
      <c r="D97" s="617"/>
      <c r="E97" s="639"/>
      <c r="F97" s="617"/>
      <c r="G97" s="617"/>
      <c r="H97" s="467"/>
      <c r="I97" s="477"/>
      <c r="J97" s="477"/>
      <c r="K97" s="1697">
        <f t="shared" si="12"/>
        <v>0</v>
      </c>
      <c r="L97" s="530"/>
    </row>
    <row r="98" spans="1:14" ht="14.25" thickTop="1" thickBot="1" x14ac:dyDescent="0.25">
      <c r="A98" s="1535" t="s">
        <v>788</v>
      </c>
      <c r="B98" s="640">
        <v>4380</v>
      </c>
      <c r="C98" s="617"/>
      <c r="D98" s="617"/>
      <c r="E98" s="643"/>
      <c r="F98" s="617"/>
      <c r="G98" s="617"/>
      <c r="H98" s="467"/>
      <c r="I98" s="477"/>
      <c r="J98" s="477"/>
      <c r="K98" s="1697">
        <f t="shared" si="12"/>
        <v>0</v>
      </c>
      <c r="L98" s="530"/>
    </row>
    <row r="99" spans="1:14" ht="14.25" thickTop="1" thickBot="1" x14ac:dyDescent="0.25">
      <c r="A99" s="1535"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0</v>
      </c>
      <c r="F102" s="617"/>
      <c r="G102" s="617"/>
      <c r="H102" s="1697">
        <f>SUM(H84,H92,H100,H101)</f>
        <v>0</v>
      </c>
      <c r="I102" s="477"/>
      <c r="J102" s="477"/>
      <c r="K102" s="1697">
        <f>SUM(K84,K92,K100,K101)</f>
        <v>0</v>
      </c>
      <c r="L102" s="1697">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c r="M105" s="210"/>
      <c r="N105" s="210"/>
    </row>
    <row r="106" spans="1:14" s="598" customFormat="1" x14ac:dyDescent="0.2">
      <c r="A106" s="1526"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c r="M107" s="210"/>
      <c r="N107" s="210"/>
    </row>
    <row r="108" spans="1:14" s="598" customFormat="1" x14ac:dyDescent="0.2">
      <c r="A108" s="1526" t="s">
        <v>91</v>
      </c>
      <c r="B108" s="615" t="s">
        <v>610</v>
      </c>
      <c r="C108" s="617"/>
      <c r="D108" s="617"/>
      <c r="E108" s="617"/>
      <c r="F108" s="617"/>
      <c r="G108" s="617"/>
      <c r="H108" s="466"/>
      <c r="I108" s="468"/>
      <c r="J108" s="468"/>
      <c r="K108" s="1691">
        <f>H108</f>
        <v>0</v>
      </c>
      <c r="L108" s="466"/>
      <c r="M108" s="210"/>
      <c r="N108" s="210"/>
    </row>
    <row r="109" spans="1:14" s="598" customFormat="1" x14ac:dyDescent="0.2">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v>4867</v>
      </c>
      <c r="I111" s="468"/>
      <c r="J111" s="468"/>
      <c r="K111" s="1703">
        <f>H111</f>
        <v>4867</v>
      </c>
      <c r="L111" s="532">
        <v>106700</v>
      </c>
      <c r="M111" s="210"/>
      <c r="N111" s="210"/>
    </row>
    <row r="112" spans="1:14" s="598" customFormat="1" ht="12.75" customHeight="1" thickTop="1" thickBot="1" x14ac:dyDescent="0.25">
      <c r="A112" s="1688" t="s">
        <v>659</v>
      </c>
      <c r="B112" s="1689" t="s">
        <v>513</v>
      </c>
      <c r="C112" s="617"/>
      <c r="D112" s="617"/>
      <c r="E112" s="617"/>
      <c r="F112" s="617"/>
      <c r="G112" s="617"/>
      <c r="H112" s="1690">
        <f>SUM(H110:H111)</f>
        <v>4867</v>
      </c>
      <c r="I112" s="468"/>
      <c r="J112" s="468"/>
      <c r="K112" s="1690">
        <f>SUM(K110:K111)</f>
        <v>4867</v>
      </c>
      <c r="L112" s="1697">
        <f>SUM(L110,L111)</f>
        <v>106700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2613513</v>
      </c>
      <c r="D114" s="1690">
        <f t="shared" ref="D114:K114" si="13">SUM(D33,D74,D75,D102,D112,D113)</f>
        <v>627061</v>
      </c>
      <c r="E114" s="1690">
        <f t="shared" si="13"/>
        <v>987924</v>
      </c>
      <c r="F114" s="1690">
        <f t="shared" si="13"/>
        <v>432603</v>
      </c>
      <c r="G114" s="1690">
        <f t="shared" si="13"/>
        <v>179183</v>
      </c>
      <c r="H114" s="1690">
        <f>SUM(H33,H74,H75,H102,H112,H113)</f>
        <v>34532</v>
      </c>
      <c r="I114" s="1690">
        <f t="shared" si="13"/>
        <v>56844</v>
      </c>
      <c r="J114" s="1690">
        <f t="shared" si="13"/>
        <v>0</v>
      </c>
      <c r="K114" s="1690">
        <f t="shared" si="13"/>
        <v>4931660</v>
      </c>
      <c r="L114" s="1690">
        <f>SUM(L33,L74,L75,L102,L112,L113)</f>
        <v>5666611</v>
      </c>
    </row>
    <row r="115" spans="1:14" ht="13.5" thickTop="1" x14ac:dyDescent="0.2">
      <c r="A115" s="2176" t="s">
        <v>1053</v>
      </c>
      <c r="B115" s="2177"/>
      <c r="C115" s="619"/>
      <c r="D115" s="619"/>
      <c r="E115" s="619"/>
      <c r="F115" s="619"/>
      <c r="G115" s="619"/>
      <c r="H115" s="619"/>
      <c r="I115" s="619"/>
      <c r="J115" s="619"/>
      <c r="K115" s="1704">
        <f>'Revenues 9-14'!C275-'Expenditures 15-22'!K114</f>
        <v>696879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row>
    <row r="123" spans="1:14" ht="14.25" thickTop="1" thickBot="1" x14ac:dyDescent="0.25">
      <c r="A123" s="1526" t="s">
        <v>4</v>
      </c>
      <c r="B123" s="615">
        <v>2530</v>
      </c>
      <c r="C123" s="466"/>
      <c r="D123" s="466"/>
      <c r="E123" s="466"/>
      <c r="F123" s="466"/>
      <c r="G123" s="466"/>
      <c r="H123" s="466"/>
      <c r="I123" s="467"/>
      <c r="J123" s="467"/>
      <c r="K123" s="1690">
        <f>SUM(C123:J123)</f>
        <v>0</v>
      </c>
      <c r="L123" s="466"/>
    </row>
    <row r="124" spans="1:14" ht="14.25" thickTop="1" thickBot="1" x14ac:dyDescent="0.25">
      <c r="A124" s="1526" t="s">
        <v>206</v>
      </c>
      <c r="B124" s="615">
        <v>2540</v>
      </c>
      <c r="C124" s="466"/>
      <c r="D124" s="466"/>
      <c r="E124" s="466"/>
      <c r="F124" s="466"/>
      <c r="G124" s="466"/>
      <c r="H124" s="466"/>
      <c r="I124" s="467"/>
      <c r="J124" s="467"/>
      <c r="K124" s="1690">
        <f>SUM(C124:J124)</f>
        <v>0</v>
      </c>
      <c r="L124" s="466"/>
    </row>
    <row r="125" spans="1:14" ht="14.25" thickTop="1" thickBot="1" x14ac:dyDescent="0.25">
      <c r="A125" s="1526" t="s">
        <v>1010</v>
      </c>
      <c r="B125" s="615">
        <v>2550</v>
      </c>
      <c r="C125" s="466"/>
      <c r="D125" s="466"/>
      <c r="E125" s="466"/>
      <c r="F125" s="466"/>
      <c r="G125" s="466"/>
      <c r="H125" s="466"/>
      <c r="I125" s="467"/>
      <c r="J125" s="467"/>
      <c r="K125" s="1690">
        <f>SUM(C125:J125)</f>
        <v>0</v>
      </c>
      <c r="L125" s="466"/>
    </row>
    <row r="126" spans="1:14" ht="14.25" thickTop="1" thickBot="1" x14ac:dyDescent="0.25">
      <c r="A126" s="1526"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0</v>
      </c>
      <c r="D127" s="1690">
        <f t="shared" ref="D127:L127" si="14">SUM(D122:D126)</f>
        <v>0</v>
      </c>
      <c r="E127" s="1690">
        <f t="shared" si="14"/>
        <v>0</v>
      </c>
      <c r="F127" s="1690">
        <f t="shared" si="14"/>
        <v>0</v>
      </c>
      <c r="G127" s="1690">
        <f t="shared" si="14"/>
        <v>0</v>
      </c>
      <c r="H127" s="1690">
        <f t="shared" si="14"/>
        <v>0</v>
      </c>
      <c r="I127" s="1690">
        <f t="shared" si="14"/>
        <v>0</v>
      </c>
      <c r="J127" s="1690">
        <f t="shared" si="14"/>
        <v>0</v>
      </c>
      <c r="K127" s="1690">
        <f t="shared" si="14"/>
        <v>0</v>
      </c>
      <c r="L127" s="1690">
        <f t="shared" si="14"/>
        <v>0</v>
      </c>
    </row>
    <row r="128" spans="1:14" ht="12.75" customHeight="1" thickTop="1" x14ac:dyDescent="0.2">
      <c r="A128" s="1533"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0</v>
      </c>
      <c r="D129" s="1697">
        <f t="shared" ref="D129:L129" si="15">SUM(D120,D127,D128)</f>
        <v>0</v>
      </c>
      <c r="E129" s="1697">
        <f t="shared" si="15"/>
        <v>0</v>
      </c>
      <c r="F129" s="1697">
        <f t="shared" si="15"/>
        <v>0</v>
      </c>
      <c r="G129" s="1697">
        <f t="shared" si="15"/>
        <v>0</v>
      </c>
      <c r="H129" s="1697">
        <f t="shared" si="15"/>
        <v>0</v>
      </c>
      <c r="I129" s="1697">
        <f t="shared" si="15"/>
        <v>0</v>
      </c>
      <c r="J129" s="1697">
        <f t="shared" si="15"/>
        <v>0</v>
      </c>
      <c r="K129" s="1697">
        <f t="shared" si="15"/>
        <v>0</v>
      </c>
      <c r="L129" s="1697">
        <f t="shared" si="15"/>
        <v>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1955</v>
      </c>
      <c r="C133" s="468"/>
      <c r="D133" s="468"/>
      <c r="E133" s="642"/>
      <c r="F133" s="468"/>
      <c r="G133" s="468"/>
      <c r="H133" s="642"/>
      <c r="I133" s="468"/>
      <c r="J133" s="468"/>
      <c r="K133" s="1842">
        <f>SUM(E133,H133)</f>
        <v>0</v>
      </c>
      <c r="L133" s="642"/>
      <c r="M133" s="206"/>
      <c r="N133" s="206"/>
    </row>
    <row r="134" spans="1:14" x14ac:dyDescent="0.2">
      <c r="A134" s="1526" t="s">
        <v>322</v>
      </c>
      <c r="B134" s="615">
        <v>4120</v>
      </c>
      <c r="C134" s="617"/>
      <c r="D134" s="617"/>
      <c r="E134" s="478"/>
      <c r="F134" s="617"/>
      <c r="G134" s="617"/>
      <c r="H134" s="481"/>
      <c r="I134" s="477"/>
      <c r="J134" s="617"/>
      <c r="K134" s="1692">
        <f>SUM(E134,H134)</f>
        <v>0</v>
      </c>
      <c r="L134" s="481"/>
    </row>
    <row r="135" spans="1:14" x14ac:dyDescent="0.2">
      <c r="A135" s="1526" t="s">
        <v>721</v>
      </c>
      <c r="B135" s="615">
        <v>4140</v>
      </c>
      <c r="C135" s="617"/>
      <c r="D135" s="617"/>
      <c r="E135" s="467"/>
      <c r="F135" s="617"/>
      <c r="G135" s="617"/>
      <c r="H135" s="466"/>
      <c r="I135" s="477"/>
      <c r="J135" s="617"/>
      <c r="K135" s="1692">
        <f>SUM(E135,H135)</f>
        <v>0</v>
      </c>
      <c r="L135" s="466"/>
    </row>
    <row r="136" spans="1:14" x14ac:dyDescent="0.2">
      <c r="A136" s="1530"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row>
    <row r="143" spans="1:14" x14ac:dyDescent="0.2">
      <c r="A143" s="1526" t="s">
        <v>90</v>
      </c>
      <c r="B143" s="615">
        <v>5120</v>
      </c>
      <c r="C143" s="617"/>
      <c r="D143" s="617"/>
      <c r="E143" s="617"/>
      <c r="F143" s="617"/>
      <c r="G143" s="617"/>
      <c r="H143" s="466"/>
      <c r="I143" s="468"/>
      <c r="J143" s="617"/>
      <c r="K143" s="1692">
        <f>SUM(H143)</f>
        <v>0</v>
      </c>
      <c r="L143" s="466"/>
    </row>
    <row r="144" spans="1:14" ht="12.75" customHeight="1" x14ac:dyDescent="0.2">
      <c r="A144" s="1526" t="s">
        <v>1232</v>
      </c>
      <c r="B144" s="629" t="s">
        <v>638</v>
      </c>
      <c r="C144" s="617"/>
      <c r="D144" s="617"/>
      <c r="E144" s="617"/>
      <c r="F144" s="617"/>
      <c r="G144" s="617"/>
      <c r="H144" s="466"/>
      <c r="I144" s="468"/>
      <c r="J144" s="617"/>
      <c r="K144" s="1692">
        <f>SUM(H144)</f>
        <v>0</v>
      </c>
      <c r="L144" s="466"/>
    </row>
    <row r="145" spans="1:14" x14ac:dyDescent="0.2">
      <c r="A145" s="1526" t="s">
        <v>91</v>
      </c>
      <c r="B145" s="615" t="s">
        <v>610</v>
      </c>
      <c r="C145" s="617"/>
      <c r="D145" s="617"/>
      <c r="E145" s="617"/>
      <c r="F145" s="617"/>
      <c r="G145" s="617"/>
      <c r="H145" s="466"/>
      <c r="I145" s="468"/>
      <c r="J145" s="617"/>
      <c r="K145" s="1692">
        <f>SUM(H145)</f>
        <v>0</v>
      </c>
      <c r="L145" s="466"/>
    </row>
    <row r="146" spans="1:14" ht="12.75" customHeight="1" x14ac:dyDescent="0.2">
      <c r="A146" s="1526" t="s">
        <v>640</v>
      </c>
      <c r="B146" s="615" t="s">
        <v>639</v>
      </c>
      <c r="C146" s="617"/>
      <c r="D146" s="617"/>
      <c r="E146" s="617"/>
      <c r="F146" s="617"/>
      <c r="G146" s="617"/>
      <c r="H146" s="466"/>
      <c r="I146" s="468"/>
      <c r="J146" s="617"/>
      <c r="K146" s="1692">
        <f>SUM(H146)</f>
        <v>0</v>
      </c>
      <c r="L146" s="466"/>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3" t="s">
        <v>641</v>
      </c>
      <c r="B151" s="2173"/>
      <c r="C151" s="1690">
        <f>SUM(C129,C130,C139,C149,C150)</f>
        <v>0</v>
      </c>
      <c r="D151" s="1690">
        <f t="shared" ref="D151:K151" si="16">SUM(D129,D130,D139,D149,D150)</f>
        <v>0</v>
      </c>
      <c r="E151" s="1690">
        <f t="shared" si="16"/>
        <v>0</v>
      </c>
      <c r="F151" s="1690">
        <f t="shared" si="16"/>
        <v>0</v>
      </c>
      <c r="G151" s="1690">
        <f t="shared" si="16"/>
        <v>0</v>
      </c>
      <c r="H151" s="1690">
        <f t="shared" si="16"/>
        <v>0</v>
      </c>
      <c r="I151" s="1690">
        <f t="shared" si="16"/>
        <v>0</v>
      </c>
      <c r="J151" s="1690">
        <f t="shared" si="16"/>
        <v>0</v>
      </c>
      <c r="K151" s="1690">
        <f t="shared" si="16"/>
        <v>0</v>
      </c>
      <c r="L151" s="1690">
        <f>SUM(L129,L130,L139,L149,L150)</f>
        <v>0</v>
      </c>
    </row>
    <row r="152" spans="1:14" ht="12.75" customHeight="1" thickTop="1" x14ac:dyDescent="0.2">
      <c r="A152" s="2196" t="s">
        <v>1240</v>
      </c>
      <c r="B152" s="2197"/>
      <c r="C152" s="619"/>
      <c r="D152" s="619"/>
      <c r="E152" s="619"/>
      <c r="F152" s="619"/>
      <c r="G152" s="619"/>
      <c r="H152" s="619"/>
      <c r="I152" s="619"/>
      <c r="J152" s="617"/>
      <c r="K152" s="1704">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1956</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1955</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1957</v>
      </c>
      <c r="C158" s="617"/>
      <c r="D158" s="617"/>
      <c r="E158" s="617"/>
      <c r="F158" s="617"/>
      <c r="G158" s="617"/>
      <c r="H158" s="467"/>
      <c r="I158" s="617"/>
      <c r="J158" s="617"/>
      <c r="K158" s="1691">
        <f>H158</f>
        <v>0</v>
      </c>
      <c r="L158" s="467"/>
      <c r="M158" s="620"/>
      <c r="N158" s="620"/>
    </row>
    <row r="159" spans="1:14" s="621" customFormat="1" ht="12" x14ac:dyDescent="0.2">
      <c r="A159" s="1847" t="s">
        <v>1958</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1959</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row>
    <row r="164" spans="1:14" x14ac:dyDescent="0.2">
      <c r="A164" s="1526" t="s">
        <v>90</v>
      </c>
      <c r="B164" s="615">
        <v>5120</v>
      </c>
      <c r="C164" s="617"/>
      <c r="D164" s="617"/>
      <c r="E164" s="617"/>
      <c r="F164" s="617"/>
      <c r="G164" s="617"/>
      <c r="H164" s="466"/>
      <c r="I164" s="617"/>
      <c r="J164" s="617"/>
      <c r="K164" s="1691">
        <f>SUM(C164:J164)</f>
        <v>0</v>
      </c>
      <c r="L164" s="466"/>
    </row>
    <row r="165" spans="1:14" ht="12.75" customHeight="1" x14ac:dyDescent="0.2">
      <c r="A165" s="1526" t="s">
        <v>1232</v>
      </c>
      <c r="B165" s="615" t="s">
        <v>638</v>
      </c>
      <c r="C165" s="617"/>
      <c r="D165" s="617"/>
      <c r="E165" s="617"/>
      <c r="F165" s="617"/>
      <c r="G165" s="617"/>
      <c r="H165" s="466"/>
      <c r="I165" s="617"/>
      <c r="J165" s="617"/>
      <c r="K165" s="1691">
        <f>SUM(C165:J165)</f>
        <v>0</v>
      </c>
      <c r="L165" s="466"/>
    </row>
    <row r="166" spans="1:14" x14ac:dyDescent="0.2">
      <c r="A166" s="1526" t="s">
        <v>91</v>
      </c>
      <c r="B166" s="629" t="s">
        <v>610</v>
      </c>
      <c r="C166" s="617"/>
      <c r="D166" s="617"/>
      <c r="E166" s="617"/>
      <c r="F166" s="617"/>
      <c r="G166" s="617"/>
      <c r="H166" s="466"/>
      <c r="I166" s="617"/>
      <c r="J166" s="617"/>
      <c r="K166" s="1691">
        <f>SUM(C166:J166)</f>
        <v>0</v>
      </c>
      <c r="L166" s="466"/>
    </row>
    <row r="167" spans="1:14" ht="12.75" customHeight="1" x14ac:dyDescent="0.2">
      <c r="A167" s="1526"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c r="I169" s="617"/>
      <c r="J169" s="617"/>
      <c r="K169" s="1691">
        <f>SUM(C169:H169)</f>
        <v>0</v>
      </c>
      <c r="L169" s="657"/>
    </row>
    <row r="170" spans="1:14" ht="33.75" customHeight="1" x14ac:dyDescent="0.2">
      <c r="A170" s="670" t="s">
        <v>1769</v>
      </c>
      <c r="B170" s="672" t="s">
        <v>31</v>
      </c>
      <c r="C170" s="617"/>
      <c r="D170" s="617"/>
      <c r="E170" s="617"/>
      <c r="F170" s="617"/>
      <c r="G170" s="617"/>
      <c r="H170" s="569"/>
      <c r="I170" s="617"/>
      <c r="J170" s="617"/>
      <c r="K170" s="1691">
        <f>SUM(C170:J170)</f>
        <v>0</v>
      </c>
      <c r="L170" s="569"/>
    </row>
    <row r="171" spans="1:14" ht="15.75" customHeight="1" x14ac:dyDescent="0.2">
      <c r="A171" s="622" t="s">
        <v>790</v>
      </c>
      <c r="B171" s="673" t="s">
        <v>86</v>
      </c>
      <c r="C171" s="617"/>
      <c r="D171" s="617"/>
      <c r="E171" s="466"/>
      <c r="F171" s="617"/>
      <c r="G171" s="617"/>
      <c r="H171" s="569"/>
      <c r="I171" s="477"/>
      <c r="J171" s="617"/>
      <c r="K171" s="1691">
        <f>SUM(C171:J171)</f>
        <v>0</v>
      </c>
      <c r="L171" s="569"/>
    </row>
    <row r="172" spans="1:14" ht="12.75" customHeight="1" thickBot="1" x14ac:dyDescent="0.25">
      <c r="A172" s="1688" t="s">
        <v>659</v>
      </c>
      <c r="B172" s="1689" t="s">
        <v>513</v>
      </c>
      <c r="C172" s="617"/>
      <c r="D172" s="617"/>
      <c r="E172" s="1697">
        <f>SUM(E168,E169,E170,E171)</f>
        <v>0</v>
      </c>
      <c r="F172" s="617"/>
      <c r="G172" s="617"/>
      <c r="H172" s="1697">
        <f>SUM(H168,H169,H170,H171)</f>
        <v>0</v>
      </c>
      <c r="I172" s="639"/>
      <c r="J172" s="617"/>
      <c r="K172" s="1697">
        <f>SUM(K168,K169,K170,K171)</f>
        <v>0</v>
      </c>
      <c r="L172" s="1697">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0</v>
      </c>
      <c r="I174" s="639"/>
      <c r="J174" s="617"/>
      <c r="K174" s="1697">
        <f>SUM(K160,K172,K173)</f>
        <v>0</v>
      </c>
      <c r="L174" s="1697">
        <f>SUM(L160,L172,L173)</f>
        <v>0</v>
      </c>
    </row>
    <row r="175" spans="1:14" ht="13.5" thickTop="1" x14ac:dyDescent="0.2">
      <c r="A175" s="2176" t="s">
        <v>1053</v>
      </c>
      <c r="B175" s="2177"/>
      <c r="C175" s="617"/>
      <c r="D175" s="617"/>
      <c r="E175" s="617"/>
      <c r="F175" s="617"/>
      <c r="G175" s="617"/>
      <c r="H175" s="619"/>
      <c r="I175" s="617"/>
      <c r="J175" s="617"/>
      <c r="K175" s="1704">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1">
        <f>SUM(C182:J182)</f>
        <v>0</v>
      </c>
      <c r="L182" s="466"/>
    </row>
    <row r="183" spans="1:14" ht="12.75" customHeight="1" thickBot="1" x14ac:dyDescent="0.25">
      <c r="A183" s="1531"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0</v>
      </c>
      <c r="D184" s="1697">
        <f t="shared" ref="D184:J184" si="17">SUM(D180,D182,D183)</f>
        <v>0</v>
      </c>
      <c r="E184" s="1697">
        <f t="shared" si="17"/>
        <v>0</v>
      </c>
      <c r="F184" s="1697">
        <f t="shared" si="17"/>
        <v>0</v>
      </c>
      <c r="G184" s="1697">
        <f t="shared" si="17"/>
        <v>0</v>
      </c>
      <c r="H184" s="1697">
        <f t="shared" si="17"/>
        <v>0</v>
      </c>
      <c r="I184" s="1697">
        <f t="shared" si="17"/>
        <v>0</v>
      </c>
      <c r="J184" s="1697">
        <f t="shared" si="17"/>
        <v>0</v>
      </c>
      <c r="K184" s="1697">
        <f>SUM(K180,K182,K183)</f>
        <v>0</v>
      </c>
      <c r="L184" s="1697">
        <f>SUM(L180, L182:L183)</f>
        <v>0</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row>
    <row r="189" spans="1:14" x14ac:dyDescent="0.2">
      <c r="A189" s="1526" t="s">
        <v>322</v>
      </c>
      <c r="B189" s="615">
        <v>4120</v>
      </c>
      <c r="C189" s="617"/>
      <c r="D189" s="617"/>
      <c r="E189" s="466"/>
      <c r="F189" s="617"/>
      <c r="G189" s="617"/>
      <c r="H189" s="466"/>
      <c r="I189" s="477"/>
      <c r="J189" s="617"/>
      <c r="K189" s="1691">
        <f t="shared" si="18"/>
        <v>0</v>
      </c>
      <c r="L189" s="466"/>
    </row>
    <row r="190" spans="1:14" x14ac:dyDescent="0.2">
      <c r="A190" s="1526" t="s">
        <v>323</v>
      </c>
      <c r="B190" s="629">
        <v>4130</v>
      </c>
      <c r="C190" s="617"/>
      <c r="D190" s="617"/>
      <c r="E190" s="466"/>
      <c r="F190" s="617"/>
      <c r="G190" s="617"/>
      <c r="H190" s="466"/>
      <c r="I190" s="477"/>
      <c r="J190" s="617"/>
      <c r="K190" s="1691">
        <f t="shared" si="18"/>
        <v>0</v>
      </c>
      <c r="L190" s="466"/>
    </row>
    <row r="191" spans="1:14" x14ac:dyDescent="0.2">
      <c r="A191" s="1526" t="s">
        <v>721</v>
      </c>
      <c r="B191" s="615">
        <v>4140</v>
      </c>
      <c r="C191" s="617"/>
      <c r="D191" s="617"/>
      <c r="E191" s="466"/>
      <c r="F191" s="617"/>
      <c r="G191" s="617"/>
      <c r="H191" s="466"/>
      <c r="I191" s="477"/>
      <c r="J191" s="617"/>
      <c r="K191" s="1691">
        <f t="shared" si="18"/>
        <v>0</v>
      </c>
      <c r="L191" s="466"/>
    </row>
    <row r="192" spans="1:14" x14ac:dyDescent="0.2">
      <c r="A192" s="1526" t="s">
        <v>88</v>
      </c>
      <c r="B192" s="615">
        <v>4170</v>
      </c>
      <c r="C192" s="617"/>
      <c r="D192" s="617"/>
      <c r="E192" s="466"/>
      <c r="F192" s="617"/>
      <c r="G192" s="617"/>
      <c r="H192" s="466"/>
      <c r="I192" s="477"/>
      <c r="J192" s="617"/>
      <c r="K192" s="1691">
        <f t="shared" si="18"/>
        <v>0</v>
      </c>
      <c r="L192" s="466"/>
    </row>
    <row r="193" spans="1:14" x14ac:dyDescent="0.2">
      <c r="A193" s="1530"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row>
    <row r="200" spans="1:14" x14ac:dyDescent="0.2">
      <c r="A200" s="1526" t="s">
        <v>90</v>
      </c>
      <c r="B200" s="615">
        <v>5120</v>
      </c>
      <c r="C200" s="617"/>
      <c r="D200" s="617"/>
      <c r="E200" s="617"/>
      <c r="F200" s="617"/>
      <c r="G200" s="617"/>
      <c r="H200" s="466"/>
      <c r="I200" s="617"/>
      <c r="J200" s="617"/>
      <c r="K200" s="1691">
        <f>SUM(H200)</f>
        <v>0</v>
      </c>
      <c r="L200" s="466"/>
    </row>
    <row r="201" spans="1:14" ht="12.75" customHeight="1" x14ac:dyDescent="0.2">
      <c r="A201" s="1526" t="s">
        <v>1232</v>
      </c>
      <c r="B201" s="629" t="s">
        <v>638</v>
      </c>
      <c r="C201" s="617"/>
      <c r="D201" s="617"/>
      <c r="E201" s="617"/>
      <c r="F201" s="617"/>
      <c r="G201" s="617"/>
      <c r="H201" s="466"/>
      <c r="I201" s="617"/>
      <c r="J201" s="617"/>
      <c r="K201" s="1691">
        <f>SUM(H201)</f>
        <v>0</v>
      </c>
      <c r="L201" s="466"/>
    </row>
    <row r="202" spans="1:14" x14ac:dyDescent="0.2">
      <c r="A202" s="1526" t="s">
        <v>91</v>
      </c>
      <c r="B202" s="615" t="s">
        <v>610</v>
      </c>
      <c r="C202" s="617"/>
      <c r="D202" s="617"/>
      <c r="E202" s="617"/>
      <c r="F202" s="617"/>
      <c r="G202" s="617"/>
      <c r="H202" s="466"/>
      <c r="I202" s="617"/>
      <c r="J202" s="617"/>
      <c r="K202" s="1691">
        <f>SUM(H202)</f>
        <v>0</v>
      </c>
      <c r="L202" s="466"/>
    </row>
    <row r="203" spans="1:14" x14ac:dyDescent="0.2">
      <c r="A203" s="1538"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0</v>
      </c>
      <c r="D210" s="1690">
        <f>SUM(D184,D185)</f>
        <v>0</v>
      </c>
      <c r="E210" s="1690">
        <f>SUM(E184,E185,E196)</f>
        <v>0</v>
      </c>
      <c r="F210" s="1690">
        <f>SUM(F184,F185)</f>
        <v>0</v>
      </c>
      <c r="G210" s="1690">
        <f>SUM(G184,G185)</f>
        <v>0</v>
      </c>
      <c r="H210" s="1690">
        <f>SUM(H184,H185,H196,H208,H209)</f>
        <v>0</v>
      </c>
      <c r="I210" s="1690">
        <f>SUM(I184,I185)</f>
        <v>0</v>
      </c>
      <c r="J210" s="1690">
        <f>SUM(J184,J185)</f>
        <v>0</v>
      </c>
      <c r="K210" s="1691">
        <f>SUM(K184,K185,K196,K208,K209)</f>
        <v>0</v>
      </c>
      <c r="L210" s="1690">
        <f>SUM(L184,L185,L196,L208,L209)</f>
        <v>0</v>
      </c>
    </row>
    <row r="211" spans="1:14" ht="13.5" thickTop="1" x14ac:dyDescent="0.2">
      <c r="A211" s="2176" t="s">
        <v>1053</v>
      </c>
      <c r="B211" s="2177"/>
      <c r="C211" s="619"/>
      <c r="D211" s="619"/>
      <c r="E211" s="619"/>
      <c r="F211" s="619"/>
      <c r="G211" s="619"/>
      <c r="H211" s="619"/>
      <c r="I211" s="617"/>
      <c r="J211" s="617"/>
      <c r="K211" s="1704">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1">
        <f>D215</f>
        <v>0</v>
      </c>
      <c r="L215" s="466"/>
    </row>
    <row r="216" spans="1:14" x14ac:dyDescent="0.2">
      <c r="A216" s="1526" t="s">
        <v>165</v>
      </c>
      <c r="B216" s="615" t="s">
        <v>1024</v>
      </c>
      <c r="C216" s="617"/>
      <c r="D216" s="467"/>
      <c r="E216" s="617"/>
      <c r="F216" s="617"/>
      <c r="G216" s="617"/>
      <c r="H216" s="617"/>
      <c r="I216" s="617"/>
      <c r="J216" s="617"/>
      <c r="K216" s="1691">
        <f t="shared" ref="K216:K228" si="19">D216</f>
        <v>0</v>
      </c>
      <c r="L216" s="466"/>
    </row>
    <row r="217" spans="1:14" x14ac:dyDescent="0.2">
      <c r="A217" s="1526" t="s">
        <v>166</v>
      </c>
      <c r="B217" s="615">
        <v>1200</v>
      </c>
      <c r="C217" s="617"/>
      <c r="D217" s="466"/>
      <c r="E217" s="617"/>
      <c r="F217" s="617"/>
      <c r="G217" s="617"/>
      <c r="H217" s="617"/>
      <c r="I217" s="617"/>
      <c r="J217" s="617"/>
      <c r="K217" s="1691">
        <f t="shared" si="19"/>
        <v>0</v>
      </c>
      <c r="L217" s="466"/>
    </row>
    <row r="218" spans="1:14" x14ac:dyDescent="0.2">
      <c r="A218" s="1526" t="s">
        <v>296</v>
      </c>
      <c r="B218" s="615" t="s">
        <v>1025</v>
      </c>
      <c r="C218" s="617"/>
      <c r="D218" s="467"/>
      <c r="E218" s="617"/>
      <c r="F218" s="617"/>
      <c r="G218" s="617"/>
      <c r="H218" s="617"/>
      <c r="I218" s="617"/>
      <c r="J218" s="617"/>
      <c r="K218" s="1691">
        <f t="shared" si="19"/>
        <v>0</v>
      </c>
      <c r="L218" s="466"/>
    </row>
    <row r="219" spans="1:14" x14ac:dyDescent="0.2">
      <c r="A219" s="1526" t="s">
        <v>297</v>
      </c>
      <c r="B219" s="615">
        <v>1250</v>
      </c>
      <c r="C219" s="617"/>
      <c r="D219" s="466"/>
      <c r="E219" s="617"/>
      <c r="F219" s="617"/>
      <c r="G219" s="617"/>
      <c r="H219" s="617"/>
      <c r="I219" s="617"/>
      <c r="J219" s="617"/>
      <c r="K219" s="1691">
        <f t="shared" si="19"/>
        <v>0</v>
      </c>
      <c r="L219" s="466"/>
    </row>
    <row r="220" spans="1:14" x14ac:dyDescent="0.2">
      <c r="A220" s="1526" t="s">
        <v>298</v>
      </c>
      <c r="B220" s="615" t="s">
        <v>163</v>
      </c>
      <c r="C220" s="617"/>
      <c r="D220" s="467"/>
      <c r="E220" s="617"/>
      <c r="F220" s="617"/>
      <c r="G220" s="617"/>
      <c r="H220" s="617"/>
      <c r="I220" s="617"/>
      <c r="J220" s="617"/>
      <c r="K220" s="1691">
        <f t="shared" si="19"/>
        <v>0</v>
      </c>
      <c r="L220" s="466"/>
    </row>
    <row r="221" spans="1:14" x14ac:dyDescent="0.2">
      <c r="A221" s="1526" t="s">
        <v>1019</v>
      </c>
      <c r="B221" s="615">
        <v>1300</v>
      </c>
      <c r="C221" s="617"/>
      <c r="D221" s="466"/>
      <c r="E221" s="617"/>
      <c r="F221" s="617"/>
      <c r="G221" s="617"/>
      <c r="H221" s="617"/>
      <c r="I221" s="617"/>
      <c r="J221" s="617"/>
      <c r="K221" s="1691">
        <f t="shared" si="19"/>
        <v>0</v>
      </c>
      <c r="L221" s="466"/>
    </row>
    <row r="222" spans="1:14" x14ac:dyDescent="0.2">
      <c r="A222" s="1526" t="s">
        <v>747</v>
      </c>
      <c r="B222" s="615">
        <v>1400</v>
      </c>
      <c r="C222" s="617"/>
      <c r="D222" s="466"/>
      <c r="E222" s="617"/>
      <c r="F222" s="617"/>
      <c r="G222" s="617"/>
      <c r="H222" s="617"/>
      <c r="I222" s="617"/>
      <c r="J222" s="617"/>
      <c r="K222" s="1691">
        <f t="shared" si="19"/>
        <v>0</v>
      </c>
      <c r="L222" s="466"/>
    </row>
    <row r="223" spans="1:14" x14ac:dyDescent="0.2">
      <c r="A223" s="1526" t="s">
        <v>1020</v>
      </c>
      <c r="B223" s="615">
        <v>1500</v>
      </c>
      <c r="C223" s="617"/>
      <c r="D223" s="466"/>
      <c r="E223" s="617"/>
      <c r="F223" s="617"/>
      <c r="G223" s="617"/>
      <c r="H223" s="617"/>
      <c r="I223" s="617"/>
      <c r="J223" s="617"/>
      <c r="K223" s="1691">
        <f t="shared" si="19"/>
        <v>0</v>
      </c>
      <c r="L223" s="466"/>
    </row>
    <row r="224" spans="1:14" x14ac:dyDescent="0.2">
      <c r="A224" s="1526" t="s">
        <v>1021</v>
      </c>
      <c r="B224" s="615">
        <v>1600</v>
      </c>
      <c r="C224" s="617"/>
      <c r="D224" s="466"/>
      <c r="E224" s="617"/>
      <c r="F224" s="617"/>
      <c r="G224" s="617"/>
      <c r="H224" s="617"/>
      <c r="I224" s="617"/>
      <c r="J224" s="617"/>
      <c r="K224" s="1691">
        <f t="shared" si="19"/>
        <v>0</v>
      </c>
      <c r="L224" s="466"/>
    </row>
    <row r="225" spans="1:12" x14ac:dyDescent="0.2">
      <c r="A225" s="1526" t="s">
        <v>1044</v>
      </c>
      <c r="B225" s="615">
        <v>1650</v>
      </c>
      <c r="C225" s="617"/>
      <c r="D225" s="466"/>
      <c r="E225" s="617"/>
      <c r="F225" s="617"/>
      <c r="G225" s="617"/>
      <c r="H225" s="617"/>
      <c r="I225" s="617"/>
      <c r="J225" s="617"/>
      <c r="K225" s="1691">
        <f t="shared" si="19"/>
        <v>0</v>
      </c>
      <c r="L225" s="466"/>
    </row>
    <row r="226" spans="1:12" x14ac:dyDescent="0.2">
      <c r="A226" s="1526" t="s">
        <v>748</v>
      </c>
      <c r="B226" s="615" t="s">
        <v>164</v>
      </c>
      <c r="C226" s="617"/>
      <c r="D226" s="467"/>
      <c r="E226" s="617"/>
      <c r="F226" s="617"/>
      <c r="G226" s="617"/>
      <c r="H226" s="617"/>
      <c r="I226" s="617"/>
      <c r="J226" s="617"/>
      <c r="K226" s="1691">
        <f t="shared" si="19"/>
        <v>0</v>
      </c>
      <c r="L226" s="466"/>
    </row>
    <row r="227" spans="1:12" x14ac:dyDescent="0.2">
      <c r="A227" s="1526" t="s">
        <v>1148</v>
      </c>
      <c r="B227" s="615">
        <v>1800</v>
      </c>
      <c r="C227" s="617"/>
      <c r="D227" s="466"/>
      <c r="E227" s="617"/>
      <c r="F227" s="617"/>
      <c r="G227" s="617"/>
      <c r="H227" s="617"/>
      <c r="I227" s="617"/>
      <c r="J227" s="617"/>
      <c r="K227" s="1691">
        <f t="shared" si="19"/>
        <v>0</v>
      </c>
      <c r="L227" s="466"/>
    </row>
    <row r="228" spans="1:12" x14ac:dyDescent="0.2">
      <c r="A228" s="1526"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0</v>
      </c>
      <c r="E229" s="617"/>
      <c r="F229" s="617"/>
      <c r="G229" s="617"/>
      <c r="H229" s="617"/>
      <c r="I229" s="617"/>
      <c r="J229" s="617"/>
      <c r="K229" s="1690">
        <f>SUM(K215:K228)</f>
        <v>0</v>
      </c>
      <c r="L229" s="1690">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row>
    <row r="233" spans="1:12" x14ac:dyDescent="0.2">
      <c r="A233" s="1526" t="s">
        <v>1151</v>
      </c>
      <c r="B233" s="615">
        <v>2120</v>
      </c>
      <c r="C233" s="617"/>
      <c r="D233" s="466"/>
      <c r="E233" s="617"/>
      <c r="F233" s="617"/>
      <c r="G233" s="617"/>
      <c r="H233" s="617"/>
      <c r="I233" s="617"/>
      <c r="J233" s="617"/>
      <c r="K233" s="1691">
        <f t="shared" si="20"/>
        <v>0</v>
      </c>
      <c r="L233" s="466"/>
    </row>
    <row r="234" spans="1:12" x14ac:dyDescent="0.2">
      <c r="A234" s="1526" t="s">
        <v>207</v>
      </c>
      <c r="B234" s="615">
        <v>2130</v>
      </c>
      <c r="C234" s="617"/>
      <c r="D234" s="466"/>
      <c r="E234" s="617"/>
      <c r="F234" s="617"/>
      <c r="G234" s="617"/>
      <c r="H234" s="617"/>
      <c r="I234" s="617"/>
      <c r="J234" s="617"/>
      <c r="K234" s="1691">
        <f t="shared" si="20"/>
        <v>0</v>
      </c>
      <c r="L234" s="466"/>
    </row>
    <row r="235" spans="1:12" x14ac:dyDescent="0.2">
      <c r="A235" s="1526" t="s">
        <v>208</v>
      </c>
      <c r="B235" s="615">
        <v>2140</v>
      </c>
      <c r="C235" s="617"/>
      <c r="D235" s="466"/>
      <c r="E235" s="617"/>
      <c r="F235" s="617"/>
      <c r="G235" s="617"/>
      <c r="H235" s="617"/>
      <c r="I235" s="617"/>
      <c r="J235" s="617"/>
      <c r="K235" s="1691">
        <f t="shared" si="20"/>
        <v>0</v>
      </c>
      <c r="L235" s="466"/>
    </row>
    <row r="236" spans="1:12" x14ac:dyDescent="0.2">
      <c r="A236" s="1526" t="s">
        <v>209</v>
      </c>
      <c r="B236" s="615">
        <v>2150</v>
      </c>
      <c r="C236" s="617"/>
      <c r="D236" s="466"/>
      <c r="E236" s="617"/>
      <c r="F236" s="617"/>
      <c r="G236" s="617"/>
      <c r="H236" s="617"/>
      <c r="I236" s="617"/>
      <c r="J236" s="617"/>
      <c r="K236" s="1691">
        <f t="shared" si="20"/>
        <v>0</v>
      </c>
      <c r="L236" s="466"/>
    </row>
    <row r="237" spans="1:12" x14ac:dyDescent="0.2">
      <c r="A237" s="1526"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0</v>
      </c>
      <c r="E238" s="617"/>
      <c r="F238" s="617"/>
      <c r="G238" s="617"/>
      <c r="H238" s="617"/>
      <c r="I238" s="617"/>
      <c r="J238" s="617"/>
      <c r="K238" s="1690">
        <f>SUM(K232:K237)</f>
        <v>0</v>
      </c>
      <c r="L238" s="1690">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2">
        <f>D240</f>
        <v>0</v>
      </c>
      <c r="L240" s="481"/>
    </row>
    <row r="241" spans="1:12" x14ac:dyDescent="0.2">
      <c r="A241" s="1526" t="s">
        <v>869</v>
      </c>
      <c r="B241" s="615">
        <v>2220</v>
      </c>
      <c r="C241" s="617"/>
      <c r="D241" s="466"/>
      <c r="E241" s="617"/>
      <c r="F241" s="617"/>
      <c r="G241" s="617"/>
      <c r="H241" s="617"/>
      <c r="I241" s="617"/>
      <c r="J241" s="617"/>
      <c r="K241" s="1692">
        <f>D241</f>
        <v>0</v>
      </c>
      <c r="L241" s="466"/>
    </row>
    <row r="242" spans="1:12" x14ac:dyDescent="0.2">
      <c r="A242" s="1526"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0</v>
      </c>
      <c r="E243" s="617"/>
      <c r="F243" s="617"/>
      <c r="G243" s="617"/>
      <c r="H243" s="617"/>
      <c r="I243" s="617"/>
      <c r="J243" s="617"/>
      <c r="K243" s="1690">
        <f>SUM(K240:K242)</f>
        <v>0</v>
      </c>
      <c r="L243" s="1690">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2">
        <f>D245</f>
        <v>0</v>
      </c>
      <c r="L245" s="481"/>
    </row>
    <row r="246" spans="1:12" x14ac:dyDescent="0.2">
      <c r="A246" s="1526" t="s">
        <v>872</v>
      </c>
      <c r="B246" s="615">
        <v>2320</v>
      </c>
      <c r="C246" s="617"/>
      <c r="D246" s="466"/>
      <c r="E246" s="617"/>
      <c r="F246" s="617"/>
      <c r="G246" s="617"/>
      <c r="H246" s="617"/>
      <c r="I246" s="617"/>
      <c r="J246" s="617"/>
      <c r="K246" s="1692">
        <f t="shared" ref="K246:K256" si="21">D246</f>
        <v>0</v>
      </c>
      <c r="L246" s="466"/>
    </row>
    <row r="247" spans="1:12" x14ac:dyDescent="0.2">
      <c r="A247" s="1526" t="s">
        <v>873</v>
      </c>
      <c r="B247" s="615">
        <v>2330</v>
      </c>
      <c r="C247" s="617"/>
      <c r="D247" s="466"/>
      <c r="E247" s="617"/>
      <c r="F247" s="617"/>
      <c r="G247" s="617"/>
      <c r="H247" s="617"/>
      <c r="I247" s="617"/>
      <c r="J247" s="617"/>
      <c r="K247" s="1692">
        <f t="shared" si="21"/>
        <v>0</v>
      </c>
      <c r="L247" s="466"/>
    </row>
    <row r="248" spans="1:12" x14ac:dyDescent="0.2">
      <c r="A248" s="1527" t="s">
        <v>317</v>
      </c>
      <c r="B248" s="603" t="s">
        <v>299</v>
      </c>
      <c r="C248" s="617"/>
      <c r="D248" s="474"/>
      <c r="E248" s="617"/>
      <c r="F248" s="617"/>
      <c r="G248" s="617"/>
      <c r="H248" s="617"/>
      <c r="I248" s="617"/>
      <c r="J248" s="617"/>
      <c r="K248" s="1692">
        <f t="shared" si="21"/>
        <v>0</v>
      </c>
      <c r="L248" s="466"/>
    </row>
    <row r="249" spans="1:12" x14ac:dyDescent="0.2">
      <c r="A249" s="1528" t="s">
        <v>1906</v>
      </c>
      <c r="B249" s="684" t="s">
        <v>300</v>
      </c>
      <c r="C249" s="617"/>
      <c r="D249" s="474"/>
      <c r="E249" s="617"/>
      <c r="F249" s="617"/>
      <c r="G249" s="617"/>
      <c r="H249" s="617"/>
      <c r="I249" s="617"/>
      <c r="J249" s="617"/>
      <c r="K249" s="1692">
        <f t="shared" si="21"/>
        <v>0</v>
      </c>
      <c r="L249" s="466"/>
    </row>
    <row r="250" spans="1:12" x14ac:dyDescent="0.2">
      <c r="A250" s="1527" t="s">
        <v>1907</v>
      </c>
      <c r="B250" s="603" t="s">
        <v>301</v>
      </c>
      <c r="C250" s="617"/>
      <c r="D250" s="474"/>
      <c r="E250" s="617"/>
      <c r="F250" s="617"/>
      <c r="G250" s="617"/>
      <c r="H250" s="617"/>
      <c r="I250" s="617"/>
      <c r="J250" s="617"/>
      <c r="K250" s="1692">
        <f t="shared" si="21"/>
        <v>0</v>
      </c>
      <c r="L250" s="466"/>
    </row>
    <row r="251" spans="1:12" x14ac:dyDescent="0.2">
      <c r="A251" s="1527" t="s">
        <v>256</v>
      </c>
      <c r="B251" s="603" t="s">
        <v>302</v>
      </c>
      <c r="C251" s="617"/>
      <c r="D251" s="474"/>
      <c r="E251" s="617"/>
      <c r="F251" s="617"/>
      <c r="G251" s="617"/>
      <c r="H251" s="617"/>
      <c r="I251" s="617"/>
      <c r="J251" s="617"/>
      <c r="K251" s="1692">
        <f t="shared" si="21"/>
        <v>0</v>
      </c>
      <c r="L251" s="466"/>
    </row>
    <row r="252" spans="1:12" x14ac:dyDescent="0.2">
      <c r="A252" s="1527" t="s">
        <v>726</v>
      </c>
      <c r="B252" s="603" t="s">
        <v>303</v>
      </c>
      <c r="C252" s="617"/>
      <c r="D252" s="474"/>
      <c r="E252" s="617"/>
      <c r="F252" s="617"/>
      <c r="G252" s="617"/>
      <c r="H252" s="617"/>
      <c r="I252" s="617"/>
      <c r="J252" s="617"/>
      <c r="K252" s="1692">
        <f t="shared" si="21"/>
        <v>0</v>
      </c>
      <c r="L252" s="466"/>
    </row>
    <row r="253" spans="1:12" x14ac:dyDescent="0.2">
      <c r="A253" s="1527" t="s">
        <v>257</v>
      </c>
      <c r="B253" s="603" t="s">
        <v>304</v>
      </c>
      <c r="C253" s="617"/>
      <c r="D253" s="474"/>
      <c r="E253" s="617"/>
      <c r="F253" s="617"/>
      <c r="G253" s="617"/>
      <c r="H253" s="617"/>
      <c r="I253" s="617"/>
      <c r="J253" s="617"/>
      <c r="K253" s="1692">
        <f t="shared" si="21"/>
        <v>0</v>
      </c>
      <c r="L253" s="466"/>
    </row>
    <row r="254" spans="1:12" ht="22.5" x14ac:dyDescent="0.2">
      <c r="A254" s="1527" t="s">
        <v>1087</v>
      </c>
      <c r="B254" s="684" t="s">
        <v>305</v>
      </c>
      <c r="C254" s="617"/>
      <c r="D254" s="474"/>
      <c r="E254" s="617"/>
      <c r="F254" s="617"/>
      <c r="G254" s="617"/>
      <c r="H254" s="617"/>
      <c r="I254" s="617"/>
      <c r="J254" s="617"/>
      <c r="K254" s="1692">
        <f t="shared" si="21"/>
        <v>0</v>
      </c>
      <c r="L254" s="466"/>
    </row>
    <row r="255" spans="1:12" x14ac:dyDescent="0.2">
      <c r="A255" s="1527" t="s">
        <v>1088</v>
      </c>
      <c r="B255" s="603" t="s">
        <v>306</v>
      </c>
      <c r="C255" s="617"/>
      <c r="D255" s="474"/>
      <c r="E255" s="617"/>
      <c r="F255" s="617"/>
      <c r="G255" s="617"/>
      <c r="H255" s="617"/>
      <c r="I255" s="617"/>
      <c r="J255" s="617"/>
      <c r="K255" s="1692">
        <f t="shared" si="21"/>
        <v>0</v>
      </c>
      <c r="L255" s="466"/>
    </row>
    <row r="256" spans="1:12" x14ac:dyDescent="0.2">
      <c r="A256" s="1527"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0</v>
      </c>
      <c r="E257" s="617"/>
      <c r="F257" s="617"/>
      <c r="G257" s="617"/>
      <c r="H257" s="617"/>
      <c r="I257" s="617"/>
      <c r="J257" s="617"/>
      <c r="K257" s="1690">
        <f>SUM(K245:K256)</f>
        <v>0</v>
      </c>
      <c r="L257" s="1690">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2">
        <f>D259</f>
        <v>0</v>
      </c>
      <c r="L259" s="481"/>
    </row>
    <row r="260" spans="1:14" s="598" customFormat="1" x14ac:dyDescent="0.2">
      <c r="A260" s="1544" t="s">
        <v>1905</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0</v>
      </c>
      <c r="E261" s="617"/>
      <c r="F261" s="617"/>
      <c r="G261" s="617"/>
      <c r="H261" s="617"/>
      <c r="I261" s="617"/>
      <c r="J261" s="617"/>
      <c r="K261" s="1690">
        <f>SUM(K259:K260)</f>
        <v>0</v>
      </c>
      <c r="L261" s="1690">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row>
    <row r="264" spans="1:14" x14ac:dyDescent="0.2">
      <c r="A264" s="1526" t="s">
        <v>483</v>
      </c>
      <c r="B264" s="686">
        <v>2520</v>
      </c>
      <c r="C264" s="617"/>
      <c r="D264" s="466"/>
      <c r="E264" s="617"/>
      <c r="F264" s="617"/>
      <c r="G264" s="617"/>
      <c r="H264" s="617"/>
      <c r="I264" s="617"/>
      <c r="J264" s="617"/>
      <c r="K264" s="1692">
        <f t="shared" ref="K264:K269" si="22">D264</f>
        <v>0</v>
      </c>
      <c r="L264" s="466"/>
    </row>
    <row r="265" spans="1:14" x14ac:dyDescent="0.2">
      <c r="A265" s="1526" t="s">
        <v>4</v>
      </c>
      <c r="B265" s="615">
        <v>2530</v>
      </c>
      <c r="C265" s="617"/>
      <c r="D265" s="466"/>
      <c r="E265" s="617"/>
      <c r="F265" s="617"/>
      <c r="G265" s="617"/>
      <c r="H265" s="617"/>
      <c r="I265" s="617"/>
      <c r="J265" s="617"/>
      <c r="K265" s="1692">
        <f t="shared" si="22"/>
        <v>0</v>
      </c>
      <c r="L265" s="466"/>
    </row>
    <row r="266" spans="1:14" x14ac:dyDescent="0.2">
      <c r="A266" s="1526" t="s">
        <v>206</v>
      </c>
      <c r="B266" s="615">
        <v>2540</v>
      </c>
      <c r="C266" s="617"/>
      <c r="D266" s="466"/>
      <c r="E266" s="617"/>
      <c r="F266" s="617"/>
      <c r="G266" s="617"/>
      <c r="H266" s="617"/>
      <c r="I266" s="617"/>
      <c r="J266" s="617"/>
      <c r="K266" s="1692">
        <f t="shared" si="22"/>
        <v>0</v>
      </c>
      <c r="L266" s="466"/>
    </row>
    <row r="267" spans="1:14" x14ac:dyDescent="0.2">
      <c r="A267" s="1526" t="s">
        <v>1010</v>
      </c>
      <c r="B267" s="615">
        <v>2550</v>
      </c>
      <c r="C267" s="617"/>
      <c r="D267" s="466"/>
      <c r="E267" s="617"/>
      <c r="F267" s="617"/>
      <c r="G267" s="617"/>
      <c r="H267" s="617"/>
      <c r="I267" s="617"/>
      <c r="J267" s="617"/>
      <c r="K267" s="1692">
        <f t="shared" si="22"/>
        <v>0</v>
      </c>
      <c r="L267" s="466"/>
    </row>
    <row r="268" spans="1:14" x14ac:dyDescent="0.2">
      <c r="A268" s="1526" t="s">
        <v>102</v>
      </c>
      <c r="B268" s="615">
        <v>2560</v>
      </c>
      <c r="C268" s="617"/>
      <c r="D268" s="466"/>
      <c r="E268" s="617"/>
      <c r="F268" s="617"/>
      <c r="G268" s="617"/>
      <c r="H268" s="617"/>
      <c r="I268" s="617"/>
      <c r="J268" s="617"/>
      <c r="K268" s="1692">
        <f t="shared" si="22"/>
        <v>0</v>
      </c>
      <c r="L268" s="466"/>
    </row>
    <row r="269" spans="1:14" x14ac:dyDescent="0.2">
      <c r="A269" s="1526"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0</v>
      </c>
      <c r="E270" s="617"/>
      <c r="F270" s="617"/>
      <c r="G270" s="617"/>
      <c r="H270" s="617"/>
      <c r="I270" s="617"/>
      <c r="J270" s="617"/>
      <c r="K270" s="1690">
        <f>SUM(K263:K269)</f>
        <v>0</v>
      </c>
      <c r="L270" s="1690">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row>
    <row r="273" spans="1:12" x14ac:dyDescent="0.2">
      <c r="A273" s="1526" t="s">
        <v>628</v>
      </c>
      <c r="B273" s="629">
        <v>2620</v>
      </c>
      <c r="C273" s="617"/>
      <c r="D273" s="466"/>
      <c r="E273" s="617"/>
      <c r="F273" s="617"/>
      <c r="G273" s="617"/>
      <c r="H273" s="617"/>
      <c r="I273" s="617"/>
      <c r="J273" s="617"/>
      <c r="K273" s="1692">
        <f>D273</f>
        <v>0</v>
      </c>
      <c r="L273" s="466"/>
    </row>
    <row r="274" spans="1:12" ht="12" customHeight="1" x14ac:dyDescent="0.2">
      <c r="A274" s="1526" t="s">
        <v>1121</v>
      </c>
      <c r="B274" s="615">
        <v>2630</v>
      </c>
      <c r="C274" s="617"/>
      <c r="D274" s="466"/>
      <c r="E274" s="617"/>
      <c r="F274" s="617"/>
      <c r="G274" s="617"/>
      <c r="H274" s="617"/>
      <c r="I274" s="617"/>
      <c r="J274" s="617"/>
      <c r="K274" s="1692">
        <f>D274</f>
        <v>0</v>
      </c>
      <c r="L274" s="466"/>
    </row>
    <row r="275" spans="1:12" x14ac:dyDescent="0.2">
      <c r="A275" s="1526" t="s">
        <v>423</v>
      </c>
      <c r="B275" s="615">
        <v>2640</v>
      </c>
      <c r="C275" s="617"/>
      <c r="D275" s="466"/>
      <c r="E275" s="617"/>
      <c r="F275" s="617"/>
      <c r="G275" s="617"/>
      <c r="H275" s="617"/>
      <c r="I275" s="617"/>
      <c r="J275" s="617"/>
      <c r="K275" s="1692">
        <f>D275</f>
        <v>0</v>
      </c>
      <c r="L275" s="466"/>
    </row>
    <row r="276" spans="1:12" x14ac:dyDescent="0.2">
      <c r="A276" s="1526"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0</v>
      </c>
      <c r="E279" s="617"/>
      <c r="F279" s="617"/>
      <c r="G279" s="617"/>
      <c r="H279" s="617"/>
      <c r="I279" s="617"/>
      <c r="J279" s="617"/>
      <c r="K279" s="1697">
        <f>SUM(K238,K243,K257,K261,K270,K277,K278)</f>
        <v>0</v>
      </c>
      <c r="L279" s="1697">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699">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1955</v>
      </c>
      <c r="C282" s="617"/>
      <c r="D282" s="467"/>
      <c r="E282" s="617"/>
      <c r="F282" s="617"/>
      <c r="G282" s="617"/>
      <c r="H282" s="617"/>
      <c r="I282" s="617"/>
      <c r="J282" s="617"/>
      <c r="K282" s="1691">
        <f>D282</f>
        <v>0</v>
      </c>
      <c r="L282" s="467"/>
    </row>
    <row r="283" spans="1:12" x14ac:dyDescent="0.2">
      <c r="A283" s="1526" t="s">
        <v>322</v>
      </c>
      <c r="B283" s="615">
        <v>4120</v>
      </c>
      <c r="C283" s="617"/>
      <c r="D283" s="466"/>
      <c r="E283" s="617"/>
      <c r="F283" s="617"/>
      <c r="G283" s="617"/>
      <c r="H283" s="617"/>
      <c r="I283" s="617"/>
      <c r="J283" s="617"/>
      <c r="K283" s="1691">
        <f>D283</f>
        <v>0</v>
      </c>
      <c r="L283" s="466"/>
    </row>
    <row r="284" spans="1:12" x14ac:dyDescent="0.2">
      <c r="A284" s="1526"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row>
    <row r="289" spans="1:14" x14ac:dyDescent="0.2">
      <c r="A289" s="1526" t="s">
        <v>90</v>
      </c>
      <c r="B289" s="615">
        <v>5120</v>
      </c>
      <c r="C289" s="617"/>
      <c r="D289" s="617"/>
      <c r="E289" s="617"/>
      <c r="F289" s="617"/>
      <c r="G289" s="617"/>
      <c r="H289" s="466"/>
      <c r="I289" s="617"/>
      <c r="J289" s="617"/>
      <c r="K289" s="1691">
        <f>H289</f>
        <v>0</v>
      </c>
      <c r="L289" s="466"/>
    </row>
    <row r="290" spans="1:14" ht="12.75" customHeight="1" x14ac:dyDescent="0.2">
      <c r="A290" s="1526" t="s">
        <v>1232</v>
      </c>
      <c r="B290" s="629" t="s">
        <v>638</v>
      </c>
      <c r="C290" s="617"/>
      <c r="D290" s="617"/>
      <c r="E290" s="617"/>
      <c r="F290" s="617"/>
      <c r="G290" s="617"/>
      <c r="H290" s="466"/>
      <c r="I290" s="617"/>
      <c r="J290" s="617"/>
      <c r="K290" s="1691">
        <f>H290</f>
        <v>0</v>
      </c>
      <c r="L290" s="466"/>
    </row>
    <row r="291" spans="1:14" x14ac:dyDescent="0.2">
      <c r="A291" s="1526" t="s">
        <v>91</v>
      </c>
      <c r="B291" s="615" t="s">
        <v>610</v>
      </c>
      <c r="C291" s="617"/>
      <c r="D291" s="617"/>
      <c r="E291" s="617"/>
      <c r="F291" s="617"/>
      <c r="G291" s="617"/>
      <c r="H291" s="466"/>
      <c r="I291" s="617"/>
      <c r="J291" s="617"/>
      <c r="K291" s="1691">
        <f>H291</f>
        <v>0</v>
      </c>
      <c r="L291" s="466"/>
    </row>
    <row r="292" spans="1:14" x14ac:dyDescent="0.2">
      <c r="A292" s="1526"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4" t="s">
        <v>526</v>
      </c>
      <c r="B295" s="2195"/>
      <c r="C295" s="617"/>
      <c r="D295" s="1690">
        <f>SUM(D229,D279,D280,D285)</f>
        <v>0</v>
      </c>
      <c r="E295" s="617"/>
      <c r="F295" s="617"/>
      <c r="G295" s="617"/>
      <c r="H295" s="1690">
        <f>H293</f>
        <v>0</v>
      </c>
      <c r="I295" s="617"/>
      <c r="J295" s="617"/>
      <c r="K295" s="1690">
        <f>SUM(K229,K279,K280,K285,K293,K294)</f>
        <v>0</v>
      </c>
      <c r="L295" s="1690">
        <f>SUM(L229,L279,L280,L285,L293,L294)</f>
        <v>0</v>
      </c>
    </row>
    <row r="296" spans="1:14" ht="13.5" thickTop="1" x14ac:dyDescent="0.2">
      <c r="A296" s="2176" t="s">
        <v>1053</v>
      </c>
      <c r="B296" s="2177"/>
      <c r="C296" s="617"/>
      <c r="D296" s="619"/>
      <c r="E296" s="617"/>
      <c r="F296" s="617"/>
      <c r="G296" s="617"/>
      <c r="H296" s="688"/>
      <c r="I296" s="617"/>
      <c r="J296" s="617"/>
      <c r="K296" s="1704">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1">
        <f>SUM(C301:J301)</f>
        <v>0</v>
      </c>
      <c r="L301" s="467"/>
    </row>
    <row r="302" spans="1:14" ht="13.5" customHeight="1" x14ac:dyDescent="0.2">
      <c r="A302" s="1539" t="s">
        <v>1037</v>
      </c>
      <c r="B302" s="615" t="s">
        <v>595</v>
      </c>
      <c r="C302" s="466"/>
      <c r="D302" s="466"/>
      <c r="E302" s="466"/>
      <c r="F302" s="466"/>
      <c r="G302" s="466"/>
      <c r="H302" s="466">
        <v>10</v>
      </c>
      <c r="I302" s="467"/>
      <c r="J302" s="467"/>
      <c r="K302" s="1691">
        <f>SUM(C302:J302)</f>
        <v>10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10</v>
      </c>
      <c r="I303" s="1697">
        <f t="shared" si="23"/>
        <v>0</v>
      </c>
      <c r="J303" s="1697">
        <f t="shared" si="23"/>
        <v>0</v>
      </c>
      <c r="K303" s="1697">
        <f t="shared" si="23"/>
        <v>10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1">
        <f>SUM(E306,H306)</f>
        <v>0</v>
      </c>
      <c r="L306" s="467"/>
    </row>
    <row r="307" spans="1:14" x14ac:dyDescent="0.2">
      <c r="A307" s="1526" t="s">
        <v>322</v>
      </c>
      <c r="B307" s="615">
        <v>4120</v>
      </c>
      <c r="C307" s="617"/>
      <c r="D307" s="617"/>
      <c r="E307" s="467"/>
      <c r="F307" s="617"/>
      <c r="G307" s="617"/>
      <c r="H307" s="467"/>
      <c r="I307" s="477"/>
      <c r="J307" s="617"/>
      <c r="K307" s="1691">
        <f>SUM(E307,H307)</f>
        <v>0</v>
      </c>
      <c r="L307" s="466"/>
    </row>
    <row r="308" spans="1:14" x14ac:dyDescent="0.2">
      <c r="A308" s="1526" t="s">
        <v>721</v>
      </c>
      <c r="B308" s="615">
        <v>4140</v>
      </c>
      <c r="C308" s="617"/>
      <c r="D308" s="617"/>
      <c r="E308" s="467"/>
      <c r="F308" s="617"/>
      <c r="G308" s="617"/>
      <c r="H308" s="467"/>
      <c r="I308" s="477"/>
      <c r="J308" s="617"/>
      <c r="K308" s="1691">
        <f>SUM(E308,H308)</f>
        <v>0</v>
      </c>
      <c r="L308" s="466"/>
    </row>
    <row r="309" spans="1:14" ht="12.75" customHeight="1" x14ac:dyDescent="0.2">
      <c r="A309" s="1530"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1" t="s">
        <v>295</v>
      </c>
      <c r="B312" s="2192"/>
      <c r="C312" s="1690">
        <f>SUM(C303)</f>
        <v>0</v>
      </c>
      <c r="D312" s="1690">
        <f>SUM(D303)</f>
        <v>0</v>
      </c>
      <c r="E312" s="1690">
        <f>SUM(E303,E310)</f>
        <v>0</v>
      </c>
      <c r="F312" s="1690">
        <f>SUM(F303)</f>
        <v>0</v>
      </c>
      <c r="G312" s="1690">
        <f>SUM(G303)</f>
        <v>0</v>
      </c>
      <c r="H312" s="1690">
        <f>SUM(H303,H310)</f>
        <v>10</v>
      </c>
      <c r="I312" s="1690">
        <f>SUM(I303)</f>
        <v>0</v>
      </c>
      <c r="J312" s="1690">
        <f>SUM(J303)</f>
        <v>0</v>
      </c>
      <c r="K312" s="1690">
        <f>SUM(K303,K310,K311)</f>
        <v>10</v>
      </c>
      <c r="L312" s="1690">
        <f>SUM(L303,L310,L311)</f>
        <v>0</v>
      </c>
      <c r="M312" s="666"/>
      <c r="N312" s="666"/>
    </row>
    <row r="313" spans="1:14" ht="13.5" thickTop="1" x14ac:dyDescent="0.2">
      <c r="A313" s="2187" t="s">
        <v>1053</v>
      </c>
      <c r="B313" s="2188"/>
      <c r="C313" s="627"/>
      <c r="D313" s="627"/>
      <c r="E313" s="627"/>
      <c r="F313" s="627"/>
      <c r="G313" s="627"/>
      <c r="H313" s="627"/>
      <c r="I313" s="627"/>
      <c r="J313" s="627"/>
      <c r="K313" s="1705">
        <f>'Revenues 9-14'!H275-'Expenditures 15-22'!K312</f>
        <v>5429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5" t="s">
        <v>1906</v>
      </c>
      <c r="B320" s="699" t="s">
        <v>300</v>
      </c>
      <c r="C320" s="467"/>
      <c r="D320" s="467"/>
      <c r="E320" s="467"/>
      <c r="F320" s="467"/>
      <c r="G320" s="467"/>
      <c r="H320" s="467"/>
      <c r="I320" s="467"/>
      <c r="J320" s="467"/>
      <c r="K320" s="1691">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1">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1">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1">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6"/>
      <c r="N330" s="666"/>
    </row>
    <row r="331" spans="1:14" s="675" customFormat="1" ht="12.75" customHeight="1" thickTop="1" x14ac:dyDescent="0.2">
      <c r="A331" s="1852" t="s">
        <v>1961</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1955</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1957</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1962</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row>
    <row r="338" spans="1:14" ht="12.75" customHeight="1" x14ac:dyDescent="0.2">
      <c r="A338" s="1540" t="s">
        <v>1232</v>
      </c>
      <c r="B338" s="691" t="s">
        <v>638</v>
      </c>
      <c r="C338" s="639"/>
      <c r="D338" s="639"/>
      <c r="E338" s="639"/>
      <c r="F338" s="639"/>
      <c r="G338" s="639"/>
      <c r="H338" s="478"/>
      <c r="I338" s="639"/>
      <c r="J338" s="639"/>
      <c r="K338" s="1691">
        <f>H338</f>
        <v>0</v>
      </c>
      <c r="L338" s="478"/>
    </row>
    <row r="339" spans="1:14" x14ac:dyDescent="0.2">
      <c r="A339" s="1526"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x14ac:dyDescent="0.2">
      <c r="A343" s="2189" t="s">
        <v>1053</v>
      </c>
      <c r="B343" s="2190"/>
      <c r="C343" s="617"/>
      <c r="D343" s="617"/>
      <c r="E343" s="617"/>
      <c r="F343" s="617"/>
      <c r="G343" s="617"/>
      <c r="H343" s="617"/>
      <c r="I343" s="617"/>
      <c r="J343" s="617"/>
      <c r="K343" s="1704">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row>
    <row r="349" spans="1:14" x14ac:dyDescent="0.2">
      <c r="A349" s="1526"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1963</v>
      </c>
      <c r="B354" s="684" t="s">
        <v>1955</v>
      </c>
      <c r="C354" s="617"/>
      <c r="D354" s="617"/>
      <c r="E354" s="617"/>
      <c r="F354" s="617"/>
      <c r="G354" s="617"/>
      <c r="H354" s="474"/>
      <c r="I354" s="702"/>
      <c r="J354" s="617"/>
      <c r="K354" s="1719">
        <f>H354</f>
        <v>0</v>
      </c>
      <c r="L354" s="471"/>
    </row>
    <row r="355" spans="1:14" ht="12.75" customHeight="1" x14ac:dyDescent="0.2">
      <c r="A355" s="1535" t="s">
        <v>1964</v>
      </c>
      <c r="B355" s="691" t="s">
        <v>1957</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row>
    <row r="361" spans="1:14" ht="12.75" customHeight="1" x14ac:dyDescent="0.2">
      <c r="A361" s="1527"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176" t="s">
        <v>1053</v>
      </c>
      <c r="B368" s="2177"/>
      <c r="C368" s="655"/>
      <c r="D368" s="655"/>
      <c r="E368" s="627"/>
      <c r="F368" s="627"/>
      <c r="G368" s="627"/>
      <c r="H368" s="627"/>
      <c r="I368" s="627"/>
      <c r="J368" s="624"/>
      <c r="K368" s="1691">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notes to the financial statments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2" sqref="A22"/>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3" t="s">
        <v>1903</v>
      </c>
      <c r="B2" s="1550" t="s">
        <v>2035</v>
      </c>
      <c r="C2" s="715" t="s">
        <v>1908</v>
      </c>
      <c r="D2" s="715" t="s">
        <v>1909</v>
      </c>
      <c r="E2" s="715" t="s">
        <v>1910</v>
      </c>
      <c r="F2" s="715" t="s">
        <v>1911</v>
      </c>
    </row>
    <row r="3" spans="1:6" ht="12" customHeight="1" x14ac:dyDescent="0.2">
      <c r="A3" s="2204"/>
      <c r="B3" s="1547"/>
      <c r="C3" s="1548"/>
      <c r="D3" s="1549" t="s">
        <v>274</v>
      </c>
      <c r="E3" s="1548"/>
      <c r="F3" s="1549" t="s">
        <v>275</v>
      </c>
    </row>
    <row r="4" spans="1:6" ht="13.7" customHeight="1" x14ac:dyDescent="0.2">
      <c r="A4" s="716" t="s">
        <v>1217</v>
      </c>
      <c r="B4" s="1769">
        <f>'Revenues 9-14'!C5</f>
        <v>0</v>
      </c>
      <c r="C4" s="1546"/>
      <c r="D4" s="1772">
        <f>B4-C4</f>
        <v>0</v>
      </c>
      <c r="E4" s="1546"/>
      <c r="F4" s="1772">
        <f>E4-C4</f>
        <v>0</v>
      </c>
    </row>
    <row r="5" spans="1:6" ht="13.7" customHeight="1" x14ac:dyDescent="0.2">
      <c r="A5" s="716" t="s">
        <v>925</v>
      </c>
      <c r="B5" s="1770">
        <f>'Revenues 9-14'!D5</f>
        <v>0</v>
      </c>
      <c r="C5" s="585"/>
      <c r="D5" s="1773">
        <f t="shared" ref="D5:D18" si="0">B5-C5</f>
        <v>0</v>
      </c>
      <c r="E5" s="585"/>
      <c r="F5" s="1773">
        <f>E5-C5</f>
        <v>0</v>
      </c>
    </row>
    <row r="6" spans="1:6" ht="13.7" customHeight="1" x14ac:dyDescent="0.2">
      <c r="A6" s="716" t="s">
        <v>431</v>
      </c>
      <c r="B6" s="1770">
        <f>'Revenues 9-14'!E5</f>
        <v>0</v>
      </c>
      <c r="C6" s="585"/>
      <c r="D6" s="1773">
        <f t="shared" si="0"/>
        <v>0</v>
      </c>
      <c r="E6" s="585"/>
      <c r="F6" s="1773">
        <f t="shared" ref="F6:F18" si="1">E6-C6</f>
        <v>0</v>
      </c>
    </row>
    <row r="7" spans="1:6" ht="13.7" customHeight="1" x14ac:dyDescent="0.2">
      <c r="A7" s="716" t="s">
        <v>157</v>
      </c>
      <c r="B7" s="1770">
        <f>'Revenues 9-14'!F5</f>
        <v>0</v>
      </c>
      <c r="C7" s="585"/>
      <c r="D7" s="1773">
        <f t="shared" si="0"/>
        <v>0</v>
      </c>
      <c r="E7" s="585"/>
      <c r="F7" s="1773">
        <f t="shared" si="1"/>
        <v>0</v>
      </c>
    </row>
    <row r="8" spans="1:6" ht="13.7" customHeight="1" x14ac:dyDescent="0.2">
      <c r="A8" s="716" t="s">
        <v>1241</v>
      </c>
      <c r="B8" s="1770">
        <f>'Revenues 9-14'!G5</f>
        <v>0</v>
      </c>
      <c r="C8" s="585"/>
      <c r="D8" s="1773">
        <f t="shared" si="0"/>
        <v>0</v>
      </c>
      <c r="E8" s="585"/>
      <c r="F8" s="1773">
        <f t="shared" si="1"/>
        <v>0</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0</v>
      </c>
      <c r="C10" s="585"/>
      <c r="D10" s="1773">
        <f t="shared" si="0"/>
        <v>0</v>
      </c>
      <c r="E10" s="585"/>
      <c r="F10" s="1773">
        <f t="shared" si="1"/>
        <v>0</v>
      </c>
    </row>
    <row r="11" spans="1:6" x14ac:dyDescent="0.2">
      <c r="A11" s="716" t="s">
        <v>429</v>
      </c>
      <c r="B11" s="1770">
        <f>'Revenues 9-14'!J5</f>
        <v>0</v>
      </c>
      <c r="C11" s="585"/>
      <c r="D11" s="1773">
        <f t="shared" si="0"/>
        <v>0</v>
      </c>
      <c r="E11" s="585"/>
      <c r="F11" s="1773">
        <f t="shared" si="1"/>
        <v>0</v>
      </c>
    </row>
    <row r="12" spans="1:6" ht="13.7" customHeight="1" x14ac:dyDescent="0.2">
      <c r="A12" s="716" t="s">
        <v>159</v>
      </c>
      <c r="B12" s="1770">
        <f>'Revenues 9-14'!K5</f>
        <v>0</v>
      </c>
      <c r="C12" s="585"/>
      <c r="D12" s="1773">
        <f t="shared" si="0"/>
        <v>0</v>
      </c>
      <c r="E12" s="585"/>
      <c r="F12" s="1773">
        <f t="shared" si="1"/>
        <v>0</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0</v>
      </c>
      <c r="C14" s="585"/>
      <c r="D14" s="1773">
        <f t="shared" si="0"/>
        <v>0</v>
      </c>
      <c r="E14" s="585"/>
      <c r="F14" s="1773">
        <f t="shared" si="1"/>
        <v>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0</v>
      </c>
      <c r="C16" s="585"/>
      <c r="D16" s="1773">
        <f t="shared" si="0"/>
        <v>0</v>
      </c>
      <c r="E16" s="585"/>
      <c r="F16" s="1773">
        <f t="shared" si="1"/>
        <v>0</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0</v>
      </c>
      <c r="C19" s="1771">
        <f>SUM(C4:C18)</f>
        <v>0</v>
      </c>
      <c r="D19" s="1771">
        <f>SUM(D4:D18)</f>
        <v>0</v>
      </c>
      <c r="E19" s="1771">
        <f>SUM(E4:E18)</f>
        <v>0</v>
      </c>
      <c r="F19" s="1771">
        <f>SUM(F4:F18)</f>
        <v>0</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650</v>
      </c>
      <c r="B1" s="2223"/>
      <c r="C1" s="722"/>
    </row>
    <row r="2" spans="1:7" ht="33.75" x14ac:dyDescent="0.2">
      <c r="A2" s="2230" t="s">
        <v>1903</v>
      </c>
      <c r="B2" s="2231"/>
      <c r="C2" s="1905" t="s">
        <v>2036</v>
      </c>
      <c r="D2" s="724" t="s">
        <v>2043</v>
      </c>
      <c r="E2" s="724" t="s">
        <v>2044</v>
      </c>
      <c r="F2" s="1905" t="s">
        <v>2037</v>
      </c>
    </row>
    <row r="3" spans="1:7" ht="15.75" customHeight="1" x14ac:dyDescent="0.2">
      <c r="A3" s="2232" t="s">
        <v>1176</v>
      </c>
      <c r="B3" s="2233"/>
      <c r="C3" s="2226"/>
      <c r="D3" s="2227"/>
      <c r="E3" s="2227"/>
      <c r="F3" s="2228"/>
    </row>
    <row r="4" spans="1:7" ht="12.75" customHeight="1" thickBot="1" x14ac:dyDescent="0.25">
      <c r="A4" s="2220" t="s">
        <v>651</v>
      </c>
      <c r="B4" s="2221"/>
      <c r="C4" s="581"/>
      <c r="D4" s="581"/>
      <c r="E4" s="581"/>
      <c r="F4" s="1775">
        <f>SUM(C4+D4)-E4</f>
        <v>0</v>
      </c>
    </row>
    <row r="5" spans="1:7" ht="15.75" customHeight="1" thickTop="1" x14ac:dyDescent="0.2">
      <c r="A5" s="2224" t="s">
        <v>1172</v>
      </c>
      <c r="B5" s="2219"/>
      <c r="C5" s="2213"/>
      <c r="D5" s="2214"/>
      <c r="E5" s="2214"/>
      <c r="F5" s="2215"/>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6" t="s">
        <v>652</v>
      </c>
      <c r="B15" s="2217"/>
      <c r="C15" s="1775">
        <f>SUM(C6:C14)</f>
        <v>0</v>
      </c>
      <c r="D15" s="1775">
        <f>SUM(D6:D14)</f>
        <v>0</v>
      </c>
      <c r="E15" s="1775">
        <f>SUM(E6:E14)</f>
        <v>0</v>
      </c>
      <c r="F15" s="1775">
        <f>SUM(F6:F14)</f>
        <v>0</v>
      </c>
      <c r="G15" s="552"/>
    </row>
    <row r="16" spans="1:7" s="202" customFormat="1" ht="15.75" customHeight="1" thickTop="1" x14ac:dyDescent="0.2">
      <c r="A16" s="2229" t="s">
        <v>1173</v>
      </c>
      <c r="B16" s="2219"/>
      <c r="C16" s="2213"/>
      <c r="D16" s="2214"/>
      <c r="E16" s="2214"/>
      <c r="F16" s="2215"/>
    </row>
    <row r="17" spans="1:11" ht="12.75" customHeight="1" thickBot="1" x14ac:dyDescent="0.25">
      <c r="A17" s="2211" t="s">
        <v>66</v>
      </c>
      <c r="B17" s="2212"/>
      <c r="C17" s="727"/>
      <c r="D17" s="585"/>
      <c r="E17" s="727"/>
      <c r="F17" s="1775">
        <f>SUM(C17+D17)-E17</f>
        <v>0</v>
      </c>
    </row>
    <row r="18" spans="1:11" ht="12.75" customHeight="1" thickTop="1" thickBot="1" x14ac:dyDescent="0.25">
      <c r="A18" s="2211" t="s">
        <v>6</v>
      </c>
      <c r="B18" s="2212"/>
      <c r="C18" s="727"/>
      <c r="D18" s="585"/>
      <c r="E18" s="727"/>
      <c r="F18" s="1775">
        <f>SUM(C18+D18)-E18</f>
        <v>0</v>
      </c>
    </row>
    <row r="19" spans="1:11" ht="12.75" customHeight="1" thickTop="1" thickBot="1" x14ac:dyDescent="0.25">
      <c r="A19" s="2211" t="s">
        <v>406</v>
      </c>
      <c r="B19" s="2212"/>
      <c r="C19" s="727"/>
      <c r="D19" s="585"/>
      <c r="E19" s="727"/>
      <c r="F19" s="1775">
        <f>SUM(C19+D19)-E19</f>
        <v>0</v>
      </c>
    </row>
    <row r="20" spans="1:11" ht="12.75" customHeight="1" thickTop="1" thickBot="1" x14ac:dyDescent="0.25">
      <c r="A20" s="2211" t="s">
        <v>468</v>
      </c>
      <c r="B20" s="2212"/>
      <c r="C20" s="727"/>
      <c r="D20" s="585"/>
      <c r="E20" s="727"/>
      <c r="F20" s="1775">
        <f>SUM(C20+D20)-E20</f>
        <v>0</v>
      </c>
    </row>
    <row r="21" spans="1:11" ht="14.25" thickTop="1" thickBot="1" x14ac:dyDescent="0.25">
      <c r="A21" s="2216" t="s">
        <v>653</v>
      </c>
      <c r="B21" s="2217"/>
      <c r="C21" s="1775">
        <f>SUM(C17:C20)</f>
        <v>0</v>
      </c>
      <c r="D21" s="1775">
        <f>SUM(D17:D20)</f>
        <v>0</v>
      </c>
      <c r="E21" s="1775">
        <f>SUM(E17:E20)</f>
        <v>0</v>
      </c>
      <c r="F21" s="1775">
        <f>SUM(F17:F20)</f>
        <v>0</v>
      </c>
      <c r="G21" s="552"/>
    </row>
    <row r="22" spans="1:11" ht="15.75" customHeight="1" thickTop="1" x14ac:dyDescent="0.2">
      <c r="A22" s="2218" t="s">
        <v>1174</v>
      </c>
      <c r="B22" s="2219"/>
      <c r="C22" s="2213"/>
      <c r="D22" s="2214"/>
      <c r="E22" s="2214"/>
      <c r="F22" s="2215"/>
    </row>
    <row r="23" spans="1:11" ht="13.5" thickBot="1" x14ac:dyDescent="0.25">
      <c r="A23" s="2220" t="s">
        <v>654</v>
      </c>
      <c r="B23" s="2221"/>
      <c r="C23" s="581"/>
      <c r="D23" s="581"/>
      <c r="E23" s="581"/>
      <c r="F23" s="1775">
        <f>SUM(C23+D23)-E23</f>
        <v>0</v>
      </c>
      <c r="G23" s="552"/>
    </row>
    <row r="24" spans="1:11" ht="15.75" customHeight="1" thickTop="1" x14ac:dyDescent="0.2">
      <c r="A24" s="2218" t="s">
        <v>1175</v>
      </c>
      <c r="B24" s="2219"/>
      <c r="C24" s="2213"/>
      <c r="D24" s="2214"/>
      <c r="E24" s="2214"/>
      <c r="F24" s="2215"/>
    </row>
    <row r="25" spans="1:11" ht="13.5" thickBot="1" x14ac:dyDescent="0.25">
      <c r="A25" s="2220" t="s">
        <v>655</v>
      </c>
      <c r="B25" s="2221"/>
      <c r="C25" s="581"/>
      <c r="D25" s="581"/>
      <c r="E25" s="581"/>
      <c r="F25" s="1775">
        <f>SUM(C25+D25)-E25</f>
        <v>0</v>
      </c>
      <c r="G25" s="552"/>
    </row>
    <row r="26" spans="1:11" ht="15.75" customHeight="1" thickTop="1" x14ac:dyDescent="0.2">
      <c r="A26" s="2224" t="s">
        <v>678</v>
      </c>
      <c r="B26" s="2219"/>
      <c r="C26" s="728"/>
      <c r="D26" s="728"/>
      <c r="E26" s="728"/>
      <c r="F26" s="729"/>
    </row>
    <row r="27" spans="1:11" ht="13.5" thickBot="1" x14ac:dyDescent="0.25">
      <c r="A27" s="2216" t="s">
        <v>1130</v>
      </c>
      <c r="B27" s="2217"/>
      <c r="C27" s="585"/>
      <c r="D27" s="585"/>
      <c r="E27" s="585"/>
      <c r="F27" s="1775">
        <f>SUM(C27+D27)-E27</f>
        <v>0</v>
      </c>
      <c r="G27" s="552"/>
    </row>
    <row r="28" spans="1:11" ht="7.5" customHeight="1" thickTop="1" x14ac:dyDescent="0.2">
      <c r="A28" s="594"/>
    </row>
    <row r="29" spans="1:11" ht="23.25" customHeight="1" x14ac:dyDescent="0.2">
      <c r="A29" s="2222" t="s">
        <v>603</v>
      </c>
      <c r="B29" s="2223"/>
      <c r="C29" s="730"/>
      <c r="D29" s="730"/>
      <c r="E29" s="730"/>
      <c r="F29" s="730"/>
      <c r="G29" s="730"/>
      <c r="H29" s="730"/>
      <c r="I29" s="730"/>
      <c r="J29" s="730"/>
    </row>
    <row r="30" spans="1:11" ht="33.75" x14ac:dyDescent="0.2">
      <c r="A30" s="1551" t="s">
        <v>1131</v>
      </c>
      <c r="B30" s="731" t="s">
        <v>1186</v>
      </c>
      <c r="C30" s="1906" t="s">
        <v>604</v>
      </c>
      <c r="D30" s="1906" t="s">
        <v>1772</v>
      </c>
      <c r="E30" s="1906" t="s">
        <v>2038</v>
      </c>
      <c r="F30" s="1906" t="s">
        <v>2039</v>
      </c>
      <c r="G30" s="1906" t="s">
        <v>2042</v>
      </c>
      <c r="H30" s="1906" t="s">
        <v>2040</v>
      </c>
      <c r="I30" s="1906" t="s">
        <v>2041</v>
      </c>
      <c r="J30" s="1907" t="s">
        <v>2</v>
      </c>
      <c r="K30" s="732"/>
    </row>
    <row r="31" spans="1:11" ht="12" customHeight="1" x14ac:dyDescent="0.2">
      <c r="A31" s="733" t="s">
        <v>2091</v>
      </c>
      <c r="B31" s="734">
        <v>37747</v>
      </c>
      <c r="C31" s="735">
        <v>1550000</v>
      </c>
      <c r="D31" s="736">
        <v>7</v>
      </c>
      <c r="E31" s="735">
        <v>200000</v>
      </c>
      <c r="F31" s="735"/>
      <c r="G31" s="735"/>
      <c r="H31" s="735">
        <v>100000</v>
      </c>
      <c r="I31" s="1776">
        <f>((E31+F31)-H31)+G31</f>
        <v>100000</v>
      </c>
      <c r="J31" s="735">
        <v>100000</v>
      </c>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t="s">
        <v>2092</v>
      </c>
      <c r="B33" s="734"/>
      <c r="C33" s="735"/>
      <c r="D33" s="736">
        <v>8</v>
      </c>
      <c r="E33" s="735">
        <v>156480</v>
      </c>
      <c r="F33" s="735"/>
      <c r="G33" s="735">
        <v>-10891</v>
      </c>
      <c r="H33" s="735"/>
      <c r="I33" s="1776">
        <f t="shared" ref="I33:I48" si="1">((E33+F33)-H33)+G33</f>
        <v>145589</v>
      </c>
      <c r="J33" s="735">
        <v>145589</v>
      </c>
      <c r="K33" s="737"/>
    </row>
    <row r="34" spans="1:11" ht="12" customHeight="1" x14ac:dyDescent="0.2">
      <c r="A34" s="733" t="s">
        <v>2093</v>
      </c>
      <c r="B34" s="734"/>
      <c r="C34" s="735"/>
      <c r="D34" s="736">
        <v>8</v>
      </c>
      <c r="E34" s="735">
        <v>105475</v>
      </c>
      <c r="F34" s="735"/>
      <c r="G34" s="735">
        <v>-105475</v>
      </c>
      <c r="H34" s="735"/>
      <c r="I34" s="1776">
        <f t="shared" si="1"/>
        <v>0</v>
      </c>
      <c r="J34" s="735"/>
      <c r="K34" s="738"/>
    </row>
    <row r="35" spans="1:11" ht="12" customHeight="1" x14ac:dyDescent="0.2">
      <c r="A35" s="733" t="s">
        <v>2133</v>
      </c>
      <c r="B35" s="734"/>
      <c r="C35" s="739"/>
      <c r="D35" s="736">
        <v>9</v>
      </c>
      <c r="E35" s="739">
        <v>1412260</v>
      </c>
      <c r="F35" s="739"/>
      <c r="G35" s="739">
        <v>-20823</v>
      </c>
      <c r="H35" s="739"/>
      <c r="I35" s="1776">
        <f t="shared" si="1"/>
        <v>1391437</v>
      </c>
      <c r="J35" s="739">
        <v>1391437</v>
      </c>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1550000</v>
      </c>
      <c r="D49" s="746"/>
      <c r="E49" s="1776">
        <f t="shared" ref="E49:J49" si="2">SUM(E31:E48)</f>
        <v>1874215</v>
      </c>
      <c r="F49" s="1776">
        <f t="shared" si="2"/>
        <v>0</v>
      </c>
      <c r="G49" s="1776">
        <f t="shared" si="2"/>
        <v>-137189</v>
      </c>
      <c r="H49" s="1776">
        <f t="shared" si="2"/>
        <v>100000</v>
      </c>
      <c r="I49" s="1776">
        <f t="shared" si="2"/>
        <v>1637026</v>
      </c>
      <c r="J49" s="1776">
        <f t="shared" si="2"/>
        <v>1637026</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05" t="s">
        <v>605</v>
      </c>
      <c r="C52" s="2206"/>
      <c r="D52" s="2206"/>
      <c r="E52" s="750" t="s">
        <v>900</v>
      </c>
      <c r="F52" s="2207" t="s">
        <v>2094</v>
      </c>
      <c r="G52" s="2208"/>
      <c r="H52" s="737"/>
      <c r="I52" s="737"/>
      <c r="J52" s="747"/>
    </row>
    <row r="53" spans="1:11" ht="11.25" customHeight="1" x14ac:dyDescent="0.2">
      <c r="A53" s="751" t="s">
        <v>969</v>
      </c>
      <c r="B53" s="752" t="s">
        <v>1008</v>
      </c>
      <c r="C53" s="747"/>
      <c r="D53" s="738"/>
      <c r="E53" s="750" t="s">
        <v>518</v>
      </c>
      <c r="F53" s="2209" t="s">
        <v>2095</v>
      </c>
      <c r="G53" s="2210"/>
      <c r="H53" s="737"/>
      <c r="I53" s="737"/>
      <c r="J53" s="747"/>
    </row>
    <row r="54" spans="1:11" ht="11.25" customHeight="1" x14ac:dyDescent="0.2">
      <c r="A54" s="753" t="s">
        <v>970</v>
      </c>
      <c r="B54" s="748" t="s">
        <v>1009</v>
      </c>
      <c r="C54" s="747"/>
      <c r="D54" s="738"/>
      <c r="E54" s="750" t="s">
        <v>519</v>
      </c>
      <c r="F54" s="2209" t="s">
        <v>2134</v>
      </c>
      <c r="G54" s="221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911</v>
      </c>
      <c r="B1" s="2235"/>
      <c r="C1" s="2235"/>
      <c r="D1" s="2235"/>
      <c r="E1" s="2235"/>
      <c r="F1" s="2235"/>
      <c r="G1" s="2236"/>
      <c r="H1" s="1552"/>
      <c r="I1" s="761"/>
      <c r="J1" s="433"/>
    </row>
    <row r="2" spans="1:11" ht="26.25" x14ac:dyDescent="0.2">
      <c r="A2" s="2253" t="s">
        <v>1776</v>
      </c>
      <c r="B2" s="2254"/>
      <c r="C2" s="2254"/>
      <c r="D2" s="2254"/>
      <c r="E2" s="2255"/>
      <c r="F2" s="762" t="s">
        <v>960</v>
      </c>
      <c r="G2" s="763" t="s">
        <v>1773</v>
      </c>
      <c r="H2" s="763" t="s">
        <v>430</v>
      </c>
      <c r="I2" s="763" t="s">
        <v>1220</v>
      </c>
      <c r="J2" s="763" t="s">
        <v>1917</v>
      </c>
      <c r="K2" s="763" t="s">
        <v>140</v>
      </c>
    </row>
    <row r="3" spans="1:11" x14ac:dyDescent="0.2">
      <c r="A3" s="2256" t="s">
        <v>1698</v>
      </c>
      <c r="B3" s="2257"/>
      <c r="C3" s="2257"/>
      <c r="D3" s="2257"/>
      <c r="E3" s="2258"/>
      <c r="F3" s="764"/>
      <c r="G3" s="765"/>
      <c r="H3" s="765"/>
      <c r="I3" s="765"/>
      <c r="J3" s="766"/>
      <c r="K3" s="766"/>
    </row>
    <row r="4" spans="1:11" x14ac:dyDescent="0.2">
      <c r="A4" s="2259" t="s">
        <v>387</v>
      </c>
      <c r="B4" s="2260"/>
      <c r="C4" s="2260"/>
      <c r="D4" s="2260"/>
      <c r="E4" s="2206"/>
      <c r="F4" s="767"/>
      <c r="G4" s="768"/>
      <c r="H4" s="769"/>
      <c r="I4" s="768"/>
      <c r="J4" s="770"/>
      <c r="K4" s="770"/>
    </row>
    <row r="5" spans="1:11" x14ac:dyDescent="0.2">
      <c r="A5" s="2237" t="s">
        <v>1129</v>
      </c>
      <c r="B5" s="2238"/>
      <c r="C5" s="2238"/>
      <c r="D5" s="2238"/>
      <c r="E5" s="223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7" t="s">
        <v>1918</v>
      </c>
      <c r="B10" s="2238"/>
      <c r="C10" s="2238"/>
      <c r="D10" s="2238"/>
      <c r="E10" s="2240"/>
      <c r="F10" s="784" t="s">
        <v>917</v>
      </c>
      <c r="G10" s="783"/>
      <c r="H10" s="785"/>
      <c r="I10" s="765"/>
      <c r="J10" s="766"/>
      <c r="K10" s="766"/>
    </row>
    <row r="11" spans="1:11" x14ac:dyDescent="0.2">
      <c r="A11" s="2237" t="s">
        <v>162</v>
      </c>
      <c r="B11" s="2238"/>
      <c r="C11" s="2238"/>
      <c r="D11" s="2238"/>
      <c r="E11" s="2239"/>
      <c r="F11" s="771" t="s">
        <v>907</v>
      </c>
      <c r="G11" s="772"/>
      <c r="H11" s="765"/>
      <c r="I11" s="765"/>
      <c r="J11" s="766"/>
      <c r="K11" s="774"/>
    </row>
    <row r="12" spans="1:11" ht="13.5" thickBot="1" x14ac:dyDescent="0.25">
      <c r="A12" s="2264" t="s">
        <v>961</v>
      </c>
      <c r="B12" s="2265"/>
      <c r="C12" s="2265"/>
      <c r="D12" s="2265"/>
      <c r="E12" s="2266"/>
      <c r="F12" s="1777"/>
      <c r="G12" s="1778">
        <f>SUM(G5:G11)</f>
        <v>0</v>
      </c>
      <c r="H12" s="1778">
        <f>SUM(H5:H11)</f>
        <v>0</v>
      </c>
      <c r="I12" s="1778">
        <f>SUM(I5:I11)</f>
        <v>0</v>
      </c>
      <c r="J12" s="1778">
        <f>SUM(J5:J11)</f>
        <v>0</v>
      </c>
      <c r="K12" s="1778">
        <f>SUM(K5:K11)</f>
        <v>0</v>
      </c>
    </row>
    <row r="13" spans="1:11" ht="13.5" thickTop="1" x14ac:dyDescent="0.2">
      <c r="A13" s="2261" t="s">
        <v>388</v>
      </c>
      <c r="B13" s="2262"/>
      <c r="C13" s="2262"/>
      <c r="D13" s="2262"/>
      <c r="E13" s="2263"/>
      <c r="F13" s="786"/>
      <c r="G13" s="787"/>
      <c r="H13" s="788"/>
      <c r="I13" s="789"/>
      <c r="J13" s="789"/>
      <c r="K13" s="789"/>
    </row>
    <row r="14" spans="1:11" x14ac:dyDescent="0.2">
      <c r="A14" s="2244" t="s">
        <v>476</v>
      </c>
      <c r="B14" s="2244"/>
      <c r="C14" s="2244"/>
      <c r="D14" s="2244"/>
      <c r="E14" s="2245"/>
      <c r="F14" s="790" t="s">
        <v>909</v>
      </c>
      <c r="G14" s="783"/>
      <c r="H14" s="765"/>
      <c r="I14" s="772"/>
      <c r="J14" s="774"/>
      <c r="K14" s="766"/>
    </row>
    <row r="15" spans="1:11" x14ac:dyDescent="0.2">
      <c r="A15" s="2238" t="s">
        <v>4</v>
      </c>
      <c r="B15" s="2238"/>
      <c r="C15" s="2238"/>
      <c r="D15" s="2238"/>
      <c r="E15" s="2239"/>
      <c r="F15" s="790" t="s">
        <v>910</v>
      </c>
      <c r="G15" s="772"/>
      <c r="H15" s="765"/>
      <c r="I15" s="765"/>
      <c r="J15" s="766"/>
      <c r="K15" s="766"/>
    </row>
    <row r="16" spans="1:11" x14ac:dyDescent="0.2">
      <c r="A16" s="2238" t="s">
        <v>316</v>
      </c>
      <c r="B16" s="2238"/>
      <c r="C16" s="2238"/>
      <c r="D16" s="2238"/>
      <c r="E16" s="2239"/>
      <c r="F16" s="790" t="s">
        <v>980</v>
      </c>
      <c r="G16" s="773"/>
      <c r="H16" s="768"/>
      <c r="I16" s="768"/>
      <c r="J16" s="770"/>
      <c r="K16" s="770"/>
    </row>
    <row r="17" spans="1:11" x14ac:dyDescent="0.2">
      <c r="A17" s="2269" t="s">
        <v>992</v>
      </c>
      <c r="B17" s="2269"/>
      <c r="C17" s="2269"/>
      <c r="D17" s="2269"/>
      <c r="E17" s="2270"/>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46" t="s">
        <v>1914</v>
      </c>
      <c r="B19" s="2246"/>
      <c r="C19" s="2246"/>
      <c r="D19" s="2246"/>
      <c r="E19" s="2247"/>
      <c r="F19" s="790" t="s">
        <v>990</v>
      </c>
      <c r="G19" s="783"/>
      <c r="H19" s="783"/>
      <c r="I19" s="783"/>
      <c r="J19" s="766"/>
      <c r="K19" s="796"/>
    </row>
    <row r="20" spans="1:11" x14ac:dyDescent="0.2">
      <c r="A20" s="2248" t="s">
        <v>1919</v>
      </c>
      <c r="B20" s="2249"/>
      <c r="C20" s="2249"/>
      <c r="D20" s="2249"/>
      <c r="E20" s="2250"/>
      <c r="F20" s="790" t="s">
        <v>991</v>
      </c>
      <c r="G20" s="783"/>
      <c r="H20" s="783"/>
      <c r="I20" s="783"/>
      <c r="J20" s="766"/>
      <c r="K20" s="796"/>
    </row>
    <row r="21" spans="1:11" ht="13.5" thickBot="1" x14ac:dyDescent="0.25">
      <c r="A21" s="2267" t="s">
        <v>659</v>
      </c>
      <c r="B21" s="2267"/>
      <c r="C21" s="2267"/>
      <c r="D21" s="2267"/>
      <c r="E21" s="2267"/>
      <c r="F21" s="1779"/>
      <c r="G21" s="793"/>
      <c r="H21" s="797"/>
      <c r="I21" s="797"/>
      <c r="J21" s="1780">
        <f>SUM(J18:J20)</f>
        <v>0</v>
      </c>
      <c r="K21" s="794"/>
    </row>
    <row r="22" spans="1:11" ht="13.5" thickTop="1" x14ac:dyDescent="0.2">
      <c r="A22" s="2238" t="s">
        <v>1920</v>
      </c>
      <c r="B22" s="2238"/>
      <c r="C22" s="2238"/>
      <c r="D22" s="2238"/>
      <c r="E22" s="2239"/>
      <c r="F22" s="790" t="s">
        <v>917</v>
      </c>
      <c r="G22" s="783"/>
      <c r="H22" s="765"/>
      <c r="I22" s="765"/>
      <c r="J22" s="798"/>
      <c r="K22" s="766"/>
    </row>
    <row r="23" spans="1:11" ht="13.5" thickBot="1" x14ac:dyDescent="0.25">
      <c r="A23" s="2268" t="s">
        <v>962</v>
      </c>
      <c r="B23" s="2267"/>
      <c r="C23" s="2267"/>
      <c r="D23" s="2267"/>
      <c r="E23" s="2267"/>
      <c r="F23" s="1781"/>
      <c r="G23" s="1778">
        <f>SUM(G14:G16,G21,G22)</f>
        <v>0</v>
      </c>
      <c r="H23" s="1778">
        <f>SUM(H14:H16,H21,H22)</f>
        <v>0</v>
      </c>
      <c r="I23" s="1778">
        <f>SUM(I14:I16,I21,I22)</f>
        <v>0</v>
      </c>
      <c r="J23" s="1778">
        <f>SUM(J14:J16,J21,J22)</f>
        <v>0</v>
      </c>
      <c r="K23" s="1778">
        <f>SUM(K14:K16,K21,K22)</f>
        <v>0</v>
      </c>
    </row>
    <row r="24" spans="1:11" ht="14.25" thickTop="1" thickBot="1" x14ac:dyDescent="0.25">
      <c r="A24" s="2268" t="s">
        <v>2024</v>
      </c>
      <c r="B24" s="2267"/>
      <c r="C24" s="2267"/>
      <c r="D24" s="2267"/>
      <c r="E24" s="2267"/>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2034</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1"/>
      <c r="I31" s="2242"/>
      <c r="J31" s="2242"/>
      <c r="K31" s="2242"/>
    </row>
    <row r="32" spans="1:11" x14ac:dyDescent="0.2">
      <c r="A32" s="810"/>
      <c r="B32" s="237"/>
      <c r="C32" s="237"/>
      <c r="D32" s="237"/>
      <c r="E32" s="806"/>
      <c r="F32" s="812" t="s">
        <v>561</v>
      </c>
      <c r="G32" s="765"/>
      <c r="H32" s="2243"/>
      <c r="I32" s="2242"/>
      <c r="J32" s="2242"/>
      <c r="K32" s="2242"/>
    </row>
    <row r="33" spans="1:11" ht="1.5" customHeight="1" x14ac:dyDescent="0.2">
      <c r="A33" s="813" t="s">
        <v>1231</v>
      </c>
      <c r="B33" s="364"/>
      <c r="C33" s="364"/>
      <c r="D33" s="364"/>
      <c r="E33" s="364"/>
      <c r="F33" s="364"/>
      <c r="G33" s="814"/>
      <c r="H33" s="2243"/>
      <c r="I33" s="2242"/>
      <c r="J33" s="2242"/>
      <c r="K33" s="2242"/>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8" t="s">
        <v>562</v>
      </c>
      <c r="B41" s="2251"/>
      <c r="C41" s="2251"/>
      <c r="D41" s="2251"/>
      <c r="E41" s="2251"/>
      <c r="F41" s="225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1915</v>
      </c>
      <c r="B46" s="408" t="s">
        <v>1774</v>
      </c>
    </row>
    <row r="47" spans="1:11" s="824" customFormat="1" ht="12.75" customHeight="1" x14ac:dyDescent="0.2">
      <c r="A47" s="822"/>
      <c r="B47" s="823" t="s">
        <v>1775</v>
      </c>
      <c r="E47" s="823"/>
      <c r="K47" s="825"/>
    </row>
    <row r="48" spans="1:11" ht="12.75" customHeight="1" x14ac:dyDescent="0.2">
      <c r="A48" s="1554"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2033</v>
      </c>
      <c r="B1" s="2274"/>
      <c r="C1" s="2275"/>
      <c r="D1" s="827"/>
      <c r="E1" s="828"/>
      <c r="F1" s="828"/>
      <c r="G1" s="829"/>
      <c r="H1" s="830"/>
      <c r="I1" s="831"/>
      <c r="J1" s="2271"/>
      <c r="K1" s="2272"/>
      <c r="L1" s="2272"/>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300000</v>
      </c>
      <c r="D5" s="842"/>
      <c r="E5" s="842"/>
      <c r="F5" s="1780">
        <f>(C5+D5)-E5</f>
        <v>300000</v>
      </c>
      <c r="G5" s="838"/>
      <c r="H5" s="843"/>
      <c r="I5" s="843"/>
      <c r="J5" s="843"/>
      <c r="K5" s="794"/>
      <c r="L5" s="1789">
        <f>F5-K5</f>
        <v>300000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10923920</v>
      </c>
      <c r="D8" s="845">
        <f>10884+75502</f>
        <v>86386</v>
      </c>
      <c r="E8" s="845"/>
      <c r="F8" s="1780">
        <f>(C8+D8)-E8</f>
        <v>11010306</v>
      </c>
      <c r="G8" s="844">
        <v>50</v>
      </c>
      <c r="H8" s="766">
        <v>10142538</v>
      </c>
      <c r="I8" s="766">
        <v>51040</v>
      </c>
      <c r="J8" s="766"/>
      <c r="K8" s="1789">
        <f>(H8+I8)-J8</f>
        <v>10193578</v>
      </c>
      <c r="L8" s="1789">
        <f>F8-K8</f>
        <v>816728</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327304</v>
      </c>
      <c r="D10" s="847">
        <f>7296+253973</f>
        <v>261269</v>
      </c>
      <c r="E10" s="847"/>
      <c r="F10" s="1784">
        <f>(C10+D10)-E10</f>
        <v>588573</v>
      </c>
      <c r="G10" s="844">
        <v>20</v>
      </c>
      <c r="H10" s="848">
        <v>102773</v>
      </c>
      <c r="I10" s="848">
        <v>32872</v>
      </c>
      <c r="J10" s="848"/>
      <c r="K10" s="1789">
        <f>(H10+I10)-J10</f>
        <v>135645</v>
      </c>
      <c r="L10" s="1789">
        <f>F10-K10</f>
        <v>452928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2890545</v>
      </c>
      <c r="D12" s="845">
        <v>158478</v>
      </c>
      <c r="E12" s="845">
        <f>1324979+329475</f>
        <v>1654454</v>
      </c>
      <c r="F12" s="1780">
        <f>(C12+D12)-E12</f>
        <v>1394569</v>
      </c>
      <c r="G12" s="844">
        <v>10</v>
      </c>
      <c r="H12" s="766">
        <v>1965377</v>
      </c>
      <c r="I12" s="766">
        <v>113620</v>
      </c>
      <c r="J12" s="766">
        <v>1307773</v>
      </c>
      <c r="K12" s="1789">
        <f>(H12+I12)-J12</f>
        <v>771224</v>
      </c>
      <c r="L12" s="1789">
        <f>F12-K12</f>
        <v>623345</v>
      </c>
    </row>
    <row r="13" spans="1:14" ht="14.25" thickTop="1" thickBot="1" x14ac:dyDescent="0.25">
      <c r="A13" s="849" t="s">
        <v>1184</v>
      </c>
      <c r="B13" s="841">
        <v>252</v>
      </c>
      <c r="C13" s="845"/>
      <c r="D13" s="845"/>
      <c r="E13" s="845"/>
      <c r="F13" s="1780">
        <f>(C13+D13)-E13</f>
        <v>0</v>
      </c>
      <c r="G13" s="844">
        <v>5</v>
      </c>
      <c r="H13" s="766"/>
      <c r="I13" s="766"/>
      <c r="J13" s="766"/>
      <c r="K13" s="1789">
        <f>(H13+I13)-J13</f>
        <v>0</v>
      </c>
      <c r="L13" s="1789">
        <f>F13-K13</f>
        <v>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v>2525</v>
      </c>
      <c r="E15" s="845"/>
      <c r="F15" s="1780">
        <f>(C15+D15)-E15</f>
        <v>2525</v>
      </c>
      <c r="G15" s="850" t="s">
        <v>917</v>
      </c>
      <c r="H15" s="782"/>
      <c r="I15" s="782"/>
      <c r="J15" s="782"/>
      <c r="K15" s="782"/>
      <c r="L15" s="1789">
        <f>F15-K15</f>
        <v>2525</v>
      </c>
    </row>
    <row r="16" spans="1:14" ht="15" customHeight="1" thickTop="1" thickBot="1" x14ac:dyDescent="0.25">
      <c r="A16" s="1785" t="s">
        <v>664</v>
      </c>
      <c r="B16" s="1786">
        <v>200</v>
      </c>
      <c r="C16" s="1780">
        <f>SUM(C3,C5:C6,C8:C10,C12:C15)</f>
        <v>14441769</v>
      </c>
      <c r="D16" s="1780">
        <f>SUM(D3,D5:D6,D8:D10,D12:D15)</f>
        <v>508658</v>
      </c>
      <c r="E16" s="1780">
        <f>SUM(E3,E5:E6,E8:E10,E12:E15)</f>
        <v>1654454</v>
      </c>
      <c r="F16" s="1780">
        <f>SUM(F3,F5:F6,F8:F10,F12:F15)</f>
        <v>13295973</v>
      </c>
      <c r="G16" s="844"/>
      <c r="H16" s="1780">
        <f>SUM(H3,H6,H8:H10,H12:H14,)</f>
        <v>12210688</v>
      </c>
      <c r="I16" s="1780">
        <f>SUM(I3,I6,I8:I10,I12:I14,)</f>
        <v>197532</v>
      </c>
      <c r="J16" s="1780">
        <f>SUM(J3,J6,J8:J10,J12:J14,)</f>
        <v>1307773</v>
      </c>
      <c r="K16" s="1780">
        <f>(H16+I16)-J16</f>
        <v>11100447</v>
      </c>
      <c r="L16" s="1780">
        <f>F16-K16</f>
        <v>2195526</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56844</v>
      </c>
      <c r="G17" s="838">
        <v>10</v>
      </c>
      <c r="H17" s="770"/>
      <c r="I17" s="1789">
        <f>F17/G17</f>
        <v>5684.4</v>
      </c>
      <c r="J17" s="770"/>
      <c r="K17" s="796"/>
      <c r="L17" s="796"/>
    </row>
    <row r="18" spans="1:12" ht="14.25" thickTop="1" thickBot="1" x14ac:dyDescent="0.25">
      <c r="A18" s="1787" t="s">
        <v>706</v>
      </c>
      <c r="B18" s="1788"/>
      <c r="C18" s="772"/>
      <c r="D18" s="772"/>
      <c r="E18" s="772"/>
      <c r="F18" s="851"/>
      <c r="G18" s="852"/>
      <c r="H18" s="774"/>
      <c r="I18" s="1780">
        <f>SUM(I16,I17)</f>
        <v>203216.4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22" sqref="A22"/>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4931660</v>
      </c>
      <c r="G8" s="866"/>
    </row>
    <row r="9" spans="1:7" x14ac:dyDescent="0.2">
      <c r="A9" s="870" t="s">
        <v>480</v>
      </c>
      <c r="B9" s="871" t="s">
        <v>1987</v>
      </c>
      <c r="C9" s="872"/>
      <c r="D9" s="870" t="s">
        <v>522</v>
      </c>
      <c r="E9" s="869"/>
      <c r="F9" s="1931">
        <f>'Expenditures 15-22'!K151</f>
        <v>0</v>
      </c>
      <c r="G9" s="873"/>
    </row>
    <row r="10" spans="1:7" x14ac:dyDescent="0.2">
      <c r="A10" s="870" t="s">
        <v>520</v>
      </c>
      <c r="B10" s="871" t="s">
        <v>1988</v>
      </c>
      <c r="C10" s="872"/>
      <c r="D10" s="870" t="s">
        <v>522</v>
      </c>
      <c r="E10" s="869"/>
      <c r="F10" s="1931">
        <f>'Expenditures 15-22'!K174</f>
        <v>0</v>
      </c>
      <c r="G10" s="873"/>
    </row>
    <row r="11" spans="1:7" x14ac:dyDescent="0.2">
      <c r="A11" s="870" t="s">
        <v>481</v>
      </c>
      <c r="B11" s="871" t="s">
        <v>1989</v>
      </c>
      <c r="C11" s="872"/>
      <c r="D11" s="870" t="s">
        <v>522</v>
      </c>
      <c r="E11" s="869"/>
      <c r="F11" s="1931">
        <f>'Expenditures 15-22'!K210</f>
        <v>0</v>
      </c>
      <c r="G11" s="873"/>
    </row>
    <row r="12" spans="1:7" x14ac:dyDescent="0.2">
      <c r="A12" s="870" t="s">
        <v>482</v>
      </c>
      <c r="B12" s="871" t="s">
        <v>1990</v>
      </c>
      <c r="C12" s="872"/>
      <c r="D12" s="870" t="s">
        <v>522</v>
      </c>
      <c r="E12" s="869"/>
      <c r="F12" s="1931">
        <f>'Expenditures 15-22'!K295</f>
        <v>0</v>
      </c>
      <c r="G12" s="873"/>
    </row>
    <row r="13" spans="1:7" x14ac:dyDescent="0.2">
      <c r="A13" s="870" t="s">
        <v>108</v>
      </c>
      <c r="B13" s="871" t="s">
        <v>1991</v>
      </c>
      <c r="C13" s="872"/>
      <c r="D13" s="870" t="s">
        <v>522</v>
      </c>
      <c r="E13" s="869"/>
      <c r="F13" s="1931">
        <f>'Expenditures 15-22'!K342</f>
        <v>0</v>
      </c>
      <c r="G13" s="874"/>
    </row>
    <row r="14" spans="1:7" ht="12" customHeight="1" thickBot="1" x14ac:dyDescent="0.25">
      <c r="A14" s="1790"/>
      <c r="B14" s="1791"/>
      <c r="C14" s="1792"/>
      <c r="D14" s="1793" t="s">
        <v>522</v>
      </c>
      <c r="E14" s="1794" t="s">
        <v>1015</v>
      </c>
      <c r="F14" s="1795">
        <f>SUM(F8:F13)</f>
        <v>4931660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1670803</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5">
        <f>'Expenditures 15-22'!K102</f>
        <v>0</v>
      </c>
      <c r="G53" s="866"/>
    </row>
    <row r="54" spans="1:7" x14ac:dyDescent="0.2">
      <c r="A54" s="870" t="s">
        <v>479</v>
      </c>
      <c r="B54" s="870" t="s">
        <v>1552</v>
      </c>
      <c r="C54" s="890" t="s">
        <v>1039</v>
      </c>
      <c r="D54" s="886" t="s">
        <v>1157</v>
      </c>
      <c r="E54" s="869"/>
      <c r="F54" s="1935">
        <f>'Expenditures 15-22'!G114</f>
        <v>179183</v>
      </c>
      <c r="G54" s="866"/>
    </row>
    <row r="55" spans="1:7" x14ac:dyDescent="0.2">
      <c r="A55" s="870" t="s">
        <v>479</v>
      </c>
      <c r="B55" s="870" t="s">
        <v>1553</v>
      </c>
      <c r="C55" s="890" t="s">
        <v>1039</v>
      </c>
      <c r="D55" s="886" t="s">
        <v>309</v>
      </c>
      <c r="E55" s="869"/>
      <c r="F55" s="1935">
        <f>'Expenditures 15-22'!I114</f>
        <v>56844</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5">
        <f>'Expenditures 15-22'!K139</f>
        <v>0</v>
      </c>
      <c r="G57" s="866"/>
    </row>
    <row r="58" spans="1:7" x14ac:dyDescent="0.2">
      <c r="A58" s="870" t="s">
        <v>480</v>
      </c>
      <c r="B58" s="870" t="s">
        <v>1993</v>
      </c>
      <c r="C58" s="887" t="s">
        <v>1039</v>
      </c>
      <c r="D58" s="886" t="s">
        <v>1157</v>
      </c>
      <c r="E58" s="869"/>
      <c r="F58" s="1937">
        <f>'Expenditures 15-22'!G151</f>
        <v>0</v>
      </c>
      <c r="G58" s="866"/>
    </row>
    <row r="59" spans="1:7" x14ac:dyDescent="0.2">
      <c r="A59" s="894" t="s">
        <v>480</v>
      </c>
      <c r="B59" s="857" t="s">
        <v>1994</v>
      </c>
      <c r="C59" s="895" t="s">
        <v>1039</v>
      </c>
      <c r="D59" s="857" t="s">
        <v>309</v>
      </c>
      <c r="F59" s="1938">
        <f>'Expenditures 15-22'!I151</f>
        <v>0</v>
      </c>
      <c r="G59" s="866"/>
    </row>
    <row r="60" spans="1:7" x14ac:dyDescent="0.2">
      <c r="A60" s="894" t="s">
        <v>520</v>
      </c>
      <c r="B60" s="857" t="s">
        <v>1995</v>
      </c>
      <c r="C60" s="895">
        <v>4000</v>
      </c>
      <c r="D60" s="857" t="s">
        <v>330</v>
      </c>
      <c r="F60" s="1936">
        <f>'Expenditures 15-22'!K160</f>
        <v>0</v>
      </c>
      <c r="G60" s="866"/>
    </row>
    <row r="61" spans="1:7" x14ac:dyDescent="0.2">
      <c r="A61" s="896" t="s">
        <v>520</v>
      </c>
      <c r="B61" s="896" t="s">
        <v>1996</v>
      </c>
      <c r="C61" s="897" t="str">
        <f>'Expenditures 15-22'!B170</f>
        <v>5300</v>
      </c>
      <c r="D61" s="898" t="s">
        <v>329</v>
      </c>
      <c r="E61" s="880"/>
      <c r="F61" s="1935">
        <f>'Expenditures 15-22'!K170</f>
        <v>0</v>
      </c>
      <c r="G61" s="866"/>
    </row>
    <row r="62" spans="1:7" x14ac:dyDescent="0.2">
      <c r="A62" s="870" t="s">
        <v>481</v>
      </c>
      <c r="B62" s="870" t="s">
        <v>1997</v>
      </c>
      <c r="C62" s="887">
        <f>'Expenditures 15-22'!B185</f>
        <v>3000</v>
      </c>
      <c r="D62" s="877" t="s">
        <v>469</v>
      </c>
      <c r="E62" s="869"/>
      <c r="F62" s="1935">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5">
        <f>'Expenditures 15-22'!K196</f>
        <v>0</v>
      </c>
      <c r="G63" s="866"/>
    </row>
    <row r="64" spans="1:7" x14ac:dyDescent="0.2">
      <c r="A64" s="896" t="s">
        <v>481</v>
      </c>
      <c r="B64" s="896" t="s">
        <v>1999</v>
      </c>
      <c r="C64" s="897" t="str">
        <f>'Expenditures 15-22'!B206</f>
        <v>5300</v>
      </c>
      <c r="D64" s="893" t="s">
        <v>329</v>
      </c>
      <c r="E64" s="869"/>
      <c r="F64" s="1935">
        <f>'Expenditures 15-22'!K206</f>
        <v>0</v>
      </c>
      <c r="G64" s="866"/>
    </row>
    <row r="65" spans="1:8" x14ac:dyDescent="0.2">
      <c r="A65" s="870" t="s">
        <v>481</v>
      </c>
      <c r="B65" s="870" t="s">
        <v>2000</v>
      </c>
      <c r="C65" s="887" t="s">
        <v>1039</v>
      </c>
      <c r="D65" s="886" t="s">
        <v>1157</v>
      </c>
      <c r="E65" s="869"/>
      <c r="F65" s="1935">
        <f>'Expenditures 15-22'!G210</f>
        <v>0</v>
      </c>
      <c r="G65" s="866"/>
    </row>
    <row r="66" spans="1:8" x14ac:dyDescent="0.2">
      <c r="A66" s="870" t="s">
        <v>481</v>
      </c>
      <c r="B66" s="870" t="s">
        <v>2001</v>
      </c>
      <c r="C66" s="887" t="s">
        <v>1039</v>
      </c>
      <c r="D66" s="886" t="s">
        <v>309</v>
      </c>
      <c r="E66" s="869"/>
      <c r="F66" s="1935">
        <f>'Expenditures 15-22'!I210</f>
        <v>0</v>
      </c>
      <c r="G66" s="866"/>
    </row>
    <row r="67" spans="1:8" x14ac:dyDescent="0.2">
      <c r="A67" s="870" t="s">
        <v>482</v>
      </c>
      <c r="B67" s="870" t="s">
        <v>2002</v>
      </c>
      <c r="C67" s="887" t="str">
        <f>'Expenditures 15-22'!B216</f>
        <v>1125</v>
      </c>
      <c r="D67" s="893" t="str">
        <f>'Expenditures 15-22'!A216</f>
        <v>Pre-K Programs</v>
      </c>
      <c r="E67" s="869"/>
      <c r="F67" s="1935">
        <f>'Expenditures 15-22'!K216</f>
        <v>0</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2004</v>
      </c>
      <c r="C70" s="887">
        <f>'Expenditures 15-22'!B221</f>
        <v>1300</v>
      </c>
      <c r="D70" s="888" t="str">
        <f>'Expenditures 15-22'!A221</f>
        <v>Adult/Continuing Education Programs</v>
      </c>
      <c r="E70" s="869"/>
      <c r="F70" s="1935">
        <f>'Expenditures 15-22'!K221</f>
        <v>0</v>
      </c>
      <c r="G70" s="866"/>
    </row>
    <row r="71" spans="1:8" x14ac:dyDescent="0.2">
      <c r="A71" s="870" t="s">
        <v>482</v>
      </c>
      <c r="B71" s="870" t="s">
        <v>2005</v>
      </c>
      <c r="C71" s="887">
        <f>'Expenditures 15-22'!B224</f>
        <v>1600</v>
      </c>
      <c r="D71" s="888" t="str">
        <f>'Expenditures 15-22'!A224</f>
        <v>Summer School Programs</v>
      </c>
      <c r="E71" s="869"/>
      <c r="F71" s="1935">
        <f>'Expenditures 15-22'!K224</f>
        <v>0</v>
      </c>
      <c r="G71" s="866"/>
    </row>
    <row r="72" spans="1:8" x14ac:dyDescent="0.2">
      <c r="A72" s="870" t="s">
        <v>482</v>
      </c>
      <c r="B72" s="870" t="s">
        <v>2006</v>
      </c>
      <c r="C72" s="887">
        <f>'Expenditures 15-22'!B280</f>
        <v>3000</v>
      </c>
      <c r="D72" s="877" t="s">
        <v>469</v>
      </c>
      <c r="E72" s="869"/>
      <c r="F72" s="1935">
        <f>'Expenditures 15-22'!K280</f>
        <v>0</v>
      </c>
      <c r="G72" s="866"/>
    </row>
    <row r="73" spans="1:8" x14ac:dyDescent="0.2">
      <c r="A73" s="870" t="s">
        <v>482</v>
      </c>
      <c r="B73" s="870" t="s">
        <v>2007</v>
      </c>
      <c r="C73" s="887" t="str">
        <f>'Expenditures 15-22'!B285</f>
        <v>4000</v>
      </c>
      <c r="D73" s="888" t="str">
        <f>'Expenditures 15-22'!A285</f>
        <v>Total Payments to Other Govt Units</v>
      </c>
      <c r="E73" s="869"/>
      <c r="F73" s="1935">
        <f>'Expenditures 15-22'!K285</f>
        <v>0</v>
      </c>
      <c r="G73" s="866"/>
    </row>
    <row r="74" spans="1:8" x14ac:dyDescent="0.2">
      <c r="A74" s="870" t="s">
        <v>456</v>
      </c>
      <c r="B74" s="870" t="s">
        <v>2008</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2009</v>
      </c>
      <c r="E76" s="1794" t="s">
        <v>1015</v>
      </c>
      <c r="F76" s="1798">
        <f>SUM(F18:F74)</f>
        <v>1906830</v>
      </c>
      <c r="G76" s="866"/>
    </row>
    <row r="77" spans="1:8" s="894" customFormat="1" ht="12" customHeight="1" thickTop="1" thickBot="1" x14ac:dyDescent="0.25">
      <c r="A77" s="1799"/>
      <c r="B77" s="1796"/>
      <c r="C77" s="1792"/>
      <c r="D77" s="1797" t="s">
        <v>2010</v>
      </c>
      <c r="E77" s="1794"/>
      <c r="F77" s="1800">
        <f>(F14-F76)</f>
        <v>3024830</v>
      </c>
      <c r="G77" s="870"/>
    </row>
    <row r="78" spans="1:8" s="894" customFormat="1" ht="12" customHeight="1" thickTop="1" x14ac:dyDescent="0.2">
      <c r="A78" s="1801"/>
      <c r="B78" s="1796"/>
      <c r="C78" s="1792"/>
      <c r="D78" s="1797" t="s">
        <v>2057</v>
      </c>
      <c r="E78" s="1794"/>
      <c r="F78" s="899">
        <v>0</v>
      </c>
      <c r="G78" s="900"/>
      <c r="H78" s="870"/>
    </row>
    <row r="79" spans="1:8" s="894" customFormat="1" ht="12" customHeight="1" thickBot="1" x14ac:dyDescent="0.25">
      <c r="A79" s="1802"/>
      <c r="B79" s="1796"/>
      <c r="C79" s="1792"/>
      <c r="D79" s="1797" t="s">
        <v>2011</v>
      </c>
      <c r="E79" s="1794" t="s">
        <v>1015</v>
      </c>
      <c r="F79" s="1803"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81380</v>
      </c>
      <c r="G94" s="913"/>
    </row>
    <row r="95" spans="1:7" x14ac:dyDescent="0.2">
      <c r="A95" s="909" t="s">
        <v>142</v>
      </c>
      <c r="B95" s="909" t="s">
        <v>177</v>
      </c>
      <c r="C95" s="911">
        <v>1700</v>
      </c>
      <c r="D95" s="919" t="str">
        <f>'Revenues 9-14'!A82</f>
        <v>Total District/School Activity Income</v>
      </c>
      <c r="E95" s="907"/>
      <c r="F95" s="1809">
        <f>SUM('Revenues 9-14'!C82,'Revenues 9-14'!D82)</f>
        <v>308404</v>
      </c>
      <c r="G95" s="913"/>
    </row>
    <row r="96" spans="1:7" x14ac:dyDescent="0.2">
      <c r="A96" s="909" t="s">
        <v>479</v>
      </c>
      <c r="B96" s="909" t="s">
        <v>178</v>
      </c>
      <c r="C96" s="911">
        <f>'Revenues 9-14'!B84</f>
        <v>1811</v>
      </c>
      <c r="D96" s="912" t="str">
        <f>'Revenues 9-14'!A84</f>
        <v>Rentals - Regular Textbooks</v>
      </c>
      <c r="E96" s="907"/>
      <c r="F96" s="1809">
        <f>'Revenues 9-14'!C84</f>
        <v>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148966</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0</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3451</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0</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13247</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694000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0</v>
      </c>
      <c r="G129" s="931"/>
    </row>
    <row r="130" spans="1:7" x14ac:dyDescent="0.2">
      <c r="A130" s="928" t="s">
        <v>689</v>
      </c>
      <c r="B130" s="928" t="s">
        <v>804</v>
      </c>
      <c r="C130" s="933">
        <v>4300</v>
      </c>
      <c r="D130" s="934" t="str">
        <f>'Revenues 9-14'!A211</f>
        <v>Total Title I</v>
      </c>
      <c r="E130" s="907"/>
      <c r="F130" s="1809">
        <f>SUM('Revenues 9-14'!C211,'Revenues 9-14'!D211,'Revenues 9-14'!F211,'Revenues 9-14'!G211)</f>
        <v>0</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2056</v>
      </c>
      <c r="C175" s="1942">
        <v>3100</v>
      </c>
      <c r="D175" s="1943" t="s">
        <v>2059</v>
      </c>
      <c r="E175" s="907"/>
      <c r="F175" s="1927"/>
      <c r="G175" s="928"/>
    </row>
    <row r="176" spans="1:7" x14ac:dyDescent="0.2">
      <c r="A176" s="1940" t="s">
        <v>685</v>
      </c>
      <c r="B176" s="1941" t="s">
        <v>2056</v>
      </c>
      <c r="C176" s="1942">
        <v>3300</v>
      </c>
      <c r="D176" s="1943" t="s">
        <v>2060</v>
      </c>
      <c r="E176" s="907"/>
      <c r="F176" s="1927"/>
      <c r="G176" s="928"/>
    </row>
    <row r="177" spans="1:7" ht="6" customHeight="1" x14ac:dyDescent="0.2">
      <c r="A177" s="928"/>
      <c r="B177" s="928"/>
      <c r="C177" s="950"/>
      <c r="D177" s="928"/>
      <c r="E177" s="907"/>
      <c r="F177" s="951"/>
      <c r="G177" s="948"/>
    </row>
    <row r="178" spans="1:7" x14ac:dyDescent="0.2">
      <c r="A178" s="1790"/>
      <c r="B178" s="1804"/>
      <c r="C178" s="1805"/>
      <c r="D178" s="1806" t="s">
        <v>2012</v>
      </c>
      <c r="E178" s="1807" t="s">
        <v>1015</v>
      </c>
      <c r="F178" s="1808">
        <f>SUM(F84:F136,F161:F176)</f>
        <v>1249448</v>
      </c>
    </row>
    <row r="179" spans="1:7" ht="12" customHeight="1" x14ac:dyDescent="0.2">
      <c r="A179" s="1790"/>
      <c r="B179" s="1804"/>
      <c r="C179" s="1805"/>
      <c r="D179" s="1806" t="s">
        <v>2013</v>
      </c>
      <c r="E179" s="1807"/>
      <c r="F179" s="1809">
        <f>'PCTC-OEPP 27-28'!F77-F178</f>
        <v>1775382</v>
      </c>
    </row>
    <row r="180" spans="1:7" ht="12" customHeight="1" x14ac:dyDescent="0.2">
      <c r="A180" s="1790"/>
      <c r="B180" s="1804"/>
      <c r="C180" s="1805"/>
      <c r="D180" s="1806" t="s">
        <v>1922</v>
      </c>
      <c r="E180" s="1807"/>
      <c r="F180" s="1809">
        <f>'Cap Outlay Deprec 26'!I18</f>
        <v>203216.4</v>
      </c>
    </row>
    <row r="181" spans="1:7" ht="12" customHeight="1" x14ac:dyDescent="0.2">
      <c r="A181" s="1790"/>
      <c r="B181" s="1804"/>
      <c r="C181" s="1805"/>
      <c r="D181" s="1806" t="s">
        <v>2014</v>
      </c>
      <c r="E181" s="1807"/>
      <c r="F181" s="1809">
        <f>F179+F180</f>
        <v>1978598.3999999999</v>
      </c>
    </row>
    <row r="182" spans="1:7" ht="12" customHeight="1" x14ac:dyDescent="0.2">
      <c r="A182" s="1790"/>
      <c r="B182" s="1810"/>
      <c r="C182" s="1805"/>
      <c r="D182" s="1806" t="str">
        <f>D78</f>
        <v>9 Month ADA from District Average Daily Attendance/Prior General State Aid Inquiry 2017-2018</v>
      </c>
      <c r="E182" s="1807"/>
      <c r="F182" s="1811">
        <f>'PCTC-OEPP 27-28'!F78</f>
        <v>0</v>
      </c>
      <c r="G182" s="931"/>
    </row>
    <row r="183" spans="1:7" ht="12" customHeight="1" thickBot="1" x14ac:dyDescent="0.25">
      <c r="A183" s="1790"/>
      <c r="B183" s="1810"/>
      <c r="C183" s="1805"/>
      <c r="D183" s="1806" t="s">
        <v>2015</v>
      </c>
      <c r="E183" s="1807" t="s">
        <v>1626</v>
      </c>
      <c r="F183" s="1812"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4" customFormat="1" ht="12.2" customHeight="1" x14ac:dyDescent="0.2">
      <c r="A186" s="1944" t="s">
        <v>2063</v>
      </c>
      <c r="B186" s="1945"/>
      <c r="C186" s="1946"/>
      <c r="D186" s="1945"/>
      <c r="E186" s="1946"/>
      <c r="F186" s="1945"/>
      <c r="G186" s="1945"/>
    </row>
    <row r="187" spans="1:7" s="1944" customFormat="1" ht="12.2" customHeight="1" x14ac:dyDescent="0.2">
      <c r="A187" s="1947" t="s">
        <v>2064</v>
      </c>
      <c r="C187" s="1946"/>
      <c r="D187" s="1945"/>
      <c r="E187" s="1946"/>
      <c r="F187" s="1945"/>
      <c r="G187" s="1945"/>
    </row>
    <row r="188" spans="1:7" ht="12" customHeight="1" x14ac:dyDescent="0.2">
      <c r="C188" s="950"/>
      <c r="D188" s="931"/>
      <c r="E188" s="950"/>
      <c r="F188" s="931"/>
      <c r="G188" s="931"/>
    </row>
    <row r="189" spans="1:7" x14ac:dyDescent="0.2">
      <c r="A189" s="1948" t="s">
        <v>2062</v>
      </c>
      <c r="B189" s="1949"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pane ySplit="16" topLeftCell="A17" activePane="bottomLeft" state="frozen"/>
      <selection activeCell="A22" sqref="A22"/>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1938</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90" t="s">
        <v>1923</v>
      </c>
      <c r="B4" s="2291"/>
      <c r="C4" s="2291"/>
      <c r="D4" s="2291"/>
      <c r="E4" s="2291"/>
      <c r="F4" s="2291"/>
      <c r="G4" s="2292"/>
    </row>
    <row r="5" spans="1:7" x14ac:dyDescent="0.25">
      <c r="A5" s="2293"/>
      <c r="B5" s="2294"/>
      <c r="C5" s="2294"/>
      <c r="D5" s="2294"/>
      <c r="E5" s="2294"/>
      <c r="F5" s="2294"/>
      <c r="G5" s="2295"/>
    </row>
    <row r="6" spans="1:7" ht="18.75" x14ac:dyDescent="0.25">
      <c r="A6" s="1556" t="s">
        <v>1924</v>
      </c>
      <c r="B6" s="1557"/>
      <c r="C6" s="1557"/>
      <c r="D6" s="1557"/>
      <c r="E6" s="1557"/>
      <c r="F6" s="1557"/>
      <c r="G6" s="1558"/>
    </row>
    <row r="7" spans="1:7" ht="30.75" customHeight="1" x14ac:dyDescent="0.25">
      <c r="A7" s="2296" t="s">
        <v>2073</v>
      </c>
      <c r="B7" s="2297"/>
      <c r="C7" s="2297"/>
      <c r="D7" s="2297"/>
      <c r="E7" s="2297"/>
      <c r="F7" s="2297"/>
      <c r="G7" s="2298"/>
    </row>
    <row r="8" spans="1:7" ht="15.75" customHeight="1" x14ac:dyDescent="0.25">
      <c r="A8" s="2299" t="s">
        <v>2022</v>
      </c>
      <c r="B8" s="2300"/>
      <c r="C8" s="2300"/>
      <c r="D8" s="2300"/>
      <c r="E8" s="2300"/>
      <c r="F8" s="2300"/>
      <c r="G8" s="2301"/>
    </row>
    <row r="9" spans="1:7" ht="35.25" customHeight="1" x14ac:dyDescent="0.25">
      <c r="A9" s="2296" t="s">
        <v>2021</v>
      </c>
      <c r="B9" s="2297"/>
      <c r="C9" s="2297"/>
      <c r="D9" s="2297"/>
      <c r="E9" s="2297"/>
      <c r="F9" s="2297"/>
      <c r="G9" s="2298"/>
    </row>
    <row r="10" spans="1:7" ht="15" customHeight="1" x14ac:dyDescent="0.25">
      <c r="A10" s="1559" t="s">
        <v>1925</v>
      </c>
      <c r="B10" s="1560"/>
      <c r="C10" s="1560"/>
      <c r="D10" s="1560"/>
      <c r="E10" s="1560"/>
      <c r="F10" s="1560"/>
      <c r="G10" s="1561"/>
    </row>
    <row r="11" spans="1:7" ht="17.25" customHeight="1" x14ac:dyDescent="0.25">
      <c r="A11" s="2296" t="s">
        <v>1939</v>
      </c>
      <c r="B11" s="2297"/>
      <c r="C11" s="2297"/>
      <c r="D11" s="2297"/>
      <c r="E11" s="2297"/>
      <c r="F11" s="2297"/>
      <c r="G11" s="2298"/>
    </row>
    <row r="12" spans="1:7" ht="15" customHeight="1" x14ac:dyDescent="0.25">
      <c r="A12" s="1559" t="s">
        <v>1930</v>
      </c>
      <c r="B12" s="1560"/>
      <c r="C12" s="1560"/>
      <c r="D12" s="1560"/>
      <c r="E12" s="1560"/>
      <c r="F12" s="1560"/>
      <c r="G12" s="1561"/>
    </row>
    <row r="13" spans="1:7" ht="32.25" customHeight="1" x14ac:dyDescent="0.25">
      <c r="A13" s="2287" t="s">
        <v>1931</v>
      </c>
      <c r="B13" s="2288"/>
      <c r="C13" s="2288"/>
      <c r="D13" s="2288"/>
      <c r="E13" s="2288"/>
      <c r="F13" s="2288"/>
      <c r="G13" s="2289"/>
    </row>
    <row r="14" spans="1:7" x14ac:dyDescent="0.25">
      <c r="A14" s="1681" t="s">
        <v>1940</v>
      </c>
      <c r="B14" s="1682"/>
      <c r="C14" s="1682"/>
      <c r="D14" s="1682"/>
      <c r="E14" s="1682"/>
      <c r="F14" s="1682"/>
      <c r="G14" s="1683"/>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1941</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2139</v>
      </c>
      <c r="B17" s="1958" t="s">
        <v>2135</v>
      </c>
      <c r="C17" s="1959" t="s">
        <v>2096</v>
      </c>
      <c r="D17" s="1865">
        <v>50931</v>
      </c>
      <c r="E17" s="1562">
        <f t="shared" ref="E17:E36" si="1">IF(D17&lt;=25000,D17,IF(D17&gt;25000,25000,0))</f>
        <v>25000</v>
      </c>
      <c r="F17" s="1813">
        <f t="shared" si="0"/>
        <v>25000</v>
      </c>
      <c r="G17" s="1814">
        <f>IF(F17=0,0,D17-F17)</f>
        <v>25931</v>
      </c>
      <c r="H17" s="1669"/>
    </row>
    <row r="18" spans="1:8" x14ac:dyDescent="0.25">
      <c r="A18" s="1957" t="s">
        <v>2139</v>
      </c>
      <c r="B18" s="1958" t="s">
        <v>2135</v>
      </c>
      <c r="C18" s="1959" t="s">
        <v>2136</v>
      </c>
      <c r="D18" s="1865">
        <v>30000</v>
      </c>
      <c r="E18" s="1562">
        <f t="shared" ref="E18:E35" si="2">IF(D18&lt;=25000,D18,IF(D18&gt;25000,25000,0))</f>
        <v>25000</v>
      </c>
      <c r="F18" s="1813">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35" si="4">IF(F18=0,0,D18-F18)</f>
        <v>5000</v>
      </c>
    </row>
    <row r="19" spans="1:8" x14ac:dyDescent="0.25">
      <c r="A19" s="1957" t="s">
        <v>2140</v>
      </c>
      <c r="B19" s="1960" t="s">
        <v>2138</v>
      </c>
      <c r="C19" s="1959" t="s">
        <v>2137</v>
      </c>
      <c r="D19" s="1865">
        <v>113120</v>
      </c>
      <c r="E19" s="1562">
        <f t="shared" ref="E19:E20" si="5">IF(D19&lt;=25000,D19,IF(D19&gt;25000,25000,0))</f>
        <v>25000</v>
      </c>
      <c r="F19" s="1813">
        <f t="shared" ref="F19:F20"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4">
        <f t="shared" ref="G19:G20" si="7">IF(F19=0,0,D19-F19)</f>
        <v>0</v>
      </c>
    </row>
    <row r="20" spans="1:8" x14ac:dyDescent="0.25">
      <c r="A20" s="1675"/>
      <c r="B20" s="1687"/>
      <c r="C20" s="1676"/>
      <c r="D20" s="1865"/>
      <c r="E20" s="1562">
        <f t="shared" si="5"/>
        <v>0</v>
      </c>
      <c r="F20" s="1813">
        <f t="shared" si="6"/>
        <v>0</v>
      </c>
      <c r="G20" s="1814">
        <f t="shared" si="7"/>
        <v>0</v>
      </c>
    </row>
    <row r="21" spans="1:8" x14ac:dyDescent="0.25">
      <c r="A21" s="1675"/>
      <c r="B21" s="1687"/>
      <c r="C21" s="1676"/>
      <c r="D21" s="1865"/>
      <c r="E21" s="1562">
        <f t="shared" ref="E21:E29" si="8">IF(D21&lt;=25000,D21,IF(D21&gt;25000,25000,0))</f>
        <v>0</v>
      </c>
      <c r="F21" s="1813">
        <f t="shared" ref="F21:F29" si="9">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0</v>
      </c>
      <c r="G21" s="1814">
        <f t="shared" ref="G21:G29" si="10">IF(F21=0,0,D21-F21)</f>
        <v>0</v>
      </c>
    </row>
    <row r="22" spans="1:8" x14ac:dyDescent="0.25">
      <c r="A22" s="1675"/>
      <c r="B22" s="1687"/>
      <c r="C22" s="1676"/>
      <c r="D22" s="1865"/>
      <c r="E22" s="1562">
        <f t="shared" si="8"/>
        <v>0</v>
      </c>
      <c r="F22" s="1813">
        <f t="shared" si="9"/>
        <v>0</v>
      </c>
      <c r="G22" s="1814">
        <f t="shared" si="10"/>
        <v>0</v>
      </c>
    </row>
    <row r="23" spans="1:8" x14ac:dyDescent="0.25">
      <c r="A23" s="1675"/>
      <c r="B23" s="1687"/>
      <c r="C23" s="1676"/>
      <c r="D23" s="1865"/>
      <c r="E23" s="1562">
        <f t="shared" si="8"/>
        <v>0</v>
      </c>
      <c r="F23" s="1813">
        <f t="shared" si="9"/>
        <v>0</v>
      </c>
      <c r="G23" s="1814">
        <f t="shared" si="10"/>
        <v>0</v>
      </c>
    </row>
    <row r="24" spans="1:8" x14ac:dyDescent="0.25">
      <c r="A24" s="1675"/>
      <c r="B24" s="1687"/>
      <c r="C24" s="1676"/>
      <c r="D24" s="1865"/>
      <c r="E24" s="1562">
        <f t="shared" si="8"/>
        <v>0</v>
      </c>
      <c r="F24" s="1813">
        <f t="shared" si="9"/>
        <v>0</v>
      </c>
      <c r="G24" s="1814">
        <f t="shared" si="10"/>
        <v>0</v>
      </c>
    </row>
    <row r="25" spans="1:8" x14ac:dyDescent="0.25">
      <c r="A25" s="1675"/>
      <c r="B25" s="1687"/>
      <c r="C25" s="1676"/>
      <c r="D25" s="1865"/>
      <c r="E25" s="1562">
        <f t="shared" si="8"/>
        <v>0</v>
      </c>
      <c r="F25" s="1813">
        <f t="shared" si="9"/>
        <v>0</v>
      </c>
      <c r="G25" s="1814">
        <f t="shared" si="10"/>
        <v>0</v>
      </c>
    </row>
    <row r="26" spans="1:8" x14ac:dyDescent="0.25">
      <c r="A26" s="1675"/>
      <c r="B26" s="1858"/>
      <c r="C26" s="1676"/>
      <c r="D26" s="1865"/>
      <c r="E26" s="1562">
        <f t="shared" si="8"/>
        <v>0</v>
      </c>
      <c r="F26" s="1813">
        <f t="shared" si="9"/>
        <v>0</v>
      </c>
      <c r="G26" s="1814">
        <f t="shared" si="10"/>
        <v>0</v>
      </c>
    </row>
    <row r="27" spans="1:8" x14ac:dyDescent="0.25">
      <c r="A27" s="1675"/>
      <c r="B27" s="1858"/>
      <c r="C27" s="1676"/>
      <c r="D27" s="1865"/>
      <c r="E27" s="1562">
        <f t="shared" si="8"/>
        <v>0</v>
      </c>
      <c r="F27" s="1813">
        <f t="shared" si="9"/>
        <v>0</v>
      </c>
      <c r="G27" s="1814">
        <f t="shared" si="10"/>
        <v>0</v>
      </c>
    </row>
    <row r="28" spans="1:8" x14ac:dyDescent="0.25">
      <c r="A28" s="1675"/>
      <c r="B28" s="1687"/>
      <c r="C28" s="1676"/>
      <c r="D28" s="1865"/>
      <c r="E28" s="1562">
        <f t="shared" si="8"/>
        <v>0</v>
      </c>
      <c r="F28" s="1813">
        <f t="shared" si="9"/>
        <v>0</v>
      </c>
      <c r="G28" s="1814">
        <f t="shared" si="10"/>
        <v>0</v>
      </c>
    </row>
    <row r="29" spans="1:8" x14ac:dyDescent="0.25">
      <c r="A29" s="1675"/>
      <c r="B29" s="1687"/>
      <c r="C29" s="1676"/>
      <c r="D29" s="1865"/>
      <c r="E29" s="1562">
        <f t="shared" si="8"/>
        <v>0</v>
      </c>
      <c r="F29" s="1813">
        <f t="shared" si="9"/>
        <v>0</v>
      </c>
      <c r="G29" s="1814">
        <f t="shared" si="10"/>
        <v>0</v>
      </c>
    </row>
    <row r="30" spans="1:8" x14ac:dyDescent="0.25">
      <c r="A30" s="1675"/>
      <c r="B30" s="1687"/>
      <c r="C30" s="1676"/>
      <c r="D30" s="1865"/>
      <c r="E30" s="1562">
        <f t="shared" ref="E30:E34" si="11">IF(D30&lt;=25000,D30,IF(D30&gt;25000,25000,0))</f>
        <v>0</v>
      </c>
      <c r="F30" s="1813">
        <f t="shared" ref="F30:F34" si="12">IF(OR(B30="10-1000-100",B30="10-1000-200",B30="10-1000-300",B30="10-1000-400",B30="10-1000-600",B30="10-1000-800",B30="50-1000-200",B30="10-2100-100",B30="10-2100-200",B30="10-2100-300",B30="10-2100-400",B30="10-2100-600",B30="10-2100-800",B30="20-2100-200",B30="20-2190-100",B30="20-2190-200",B30="20-2190-300",B30="20-2190-400",B30="20-2190-600",B30="20-2190-800",B30="40-2190-100",B30="40-2190-200",B30="40-2190-300",B30="40-2190-400",B30="40-2190-600",B30="40-2190-800",B30="50-2190-200",B30="10-2200-100",B30="10-2200-200",B30="10-2200-300",B30="10-2200-400",B30="10-2200-600",B30="10-2200-800",B30="50-2200-200",B30="10-2300-100",B30="10-2300-200",B30="10-2300-300",B30="10-2300-400",B30="10-2300-600",B30="10-2300-800",B30="50-2300-200",B30="80-2300-100",B30="80-2300-200",B30="80-2300-300",B30="80-2300-400",B30="80-2300-600",B30="80-2300-800",B30="10-2400-100",B30="10-2400-200",B30="10-2400-300",B30="10-2400-400",B30="10-2400-600",B30="10-2400-800",B30="50-2400-200",B30="10-2510-100",B30="10-2510-200",B30="10-2510-300",B30="10-2510-400",B30="10-2510-600",B30="10-2510-800",B30="20-2510-100",B30="20-2510-200",B30="20-2510-300",B30="20-2510-400",B30="20-2510-600",B30="20-2510-800",B30="50-2510-200",B30="10-2520-100",B30="10-2520-200",B30="10-2520-300",B30="10-2520-400",B30="10-2520-600",B30="10-2520-800",B30="50-2520-200",B30="10-2540-100",B30="10-2540-200",B30="10-2540-300",B30="10-2540-400",B30="10-2540-600",B30="20-2540-800",B30="20-2540-100",B30="20-2540-200",B30="20-2540-300",B30="20-2540-400",B30="20-2540-600",B30="50-2540-200",B30="90-2540-100",B30="90-2540-200",B30="90-2540-300",B30="90-2540-400",B30="90-2540-600",B30="90-2540-800",B30="90-2540-800",B30="10-2550-100",B30="10-2550-200",B30="10-2550-300",B30="10-2550-400",B30="10-2550-600",B30="10-2550-800",B30="20-2550-100",B30="20-2550-200",B30="20-2550-300",B30="20-2550-400",B30="20-2550-600",B30="20-2550-800",B30="40-2550-100",B30="40-2550-200",B30="40-2550-300",B30="40-2550-400",B30="40-2550-600",B30="40-2550-800",B30="50-2550-200",B30="10-2560-100",B30="10-2560-200",B30="10-2560-300",B30="10-2560-400",B30="10-2560-600",B30="10-2560-800",B30="20-2560-100",B30="20-2560-200",B30="20-2560-300",B30="20-2560-400",B30="20-2560-600",B30="20-2560-800",B30="50-2560-200",B30="10-2570-100",B30="10-2570-200",B30="10-2570-300",B30="10-2570-400",B30="10-2570-600",B30="10-2570-800",B30="50-2570-200",B30="10-2610-100",B30="10-2610-200",B30="10-2610-300",B30="10-2610-400",B30="10-2610-600",B30="10-2610-800",B30="50-2610-200",B30="10-2620-100",B30="10-2620-200",B30="10-2620-300",B30="10-2620-400",B30="10-2620-600",B30="10-2620-800",B30="50-2620-200",B30="10-2630-100",B30="10-2630-200",B30="10-2630-300",B30="10-2630-400",B30="10-2630-600",B30="10-2630-800",B30="50-2630-200",B30="10-2640-100",B30="10-2640-200",B30="10-2640-300",B30="10-2640-400",B30="10-2640-600",B30="10-2640-800",B30="50-2640-200",B30="10-2660-100",B30="10-2660-200",B30="10-2660-300",B30="10-2660-400",B30="10-2660-600",B30="10-2660-800",B30="50-2660-200",B30="10-2900-100",B30="10-2900-200",B30="10-2900-300",B30="10-2900-400",B30="10-2900-600",B30="10-2900-800",B30="20-2900-100",B30="20-2900-200",B30="20-2900-300",B30="20-2900-400",B30="20-2900-600",B30="20-2900-800",B30="40-2900-100",B30="40-2900-200",B30="40-2900-300",B30="40-2900-400",B30="40-2900-600",B30="40-2900-800",B30="50-2900-200",B30="60-2900-100",B30="60-2900-200",B30="60-2900-300",B30="60-2900-400",B30="60-2900-600",B30="60-2900-800",B30="90-2900-100",B30="90-2900-200",B30="90-2900-300",B30="90-2900-400",B30="90-2900-600",B30="90-2900-800",B30="10-3000-100",B30="10-3000-200",B30="10-3000-300",B30="10-3000-400",B30="10-3000-600",B30="10-3000-800",B30="20-3000-100",B30="20-3000-200",B30="20-3000-300",B30="20-3000-400",B30="20-3000-600",B30="20-3000-800",B30="40-3000-100",B30="40-3000-200",B30="40-3000-300",B30="40-3000-400",B30="40-3000-600",B30="40-3000-800",B30="50-3000-200"),E30,0)</f>
        <v>0</v>
      </c>
      <c r="G30" s="1814">
        <f t="shared" ref="G30:G34" si="13">IF(F30=0,0,D30-F30)</f>
        <v>0</v>
      </c>
    </row>
    <row r="31" spans="1:8" x14ac:dyDescent="0.25">
      <c r="A31" s="1675"/>
      <c r="B31" s="1687"/>
      <c r="C31" s="1676"/>
      <c r="D31" s="1865"/>
      <c r="E31" s="1562">
        <f t="shared" si="11"/>
        <v>0</v>
      </c>
      <c r="F31" s="1813">
        <f t="shared" si="12"/>
        <v>0</v>
      </c>
      <c r="G31" s="1814">
        <f t="shared" si="13"/>
        <v>0</v>
      </c>
    </row>
    <row r="32" spans="1:8" x14ac:dyDescent="0.25">
      <c r="A32" s="1675"/>
      <c r="B32" s="1687"/>
      <c r="C32" s="1676"/>
      <c r="D32" s="1865"/>
      <c r="E32" s="1562">
        <f t="shared" si="11"/>
        <v>0</v>
      </c>
      <c r="F32" s="1813">
        <f t="shared" si="12"/>
        <v>0</v>
      </c>
      <c r="G32" s="1814">
        <f t="shared" si="13"/>
        <v>0</v>
      </c>
    </row>
    <row r="33" spans="1:7" x14ac:dyDescent="0.25">
      <c r="A33" s="1675"/>
      <c r="B33" s="1687"/>
      <c r="C33" s="1676"/>
      <c r="D33" s="1865"/>
      <c r="E33" s="1562">
        <f t="shared" si="11"/>
        <v>0</v>
      </c>
      <c r="F33" s="1813">
        <f t="shared" si="12"/>
        <v>0</v>
      </c>
      <c r="G33" s="1814">
        <f t="shared" si="13"/>
        <v>0</v>
      </c>
    </row>
    <row r="34" spans="1:7" x14ac:dyDescent="0.25">
      <c r="A34" s="1675"/>
      <c r="B34" s="1687"/>
      <c r="C34" s="1676"/>
      <c r="D34" s="1865"/>
      <c r="E34" s="1562">
        <f t="shared" si="11"/>
        <v>0</v>
      </c>
      <c r="F34" s="1813">
        <f t="shared" si="12"/>
        <v>0</v>
      </c>
      <c r="G34" s="1814">
        <f t="shared" si="13"/>
        <v>0</v>
      </c>
    </row>
    <row r="35" spans="1:7" x14ac:dyDescent="0.25">
      <c r="A35" s="1675"/>
      <c r="B35" s="1686"/>
      <c r="C35" s="1676"/>
      <c r="D35" s="1865"/>
      <c r="E35" s="1562">
        <f t="shared" si="2"/>
        <v>0</v>
      </c>
      <c r="F35" s="1813">
        <f t="shared" si="3"/>
        <v>0</v>
      </c>
      <c r="G35" s="1814">
        <f t="shared" si="4"/>
        <v>0</v>
      </c>
    </row>
    <row r="36" spans="1:7" x14ac:dyDescent="0.25">
      <c r="A36" s="1817" t="s">
        <v>158</v>
      </c>
      <c r="B36" s="1818"/>
      <c r="C36" s="1819"/>
      <c r="D36" s="1815">
        <f>SUM(D17:D35)</f>
        <v>194051</v>
      </c>
      <c r="E36" s="1563">
        <f t="shared" si="1"/>
        <v>25000</v>
      </c>
      <c r="F36" s="1815">
        <f>SUM(F17:F35)</f>
        <v>50000</v>
      </c>
      <c r="G36" s="1816">
        <f>SUM(G17:G35)</f>
        <v>30931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&amp;C29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B1" sqref="B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7" t="s">
        <v>1943</v>
      </c>
      <c r="B11" s="2308"/>
      <c r="C11" s="2308"/>
      <c r="D11" s="230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3184297</v>
      </c>
      <c r="F19" s="1820"/>
      <c r="G19" s="1822">
        <f>'Expenditures 15-22'!K33-SUM('Expenditures 15-22'!G33,'Expenditures 15-22'!I33)+'Expenditures 15-22'!D229</f>
        <v>3184297</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98246</v>
      </c>
      <c r="F21" s="1823"/>
      <c r="G21" s="1826">
        <f>'Expenditures 15-22'!K42-SUM('Expenditures 15-22'!G42,'Expenditures 15-22'!I42)+'Expenditures 15-22'!K120-SUM('Expenditures 15-22'!G120,'Expenditures 15-22'!I120)+'Expenditures 15-22'!K180-SUM('Expenditures 15-22'!G180,'Expenditures 15-22'!I180)+'Expenditures 15-22'!D238</f>
        <v>98246</v>
      </c>
      <c r="H21" s="988"/>
      <c r="I21" s="162"/>
    </row>
    <row r="22" spans="1:9" s="669" customFormat="1" ht="12" customHeight="1" x14ac:dyDescent="0.2">
      <c r="A22" s="995" t="s">
        <v>585</v>
      </c>
      <c r="B22" s="996"/>
      <c r="C22" s="994">
        <v>2200</v>
      </c>
      <c r="D22" s="1823"/>
      <c r="E22" s="1825">
        <f>'Expenditures 15-22'!K47-SUM('Expenditures 15-22'!G47,'Expenditures 15-22'!I47)+'Expenditures 15-22'!D243</f>
        <v>6035</v>
      </c>
      <c r="F22" s="1823"/>
      <c r="G22" s="1826">
        <f>'Expenditures 15-22'!K47-SUM('Expenditures 15-22'!G47,'Expenditures 15-22'!I47)+'Expenditures 15-22'!D243</f>
        <v>6035</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183165</v>
      </c>
      <c r="F23" s="1823"/>
      <c r="G23" s="1825">
        <f>'Expenditures 15-22'!K53-SUM('Expenditures 15-22'!G53,'Expenditures 15-22'!I53)+'Expenditures 15-22'!D257+'Expenditures 15-22'!K330-SUM('Expenditures 15-22'!G330,'Expenditures 15-22'!I330)</f>
        <v>183165</v>
      </c>
      <c r="H23" s="988"/>
      <c r="I23" s="162"/>
    </row>
    <row r="24" spans="1:9" s="669" customFormat="1" ht="12" customHeight="1" x14ac:dyDescent="0.2">
      <c r="A24" s="995" t="s">
        <v>587</v>
      </c>
      <c r="B24" s="996"/>
      <c r="C24" s="994">
        <v>2400</v>
      </c>
      <c r="D24" s="1823"/>
      <c r="E24" s="1825">
        <f>'Expenditures 15-22'!K57-SUM('Expenditures 15-22'!G57,'Expenditures 15-22'!I57)+'Expenditures 15-22'!D261</f>
        <v>91401</v>
      </c>
      <c r="F24" s="1823"/>
      <c r="G24" s="1826">
        <f>'Expenditures 15-22'!K57-SUM('Expenditures 15-22'!G57,'Expenditures 15-22'!I57)+'Expenditures 15-22'!D261</f>
        <v>91401</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151273</v>
      </c>
      <c r="E26" s="1825">
        <f>'Expenditures 15-22'!K122-SUM('Expenditures 15-22'!G122,'Expenditures 15-22'!I122)+E7</f>
        <v>0</v>
      </c>
      <c r="F26" s="1825">
        <f>'Expenditures 15-22'!K59-SUM('Expenditures 15-22'!G59,'Expenditures 15-22'!I59)+'Expenditures 15-22'!D263-E7</f>
        <v>151273</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896812</v>
      </c>
      <c r="F28" s="1827">
        <f>'Expenditures 15-22'!K61-SUM('Expenditures 15-22'!G61,'Expenditures 15-22'!I61)+'Expenditures 15-22'!K124-SUM('Expenditures 15-22'!G124,'Expenditures 15-22'!I124)+'Expenditures 15-22'!D266-E9</f>
        <v>896812</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9632</v>
      </c>
      <c r="F29" s="1823"/>
      <c r="G29" s="1826">
        <f>'Expenditures 15-22'!K62-SUM('Expenditures 15-22'!G62,'Expenditures 15-22'!I62)+'Expenditures 15-22'!K125-SUM('Expenditures 15-22'!G125,'Expenditures 15-22'!I125)+'Expenditures 15-22'!K182-SUM('Expenditures 15-22'!G182,'Expenditures 15-22'!I182)+'Expenditures 15-22'!D267</f>
        <v>9632</v>
      </c>
      <c r="H29" s="986"/>
    </row>
    <row r="30" spans="1:9" ht="12" customHeight="1" x14ac:dyDescent="0.2">
      <c r="A30" s="995" t="s">
        <v>102</v>
      </c>
      <c r="B30" s="998"/>
      <c r="C30" s="994">
        <v>2560</v>
      </c>
      <c r="D30" s="1823"/>
      <c r="E30" s="1825">
        <f>'Expenditures 15-22'!K63-SUM('Expenditures 15-22'!G63,'Expenditures 15-22'!I63)+'Expenditures 15-22'!D268-E10</f>
        <v>69905</v>
      </c>
      <c r="F30" s="1823"/>
      <c r="G30" s="1825">
        <f>'Expenditures 15-22'!K63-SUM('Expenditures 15-22'!G63,'Expenditures 15-22'!I63)+'Expenditures 15-22'!D268-E10</f>
        <v>69905</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3"/>
      <c r="E40" s="1827">
        <f>-'Contracts Paid in CY 29'!G36</f>
        <v>-30931</v>
      </c>
      <c r="F40" s="1823"/>
      <c r="G40" s="1827">
        <f>-'Contracts Paid in CY 29'!G36</f>
        <v>-30931</v>
      </c>
    </row>
    <row r="41" spans="1:7" ht="12" customHeight="1" x14ac:dyDescent="0.2">
      <c r="A41" s="999" t="s">
        <v>158</v>
      </c>
      <c r="B41" s="1000"/>
      <c r="C41" s="1001"/>
      <c r="D41" s="1827">
        <f>SUM(D19:D39)</f>
        <v>151273</v>
      </c>
      <c r="E41" s="1827">
        <f>SUM(E19:E40)</f>
        <v>4508562</v>
      </c>
      <c r="F41" s="1827">
        <f>SUM(F19:F39)</f>
        <v>1048085</v>
      </c>
      <c r="G41" s="1827">
        <f>SUM(G19:G40)</f>
        <v>3611750</v>
      </c>
    </row>
    <row r="42" spans="1:7" x14ac:dyDescent="0.2">
      <c r="A42" s="988"/>
      <c r="B42" s="162"/>
      <c r="C42" s="1002"/>
      <c r="D42" s="2305" t="s">
        <v>543</v>
      </c>
      <c r="E42" s="2306"/>
      <c r="F42" s="1003" t="s">
        <v>544</v>
      </c>
      <c r="G42" s="1004"/>
    </row>
    <row r="43" spans="1:7" ht="12" customHeight="1" x14ac:dyDescent="0.2">
      <c r="A43" s="988"/>
      <c r="B43" s="162"/>
      <c r="C43" s="1002"/>
      <c r="D43" s="1828" t="s">
        <v>493</v>
      </c>
      <c r="E43" s="1829">
        <f>D41</f>
        <v>151273</v>
      </c>
      <c r="F43" s="1828" t="s">
        <v>495</v>
      </c>
      <c r="G43" s="1829">
        <f>F41</f>
        <v>1048085</v>
      </c>
    </row>
    <row r="44" spans="1:7" ht="12" customHeight="1" x14ac:dyDescent="0.2">
      <c r="A44" s="988"/>
      <c r="B44" s="162"/>
      <c r="C44" s="1002"/>
      <c r="D44" s="1828" t="s">
        <v>494</v>
      </c>
      <c r="E44" s="1829">
        <f>E41</f>
        <v>4508562</v>
      </c>
      <c r="F44" s="1828" t="s">
        <v>494</v>
      </c>
      <c r="G44" s="1829">
        <f>G41</f>
        <v>3611750</v>
      </c>
    </row>
    <row r="45" spans="1:7" ht="12" customHeight="1" x14ac:dyDescent="0.2">
      <c r="A45" s="988"/>
      <c r="B45" s="162"/>
      <c r="C45" s="162"/>
      <c r="D45" s="1830" t="s">
        <v>1063</v>
      </c>
      <c r="E45" s="1831">
        <f>(E43/E44)</f>
        <v>3.3552383221080249E-2</v>
      </c>
      <c r="F45" s="1830" t="s">
        <v>1063</v>
      </c>
      <c r="G45" s="1831">
        <f>(G43/G44)</f>
        <v>0.29018758219699592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22" sqref="A22"/>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24" t="s">
        <v>1446</v>
      </c>
      <c r="B1" s="2324"/>
      <c r="C1" s="2324"/>
      <c r="D1" s="2324"/>
      <c r="E1" s="2324"/>
      <c r="F1" s="2324"/>
    </row>
    <row r="2" spans="1:10" x14ac:dyDescent="0.2">
      <c r="A2" s="1908" t="s">
        <v>2046</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25" t="s">
        <v>1627</v>
      </c>
      <c r="B5" s="2326"/>
      <c r="C5" s="2327"/>
      <c r="D5" s="2327"/>
      <c r="E5" s="2327"/>
      <c r="F5" s="2327"/>
    </row>
    <row r="6" spans="1:10" ht="12" customHeight="1" x14ac:dyDescent="0.25">
      <c r="A6" s="1871"/>
      <c r="B6" s="1872"/>
      <c r="C6" s="2328" t="str">
        <f>COVER!A17</f>
        <v xml:space="preserve">Capital Area Career Center                  </v>
      </c>
      <c r="D6" s="2328"/>
      <c r="E6" s="2328"/>
      <c r="F6" s="1873"/>
    </row>
    <row r="7" spans="1:10" ht="11.25" customHeight="1" thickBot="1" x14ac:dyDescent="0.3">
      <c r="A7" s="1871"/>
      <c r="B7" s="1872"/>
      <c r="C7" s="2329">
        <f>COVER!A13</f>
        <v>51084790040</v>
      </c>
      <c r="D7" s="2329"/>
      <c r="E7" s="2329"/>
      <c r="F7" s="1873"/>
    </row>
    <row r="8" spans="1:10" ht="25.5" customHeight="1" thickBot="1" x14ac:dyDescent="0.25">
      <c r="A8" s="1914" t="s">
        <v>2023</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t="s">
        <v>2082</v>
      </c>
      <c r="D19" s="1886" t="s">
        <v>2082</v>
      </c>
      <c r="E19" s="1889"/>
      <c r="F19" s="1888" t="s">
        <v>2096</v>
      </c>
      <c r="H19" s="1899">
        <f t="shared" si="0"/>
        <v>5</v>
      </c>
      <c r="I19" s="1899">
        <f t="shared" si="1"/>
        <v>5</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c r="D26" s="1886"/>
      <c r="E26" s="1889"/>
      <c r="F26" s="1888"/>
      <c r="H26" s="1899">
        <f t="shared" si="0"/>
        <v>0</v>
      </c>
      <c r="I26" s="1899">
        <f t="shared" si="1"/>
        <v>0</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c r="D31" s="1886"/>
      <c r="E31" s="1889"/>
      <c r="F31" s="1888"/>
      <c r="H31" s="1899">
        <f t="shared" si="0"/>
        <v>0</v>
      </c>
      <c r="I31" s="1899">
        <f t="shared" si="1"/>
        <v>0</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5</v>
      </c>
      <c r="I34" s="1899">
        <f>SUM(I11:I32)</f>
        <v>5</v>
      </c>
      <c r="J34" s="1899">
        <f>SUM(J11:J32)</f>
        <v>0</v>
      </c>
      <c r="K34" s="1899">
        <f>SUM(H34:J34)</f>
        <v>10</v>
      </c>
    </row>
    <row r="35" spans="1:11" ht="12" customHeight="1" x14ac:dyDescent="0.2">
      <c r="A35" s="1892" t="s">
        <v>1459</v>
      </c>
      <c r="B35" s="1893"/>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94"/>
      <c r="B39" s="1894"/>
      <c r="C39" s="1894"/>
      <c r="D39" s="1894"/>
      <c r="E39" s="1894"/>
      <c r="F39" s="1894"/>
    </row>
    <row r="40" spans="1:11" s="1891" customFormat="1" ht="12" customHeight="1" x14ac:dyDescent="0.25">
      <c r="A40" s="1895" t="s">
        <v>1458</v>
      </c>
      <c r="B40" s="1896"/>
      <c r="C40" s="2319"/>
      <c r="D40" s="2319"/>
      <c r="E40" s="2319"/>
      <c r="F40" s="2320"/>
      <c r="H40" s="1900"/>
      <c r="I40" s="1900"/>
      <c r="J40" s="1900"/>
      <c r="K40" s="1900"/>
    </row>
    <row r="41" spans="1:11" s="1891" customFormat="1" ht="12" customHeight="1" x14ac:dyDescent="0.25">
      <c r="A41" s="2321"/>
      <c r="B41" s="2322"/>
      <c r="C41" s="2322"/>
      <c r="D41" s="2322"/>
      <c r="E41" s="2322"/>
      <c r="F41" s="2323"/>
      <c r="H41" s="1900"/>
      <c r="I41" s="1900"/>
      <c r="J41" s="1900"/>
      <c r="K41" s="1900"/>
    </row>
    <row r="42" spans="1:11" s="1891" customFormat="1" ht="12" customHeight="1" x14ac:dyDescent="0.25">
      <c r="A42" s="2321"/>
      <c r="B42" s="2322"/>
      <c r="C42" s="2322"/>
      <c r="D42" s="2322"/>
      <c r="E42" s="2322"/>
      <c r="F42" s="2323"/>
      <c r="H42" s="1900"/>
      <c r="I42" s="1900"/>
      <c r="J42" s="1900"/>
      <c r="K42" s="1900"/>
    </row>
    <row r="43" spans="1:11" s="1891" customFormat="1" ht="15" x14ac:dyDescent="0.25">
      <c r="A43" s="2310"/>
      <c r="B43" s="2311"/>
      <c r="C43" s="2311"/>
      <c r="D43" s="2311"/>
      <c r="E43" s="2311"/>
      <c r="F43" s="2312"/>
      <c r="H43" s="1900"/>
      <c r="I43" s="1900"/>
      <c r="J43" s="1900"/>
      <c r="K43" s="1900"/>
    </row>
    <row r="44" spans="1:11" s="1891" customFormat="1" ht="12" hidden="1" customHeight="1" x14ac:dyDescent="0.25">
      <c r="A44" s="2310"/>
      <c r="B44" s="2311"/>
      <c r="C44" s="2311"/>
      <c r="D44" s="2311"/>
      <c r="E44" s="2311"/>
      <c r="F44" s="2312"/>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1" sqref="C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37" t="str">
        <f>COVER!A17</f>
        <v xml:space="preserve">Capital Area Career Center                  </v>
      </c>
      <c r="J6" s="2338"/>
      <c r="Q6" s="1684"/>
    </row>
    <row r="7" spans="1:17" x14ac:dyDescent="0.2">
      <c r="A7" s="2339" t="s">
        <v>924</v>
      </c>
      <c r="B7" s="2340"/>
      <c r="C7" s="2340"/>
      <c r="D7" s="2340"/>
      <c r="E7" s="2341"/>
      <c r="F7" s="1018"/>
      <c r="G7" s="1010"/>
      <c r="H7" s="1017" t="s">
        <v>390</v>
      </c>
      <c r="I7" s="2342">
        <f>COVER!A13</f>
        <v>51084790040</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148299</v>
      </c>
      <c r="F12" s="1040"/>
      <c r="G12" s="1832">
        <f t="shared" ref="G12:G18" si="0">SUM(E12:F12)</f>
        <v>148299</v>
      </c>
      <c r="H12" s="1041"/>
      <c r="I12" s="1040"/>
      <c r="J12" s="1832">
        <f t="shared" ref="J12:J18" si="1">SUM(H12:I12)</f>
        <v>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151273</v>
      </c>
      <c r="F15" s="1832">
        <f>'Expenditures 15-22'!K122</f>
        <v>0</v>
      </c>
      <c r="G15" s="1832">
        <f t="shared" si="0"/>
        <v>151273</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6" t="s">
        <v>7</v>
      </c>
      <c r="C18" s="2347"/>
      <c r="D18" s="2348"/>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299572</v>
      </c>
      <c r="F19" s="1834">
        <f t="shared" si="2"/>
        <v>0</v>
      </c>
      <c r="G19" s="1834">
        <f t="shared" si="2"/>
        <v>299572</v>
      </c>
      <c r="H19" s="1834">
        <f t="shared" si="2"/>
        <v>0</v>
      </c>
      <c r="I19" s="1834">
        <f t="shared" si="2"/>
        <v>0</v>
      </c>
      <c r="J19" s="1834">
        <f t="shared" si="2"/>
        <v>0</v>
      </c>
    </row>
    <row r="20" spans="1:10" ht="13.5" thickTop="1" x14ac:dyDescent="0.2">
      <c r="A20" s="1036">
        <v>9</v>
      </c>
      <c r="B20" s="2349" t="s">
        <v>1703</v>
      </c>
      <c r="C20" s="2349"/>
      <c r="D20" s="2350"/>
      <c r="E20" s="1047"/>
      <c r="F20" s="1047"/>
      <c r="G20" s="1047"/>
      <c r="H20" s="1047"/>
      <c r="I20" s="1047"/>
      <c r="J20" s="1835"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1942</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2142</v>
      </c>
    </row>
    <row r="6" spans="1:2" x14ac:dyDescent="0.2">
      <c r="A6" s="1069"/>
      <c r="B6" s="329" t="s">
        <v>2141</v>
      </c>
    </row>
    <row r="7" spans="1:2" x14ac:dyDescent="0.2">
      <c r="A7" s="1069">
        <v>2</v>
      </c>
      <c r="B7" s="329" t="s">
        <v>2143</v>
      </c>
    </row>
    <row r="8" spans="1:2" x14ac:dyDescent="0.2">
      <c r="A8" s="1069">
        <v>3</v>
      </c>
      <c r="B8" s="329" t="s">
        <v>2144</v>
      </c>
    </row>
    <row r="9" spans="1:2" x14ac:dyDescent="0.2">
      <c r="A9" s="1069">
        <v>4</v>
      </c>
      <c r="B9" s="329" t="s">
        <v>2145</v>
      </c>
    </row>
    <row r="10" spans="1:2" x14ac:dyDescent="0.2">
      <c r="A10" s="1069">
        <v>5</v>
      </c>
      <c r="B10" s="329" t="s">
        <v>2149</v>
      </c>
    </row>
    <row r="11" spans="1:2" x14ac:dyDescent="0.2">
      <c r="A11" s="1069">
        <v>6</v>
      </c>
      <c r="B11" s="329" t="s">
        <v>2150</v>
      </c>
    </row>
    <row r="12" spans="1:2" x14ac:dyDescent="0.2">
      <c r="A12" s="1069">
        <v>7</v>
      </c>
    </row>
    <row r="13" spans="1:2" x14ac:dyDescent="0.2">
      <c r="A13" s="1069">
        <v>8</v>
      </c>
    </row>
    <row r="14" spans="1:2" x14ac:dyDescent="0.2">
      <c r="A14" s="1069">
        <v>9</v>
      </c>
    </row>
    <row r="15" spans="1:2" x14ac:dyDescent="0.2">
      <c r="A15" s="1069">
        <v>10</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 xml:space="preserve">Capital Area Career Center                  </v>
      </c>
    </row>
    <row r="65" spans="2:2" x14ac:dyDescent="0.2">
      <c r="B65" s="1071">
        <f>COVER!A13</f>
        <v>51084790040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1" sqref="B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1619250</xdr:colOff>
                <xdr:row>4</xdr:row>
                <xdr:rowOff>9525</xdr:rowOff>
              </from>
              <to>
                <xdr:col>1</xdr:col>
                <xdr:colOff>2533650</xdr:colOff>
                <xdr:row>8</xdr:row>
                <xdr:rowOff>47625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2054</v>
      </c>
      <c r="B4" s="2377"/>
      <c r="C4" s="2377"/>
      <c r="D4" s="2377"/>
      <c r="E4" s="2377"/>
      <c r="F4" s="2378"/>
      <c r="G4" s="1075"/>
      <c r="H4" s="1075"/>
    </row>
    <row r="5" spans="1:8" ht="14.25" customHeight="1" x14ac:dyDescent="0.2">
      <c r="A5" s="2379" t="s">
        <v>2055</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5628539</v>
      </c>
      <c r="C8" s="1836">
        <f>'Acct Summary 7-8'!D8</f>
        <v>0</v>
      </c>
      <c r="D8" s="1836">
        <f>'Acct Summary 7-8'!F8</f>
        <v>0</v>
      </c>
      <c r="E8" s="1836">
        <f>'Acct Summary 7-8'!I8</f>
        <v>0</v>
      </c>
      <c r="F8" s="1836">
        <f>SUM(B8:E8)</f>
        <v>5628539</v>
      </c>
    </row>
    <row r="9" spans="1:8" s="1080" customFormat="1" ht="14.25" customHeight="1" thickBot="1" x14ac:dyDescent="0.25">
      <c r="A9" s="1079" t="s">
        <v>1436</v>
      </c>
      <c r="B9" s="1837">
        <f>'Acct Summary 7-8'!C17</f>
        <v>4931660</v>
      </c>
      <c r="C9" s="1837">
        <f>'Acct Summary 7-8'!D17</f>
        <v>0</v>
      </c>
      <c r="D9" s="1837">
        <f>'Acct Summary 7-8'!F17</f>
        <v>0</v>
      </c>
      <c r="E9" s="1836"/>
      <c r="F9" s="1836">
        <f>SUM(B9:E9)</f>
        <v>4931660</v>
      </c>
    </row>
    <row r="10" spans="1:8" s="1080" customFormat="1" ht="14.25" thickTop="1" thickBot="1" x14ac:dyDescent="0.25">
      <c r="A10" s="1081" t="s">
        <v>1437</v>
      </c>
      <c r="B10" s="1838">
        <f>(B8-B9)</f>
        <v>696879</v>
      </c>
      <c r="C10" s="1838">
        <f>(C8-C9)</f>
        <v>0</v>
      </c>
      <c r="D10" s="1838">
        <f>(D8-D9)</f>
        <v>0</v>
      </c>
      <c r="E10" s="1837">
        <f>(E8-E9)</f>
        <v>0</v>
      </c>
      <c r="F10" s="1839">
        <f>SUM(F8-F9)</f>
        <v>696879</v>
      </c>
    </row>
    <row r="11" spans="1:8" s="1080" customFormat="1" ht="14.25" thickTop="1" thickBot="1" x14ac:dyDescent="0.25">
      <c r="A11" s="1082" t="s">
        <v>1785</v>
      </c>
      <c r="B11" s="1840">
        <f>'Acct Summary 7-8'!C81</f>
        <v>2949355</v>
      </c>
      <c r="C11" s="1840">
        <f>'Acct Summary 7-8'!D81</f>
        <v>0</v>
      </c>
      <c r="D11" s="1840">
        <f>'Acct Summary 7-8'!F81</f>
        <v>0</v>
      </c>
      <c r="E11" s="1840">
        <f>'Acct Summary 7-8'!I81</f>
        <v>0</v>
      </c>
      <c r="F11" s="1841">
        <f>SUM(B11:E11)</f>
        <v>2949355</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ERROR!</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29'!D36&gt;0,"OK","PLEASE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51084790040</v>
      </c>
    </row>
    <row r="3" spans="1:2" x14ac:dyDescent="0.2">
      <c r="A3" t="s">
        <v>1013</v>
      </c>
      <c r="B3" s="138" t="str">
        <f>COVER!A15</f>
        <v>Sangamon</v>
      </c>
    </row>
    <row r="4" spans="1:2" x14ac:dyDescent="0.2">
      <c r="A4" t="s">
        <v>1064</v>
      </c>
      <c r="B4" s="138" t="str">
        <f>COVER!A17</f>
        <v xml:space="preserve">Capital Area Career Center                  </v>
      </c>
    </row>
    <row r="5" spans="1:2" x14ac:dyDescent="0.2">
      <c r="A5" t="s">
        <v>728</v>
      </c>
      <c r="B5" s="138" t="str">
        <f>COVER!A38</f>
        <v>Jodi Ferriell, Director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060-004845</v>
      </c>
    </row>
    <row r="16" spans="1:2" x14ac:dyDescent="0.2">
      <c r="A16" t="s">
        <v>442</v>
      </c>
      <c r="B16" s="138" t="str">
        <f>COVER!T13</f>
        <v xml:space="preserve">Pehlman and Dold, P.C.               </v>
      </c>
    </row>
    <row r="17" spans="1:2" x14ac:dyDescent="0.2">
      <c r="A17" t="s">
        <v>939</v>
      </c>
      <c r="B17" s="138" t="str">
        <f>COVER!T15</f>
        <v>Dorinda L Fitzgerald</v>
      </c>
    </row>
    <row r="18" spans="1:2" x14ac:dyDescent="0.2">
      <c r="A18" t="s">
        <v>1212</v>
      </c>
      <c r="B18" s="138" t="str">
        <f>COVER!T17</f>
        <v>100 North Amos Avenue</v>
      </c>
    </row>
    <row r="19" spans="1:2" x14ac:dyDescent="0.2">
      <c r="A19" t="s">
        <v>941</v>
      </c>
      <c r="B19" s="138" t="str">
        <f>COVER!T25</f>
        <v>dfitzgerald@p-dcpas.com</v>
      </c>
    </row>
    <row r="20" spans="1:2" x14ac:dyDescent="0.2">
      <c r="A20" t="s">
        <v>942</v>
      </c>
      <c r="B20" s="138" t="str">
        <f>COVER!T19</f>
        <v>Springfield</v>
      </c>
    </row>
    <row r="21" spans="1:2" x14ac:dyDescent="0.2">
      <c r="A21" t="s">
        <v>500</v>
      </c>
      <c r="B21" s="138" t="str">
        <f>COVER!X19</f>
        <v>IL</v>
      </c>
    </row>
    <row r="22" spans="1:2" x14ac:dyDescent="0.2">
      <c r="A22" t="s">
        <v>943</v>
      </c>
      <c r="B22" s="138">
        <f>COVER!Z19</f>
        <v>62702</v>
      </c>
    </row>
    <row r="23" spans="1:2" x14ac:dyDescent="0.2">
      <c r="A23" t="s">
        <v>1214</v>
      </c>
      <c r="B23" s="138" t="str">
        <f>COVER!T21</f>
        <v>(217) 787-0563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3213096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1850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263741</v>
      </c>
      <c r="C91" s="2" t="s">
        <v>594</v>
      </c>
      <c r="D91" s="2" t="str">
        <f t="shared" si="0"/>
        <v>Error?</v>
      </c>
    </row>
    <row r="92" spans="1:4" x14ac:dyDescent="0.2">
      <c r="A92" s="5">
        <v>31</v>
      </c>
      <c r="B92" s="138">
        <f>'Assets-Liab 5-6'!C39</f>
        <v>2949355</v>
      </c>
      <c r="D92" s="2" t="str">
        <f t="shared" si="0"/>
        <v>Error?</v>
      </c>
    </row>
    <row r="93" spans="1:4" x14ac:dyDescent="0.2">
      <c r="A93" s="5">
        <v>32</v>
      </c>
      <c r="B93" s="138">
        <f>'Assets-Liab 5-6'!C41</f>
        <v>3213096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34705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34705</v>
      </c>
      <c r="D212" s="2" t="str">
        <f t="shared" si="2"/>
        <v>Error?</v>
      </c>
    </row>
    <row r="213" spans="1:4" x14ac:dyDescent="0.2">
      <c r="A213" s="12">
        <v>152</v>
      </c>
      <c r="B213" s="138">
        <f>'Assets-Liab 5-6'!H41</f>
        <v>34705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300000</v>
      </c>
      <c r="D273" s="2" t="str">
        <f t="shared" si="3"/>
        <v>Error?</v>
      </c>
    </row>
    <row r="274" spans="1:4" x14ac:dyDescent="0.2">
      <c r="A274" s="5">
        <v>213</v>
      </c>
      <c r="B274" s="138">
        <f>'Assets-Liab 5-6'!M17</f>
        <v>11010306</v>
      </c>
      <c r="D274" s="2" t="str">
        <f t="shared" si="3"/>
        <v>Error?</v>
      </c>
    </row>
    <row r="275" spans="1:4" x14ac:dyDescent="0.2">
      <c r="A275" s="5">
        <v>214</v>
      </c>
      <c r="B275" s="138">
        <f>'Assets-Liab 5-6'!M18</f>
        <v>588573</v>
      </c>
      <c r="D275" s="2" t="str">
        <f t="shared" si="3"/>
        <v>Error?</v>
      </c>
    </row>
    <row r="276" spans="1:4" x14ac:dyDescent="0.2">
      <c r="A276" s="5">
        <v>215</v>
      </c>
      <c r="B276" s="138">
        <f>'Assets-Liab 5-6'!M19</f>
        <v>1394569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13295973</v>
      </c>
      <c r="C279" s="2" t="s">
        <v>594</v>
      </c>
      <c r="D279" s="2" t="str">
        <f t="shared" si="3"/>
        <v>Error?</v>
      </c>
    </row>
    <row r="280" spans="1:4" x14ac:dyDescent="0.2">
      <c r="A280" s="5">
        <v>219</v>
      </c>
      <c r="B280" s="138">
        <f>'Assets-Liab 5-6'!M40</f>
        <v>13295973</v>
      </c>
      <c r="D280" s="2" t="str">
        <f t="shared" si="3"/>
        <v>Error?</v>
      </c>
    </row>
    <row r="281" spans="1:4" x14ac:dyDescent="0.2">
      <c r="A281" s="5">
        <v>220</v>
      </c>
      <c r="B281" s="138">
        <f>'Assets-Liab 5-6'!M41</f>
        <v>13295973</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1637026</v>
      </c>
      <c r="D283" s="2" t="str">
        <f t="shared" si="3"/>
        <v>Error?</v>
      </c>
    </row>
    <row r="284" spans="1:4" x14ac:dyDescent="0.2">
      <c r="A284" s="5">
        <v>223</v>
      </c>
      <c r="B284" s="138">
        <f>'Assets-Liab 5-6'!N23</f>
        <v>1637026</v>
      </c>
      <c r="C284" s="2" t="s">
        <v>594</v>
      </c>
      <c r="D284" s="2" t="str">
        <f t="shared" si="3"/>
        <v>Error?</v>
      </c>
    </row>
    <row r="285" spans="1:4" x14ac:dyDescent="0.2">
      <c r="A285" s="5">
        <v>224</v>
      </c>
      <c r="B285" s="138">
        <f>'Assets-Liab 5-6'!N36</f>
        <v>1637026</v>
      </c>
      <c r="D285" s="2" t="str">
        <f t="shared" si="3"/>
        <v>Error?</v>
      </c>
    </row>
    <row r="286" spans="1:4" x14ac:dyDescent="0.2">
      <c r="A286" s="10">
        <v>225</v>
      </c>
      <c r="D286" s="2" t="str">
        <f t="shared" si="3"/>
        <v>OK</v>
      </c>
    </row>
    <row r="287" spans="1:4" x14ac:dyDescent="0.2">
      <c r="A287" s="5">
        <v>226</v>
      </c>
      <c r="B287" s="138">
        <f>'Assets-Liab 5-6'!N37</f>
        <v>1637026</v>
      </c>
      <c r="C287" s="2" t="s">
        <v>594</v>
      </c>
      <c r="D287" s="2" t="str">
        <f t="shared" si="3"/>
        <v>Error?</v>
      </c>
    </row>
    <row r="288" spans="1:4" x14ac:dyDescent="0.2">
      <c r="A288" s="5">
        <v>227</v>
      </c>
      <c r="B288" s="138">
        <f>'Assets-Liab 5-6'!N41</f>
        <v>1637026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896917</v>
      </c>
      <c r="D716" s="2" t="str">
        <f t="shared" si="10"/>
        <v>Error?</v>
      </c>
    </row>
    <row r="717" spans="1:4" x14ac:dyDescent="0.2">
      <c r="A717" s="5">
        <v>656</v>
      </c>
      <c r="B717" s="138">
        <f>'Expenditures 15-22'!C13</f>
        <v>1050851</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1971490</v>
      </c>
      <c r="C720" s="2" t="s">
        <v>594</v>
      </c>
      <c r="D720" s="2" t="str">
        <f t="shared" si="10"/>
        <v>Error?</v>
      </c>
    </row>
    <row r="721" spans="1:4" x14ac:dyDescent="0.2">
      <c r="A721" s="5">
        <v>660</v>
      </c>
      <c r="B721" s="138">
        <f>'Expenditures 15-22'!C36</f>
        <v>39953</v>
      </c>
      <c r="D721" s="2" t="str">
        <f t="shared" si="10"/>
        <v>Error?</v>
      </c>
    </row>
    <row r="722" spans="1:4" x14ac:dyDescent="0.2">
      <c r="A722" s="5">
        <v>661</v>
      </c>
      <c r="B722" s="138">
        <f>'Expenditures 15-22'!C37</f>
        <v>28372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68325</v>
      </c>
      <c r="C727" s="2" t="s">
        <v>594</v>
      </c>
      <c r="D727" s="2" t="str">
        <f t="shared" si="10"/>
        <v>Error?</v>
      </c>
    </row>
    <row r="728" spans="1:4" x14ac:dyDescent="0.2">
      <c r="A728" s="5">
        <v>667</v>
      </c>
      <c r="B728" s="138">
        <f>'Expenditures 15-22'!C44</f>
        <v>210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117764</v>
      </c>
      <c r="D733" s="2" t="str">
        <f t="shared" si="10"/>
        <v>Error?</v>
      </c>
    </row>
    <row r="734" spans="1:4" x14ac:dyDescent="0.2">
      <c r="A734" s="5">
        <v>673</v>
      </c>
      <c r="B734" s="138">
        <f>'Expenditures 15-22'!C53</f>
        <v>117764</v>
      </c>
      <c r="C734" s="2" t="s">
        <v>594</v>
      </c>
      <c r="D734" s="2" t="str">
        <f t="shared" si="10"/>
        <v>Error?</v>
      </c>
    </row>
    <row r="735" spans="1:4" x14ac:dyDescent="0.2">
      <c r="A735" s="5">
        <v>674</v>
      </c>
      <c r="B735" s="138">
        <f>'Expenditures 15-22'!C55</f>
        <v>67000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67000</v>
      </c>
      <c r="C737" s="2" t="s">
        <v>594</v>
      </c>
      <c r="D737" s="2" t="str">
        <f t="shared" si="10"/>
        <v>Error?</v>
      </c>
    </row>
    <row r="738" spans="1:4" x14ac:dyDescent="0.2">
      <c r="A738" s="5">
        <v>677</v>
      </c>
      <c r="B738" s="138">
        <f>'Expenditures 15-22'!C59</f>
        <v>100287</v>
      </c>
      <c r="D738" s="2" t="str">
        <f t="shared" si="10"/>
        <v>Error?</v>
      </c>
    </row>
    <row r="739" spans="1:4" x14ac:dyDescent="0.2">
      <c r="A739" s="5">
        <v>678</v>
      </c>
      <c r="B739" s="138">
        <f>'Expenditures 15-22'!C60</f>
        <v>0</v>
      </c>
      <c r="D739" s="2" t="str">
        <f t="shared" si="10"/>
        <v>Error?</v>
      </c>
    </row>
    <row r="740" spans="1:4" x14ac:dyDescent="0.2">
      <c r="A740" s="5">
        <v>679</v>
      </c>
      <c r="B740" s="138">
        <f>'Expenditures 15-22'!C61</f>
        <v>258431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30006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388724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642023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2613513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251461</v>
      </c>
      <c r="D774" s="2" t="str">
        <f t="shared" si="11"/>
        <v>Error?</v>
      </c>
    </row>
    <row r="775" spans="1:4" x14ac:dyDescent="0.2">
      <c r="A775" s="5">
        <v>714</v>
      </c>
      <c r="B775" s="138">
        <f>'Expenditures 15-22'!D13</f>
        <v>210246</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465533</v>
      </c>
      <c r="C778" s="2" t="s">
        <v>594</v>
      </c>
      <c r="D778" s="2" t="str">
        <f t="shared" si="11"/>
        <v>Error?</v>
      </c>
    </row>
    <row r="779" spans="1:4" x14ac:dyDescent="0.2">
      <c r="A779" s="5">
        <v>718</v>
      </c>
      <c r="B779" s="138">
        <f>'Expenditures 15-22'!D36</f>
        <v>6379</v>
      </c>
      <c r="D779" s="2" t="str">
        <f t="shared" si="11"/>
        <v>Error?</v>
      </c>
    </row>
    <row r="780" spans="1:4" x14ac:dyDescent="0.2">
      <c r="A780" s="5">
        <v>719</v>
      </c>
      <c r="B780" s="138">
        <f>'Expenditures 15-22'!D37</f>
        <v>3702</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10081</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26506</v>
      </c>
      <c r="D791" s="2" t="str">
        <f t="shared" si="11"/>
        <v>Error?</v>
      </c>
    </row>
    <row r="792" spans="1:4" x14ac:dyDescent="0.2">
      <c r="A792" s="5">
        <v>731</v>
      </c>
      <c r="B792" s="138">
        <f>'Expenditures 15-22'!D53</f>
        <v>26506</v>
      </c>
      <c r="C792" s="2" t="s">
        <v>594</v>
      </c>
      <c r="D792" s="2" t="str">
        <f t="shared" si="11"/>
        <v>Error?</v>
      </c>
    </row>
    <row r="793" spans="1:4" x14ac:dyDescent="0.2">
      <c r="A793" s="5">
        <v>732</v>
      </c>
      <c r="B793" s="138">
        <f>'Expenditures 15-22'!D55</f>
        <v>19274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19274</v>
      </c>
      <c r="C795" s="2" t="s">
        <v>594</v>
      </c>
      <c r="D795" s="2" t="str">
        <f t="shared" si="11"/>
        <v>Error?</v>
      </c>
    </row>
    <row r="796" spans="1:4" x14ac:dyDescent="0.2">
      <c r="A796" s="5">
        <v>735</v>
      </c>
      <c r="B796" s="138">
        <f>'Expenditures 15-22'!D59</f>
        <v>24187</v>
      </c>
      <c r="D796" s="2" t="str">
        <f t="shared" si="11"/>
        <v>Error?</v>
      </c>
    </row>
    <row r="797" spans="1:4" x14ac:dyDescent="0.2">
      <c r="A797" s="5">
        <v>736</v>
      </c>
      <c r="B797" s="138">
        <f>'Expenditures 15-22'!D60</f>
        <v>0</v>
      </c>
      <c r="D797" s="2" t="str">
        <f t="shared" si="11"/>
        <v>Error?</v>
      </c>
    </row>
    <row r="798" spans="1:4" x14ac:dyDescent="0.2">
      <c r="A798" s="5">
        <v>737</v>
      </c>
      <c r="B798" s="138">
        <f>'Expenditures 15-22'!D61</f>
        <v>77361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4119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105667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161528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627061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281112</v>
      </c>
      <c r="D832" s="2" t="str">
        <f t="shared" si="12"/>
        <v>Error?</v>
      </c>
    </row>
    <row r="833" spans="1:4" x14ac:dyDescent="0.2">
      <c r="A833" s="5">
        <v>772</v>
      </c>
      <c r="B833" s="138">
        <f>'Expenditures 15-22'!E13</f>
        <v>132263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413375</v>
      </c>
      <c r="C836" s="2" t="s">
        <v>594</v>
      </c>
      <c r="D836" s="2" t="str">
        <f t="shared" si="12"/>
        <v>Error?</v>
      </c>
    </row>
    <row r="837" spans="1:4" x14ac:dyDescent="0.2">
      <c r="A837" s="5">
        <v>776</v>
      </c>
      <c r="B837" s="138">
        <f>'Expenditures 15-22'!E36</f>
        <v>15258</v>
      </c>
      <c r="D837" s="2" t="str">
        <f t="shared" si="12"/>
        <v>Error?</v>
      </c>
    </row>
    <row r="838" spans="1:4" x14ac:dyDescent="0.2">
      <c r="A838" s="5">
        <v>777</v>
      </c>
      <c r="B838" s="138">
        <f>'Expenditures 15-22'!E37</f>
        <v>1310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16568</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5825</v>
      </c>
      <c r="D846" s="2" t="str">
        <f t="shared" si="12"/>
        <v>Error?</v>
      </c>
    </row>
    <row r="847" spans="1:4" x14ac:dyDescent="0.2">
      <c r="A847" s="5">
        <v>786</v>
      </c>
      <c r="B847" s="138">
        <f>'Expenditures 15-22'!E47</f>
        <v>5825</v>
      </c>
      <c r="C847" s="2" t="s">
        <v>594</v>
      </c>
      <c r="D847" s="2" t="str">
        <f t="shared" si="12"/>
        <v>Error?</v>
      </c>
    </row>
    <row r="848" spans="1:4" x14ac:dyDescent="0.2">
      <c r="A848" s="5">
        <v>787</v>
      </c>
      <c r="B848" s="138">
        <f>'Expenditures 15-22'!E49</f>
        <v>33448</v>
      </c>
      <c r="D848" s="2" t="str">
        <f t="shared" si="12"/>
        <v>Error?</v>
      </c>
    </row>
    <row r="849" spans="1:4" x14ac:dyDescent="0.2">
      <c r="A849" s="5">
        <v>788</v>
      </c>
      <c r="B849" s="138">
        <f>'Expenditures 15-22'!E50</f>
        <v>1672</v>
      </c>
      <c r="D849" s="2" t="str">
        <f t="shared" si="12"/>
        <v>Error?</v>
      </c>
    </row>
    <row r="850" spans="1:4" x14ac:dyDescent="0.2">
      <c r="A850" s="5">
        <v>789</v>
      </c>
      <c r="B850" s="138">
        <f>'Expenditures 15-22'!E53</f>
        <v>35120</v>
      </c>
      <c r="C850" s="2" t="s">
        <v>594</v>
      </c>
      <c r="D850" s="2" t="str">
        <f t="shared" si="12"/>
        <v>Error?</v>
      </c>
    </row>
    <row r="851" spans="1:4" x14ac:dyDescent="0.2">
      <c r="A851" s="5">
        <v>790</v>
      </c>
      <c r="B851" s="138">
        <f>'Expenditures 15-22'!E55</f>
        <v>3376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3376</v>
      </c>
      <c r="C853" s="2" t="s">
        <v>594</v>
      </c>
      <c r="D853" s="2" t="str">
        <f t="shared" si="12"/>
        <v>Error?</v>
      </c>
    </row>
    <row r="854" spans="1:4" x14ac:dyDescent="0.2">
      <c r="A854" s="5">
        <v>793</v>
      </c>
      <c r="B854" s="138">
        <f>'Expenditures 15-22'!E59</f>
        <v>16855</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487173</v>
      </c>
      <c r="D856" s="2" t="str">
        <f t="shared" si="12"/>
        <v>Error?</v>
      </c>
    </row>
    <row r="857" spans="1:4" x14ac:dyDescent="0.2">
      <c r="A857" s="5">
        <v>796</v>
      </c>
      <c r="B857" s="138">
        <f>'Expenditures 15-22'!E62</f>
        <v>9632</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513660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574549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987924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221772</v>
      </c>
      <c r="D890" s="2" t="str">
        <f t="shared" si="12"/>
        <v>Error?</v>
      </c>
    </row>
    <row r="891" spans="1:4" x14ac:dyDescent="0.2">
      <c r="A891" s="5">
        <v>830</v>
      </c>
      <c r="B891" s="138">
        <f>'Expenditures 15-22'!F13</f>
        <v>90392</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312219</v>
      </c>
      <c r="C894" s="2" t="s">
        <v>594</v>
      </c>
      <c r="D894" s="2" t="str">
        <f t="shared" si="12"/>
        <v>Error?</v>
      </c>
    </row>
    <row r="895" spans="1:4" x14ac:dyDescent="0.2">
      <c r="A895" s="5">
        <v>834</v>
      </c>
      <c r="B895" s="138">
        <f>'Expenditures 15-22'!F36</f>
        <v>2874</v>
      </c>
      <c r="D895" s="2" t="str">
        <f t="shared" ref="D895:D958" si="13">IF(ISBLANK(B895),"OK",IF(A895-B895=0,"OK","Error?"))</f>
        <v>Error?</v>
      </c>
    </row>
    <row r="896" spans="1:4" x14ac:dyDescent="0.2">
      <c r="A896" s="5">
        <v>835</v>
      </c>
      <c r="B896" s="138">
        <f>'Expenditures 15-22'!F37</f>
        <v>398</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3272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564</v>
      </c>
      <c r="D906" s="2" t="str">
        <f t="shared" si="13"/>
        <v>Error?</v>
      </c>
    </row>
    <row r="907" spans="1:4" x14ac:dyDescent="0.2">
      <c r="A907" s="5">
        <v>846</v>
      </c>
      <c r="B907" s="138">
        <f>'Expenditures 15-22'!F50</f>
        <v>681</v>
      </c>
      <c r="D907" s="2" t="str">
        <f t="shared" si="13"/>
        <v>Error?</v>
      </c>
    </row>
    <row r="908" spans="1:4" x14ac:dyDescent="0.2">
      <c r="A908" s="5">
        <v>847</v>
      </c>
      <c r="B908" s="138">
        <f>'Expenditures 15-22'!F53</f>
        <v>1245</v>
      </c>
      <c r="C908" s="2" t="s">
        <v>594</v>
      </c>
      <c r="D908" s="2" t="str">
        <f t="shared" si="13"/>
        <v>Error?</v>
      </c>
    </row>
    <row r="909" spans="1:4" x14ac:dyDescent="0.2">
      <c r="A909" s="5">
        <v>848</v>
      </c>
      <c r="B909" s="138">
        <f>'Expenditures 15-22'!F55</f>
        <v>1256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1256</v>
      </c>
      <c r="C911" s="2" t="s">
        <v>594</v>
      </c>
      <c r="D911" s="2" t="str">
        <f t="shared" si="13"/>
        <v>Error?</v>
      </c>
    </row>
    <row r="912" spans="1:4" x14ac:dyDescent="0.2">
      <c r="A912" s="5">
        <v>851</v>
      </c>
      <c r="B912" s="138">
        <f>'Expenditures 15-22'!F59</f>
        <v>4984</v>
      </c>
      <c r="D912" s="2" t="str">
        <f t="shared" si="13"/>
        <v>Error?</v>
      </c>
    </row>
    <row r="913" spans="1:4" x14ac:dyDescent="0.2">
      <c r="A913" s="5">
        <v>852</v>
      </c>
      <c r="B913" s="138">
        <f>'Expenditures 15-22'!F60</f>
        <v>0</v>
      </c>
      <c r="D913" s="2" t="str">
        <f t="shared" si="13"/>
        <v>Error?</v>
      </c>
    </row>
    <row r="914" spans="1:4" x14ac:dyDescent="0.2">
      <c r="A914" s="5">
        <v>853</v>
      </c>
      <c r="B914" s="138">
        <f>'Expenditures 15-22'!F61</f>
        <v>73847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35780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114611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120384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432603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30698</v>
      </c>
      <c r="D948" s="2" t="str">
        <f t="shared" si="13"/>
        <v>Error?</v>
      </c>
    </row>
    <row r="949" spans="1:4" x14ac:dyDescent="0.2">
      <c r="A949" s="5">
        <v>888</v>
      </c>
      <c r="B949" s="138">
        <f>'Expenditures 15-22'!G13</f>
        <v>34463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65161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114022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114022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114022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179183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19541</v>
      </c>
      <c r="D1006" s="2" t="str">
        <f t="shared" si="14"/>
        <v>Error?</v>
      </c>
    </row>
    <row r="1007" spans="1:4" x14ac:dyDescent="0.2">
      <c r="A1007" s="5">
        <v>946</v>
      </c>
      <c r="B1007" s="138">
        <f>'Expenditures 15-22'!H13</f>
        <v>2139</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21680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854</v>
      </c>
      <c r="D1022" s="2" t="str">
        <f t="shared" si="14"/>
        <v>Error?</v>
      </c>
    </row>
    <row r="1023" spans="1:4" x14ac:dyDescent="0.2">
      <c r="A1023" s="5">
        <v>962</v>
      </c>
      <c r="B1023" s="138">
        <f>'Expenditures 15-22'!H50</f>
        <v>1676</v>
      </c>
      <c r="D1023" s="2" t="str">
        <f t="shared" ref="D1023:D1086" si="15">IF(ISBLANK(B1023),"OK",IF(A1023-B1023=0,"OK","Error?"))</f>
        <v>Error?</v>
      </c>
    </row>
    <row r="1024" spans="1:4" x14ac:dyDescent="0.2">
      <c r="A1024" s="5">
        <v>963</v>
      </c>
      <c r="B1024" s="138">
        <f>'Expenditures 15-22'!H53</f>
        <v>2530</v>
      </c>
      <c r="C1024" s="2" t="s">
        <v>594</v>
      </c>
      <c r="D1024" s="2" t="str">
        <f t="shared" si="15"/>
        <v>Error?</v>
      </c>
    </row>
    <row r="1025" spans="1:4" x14ac:dyDescent="0.2">
      <c r="A1025" s="5">
        <v>964</v>
      </c>
      <c r="B1025" s="138">
        <f>'Expenditures 15-22'!H55</f>
        <v>495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495</v>
      </c>
      <c r="C1027" s="2" t="s">
        <v>594</v>
      </c>
      <c r="D1027" s="2" t="str">
        <f t="shared" si="15"/>
        <v>Error?</v>
      </c>
    </row>
    <row r="1028" spans="1:4" x14ac:dyDescent="0.2">
      <c r="A1028" s="5">
        <v>967</v>
      </c>
      <c r="B1028" s="138">
        <f>'Expenditures 15-22'!H59</f>
        <v>4960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4960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7985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34532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1735247</v>
      </c>
      <c r="C1104" s="2" t="s">
        <v>594</v>
      </c>
      <c r="D1104" s="2" t="str">
        <f t="shared" si="16"/>
        <v>Error?</v>
      </c>
    </row>
    <row r="1105" spans="1:4" x14ac:dyDescent="0.2">
      <c r="A1105" s="5">
        <v>1044</v>
      </c>
      <c r="B1105" s="138">
        <f>'Expenditures 15-22'!K13</f>
        <v>1540697</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3303547</v>
      </c>
      <c r="C1108" s="2" t="s">
        <v>594</v>
      </c>
      <c r="D1108" s="2" t="str">
        <f t="shared" si="16"/>
        <v>Error?</v>
      </c>
    </row>
    <row r="1109" spans="1:4" x14ac:dyDescent="0.2">
      <c r="A1109" s="5">
        <v>1048</v>
      </c>
      <c r="B1109" s="138">
        <f>'Expenditures 15-22'!K36</f>
        <v>64464</v>
      </c>
      <c r="C1109" s="2" t="s">
        <v>594</v>
      </c>
      <c r="D1109" s="2" t="str">
        <f t="shared" si="16"/>
        <v>Error?</v>
      </c>
    </row>
    <row r="1110" spans="1:4" x14ac:dyDescent="0.2">
      <c r="A1110" s="5">
        <v>1049</v>
      </c>
      <c r="B1110" s="138">
        <f>'Expenditures 15-22'!K37</f>
        <v>33782</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98246</v>
      </c>
      <c r="C1115" s="2" t="s">
        <v>594</v>
      </c>
      <c r="D1115" s="2" t="str">
        <f t="shared" si="16"/>
        <v>Error?</v>
      </c>
    </row>
    <row r="1116" spans="1:4" x14ac:dyDescent="0.2">
      <c r="A1116" s="5">
        <v>1055</v>
      </c>
      <c r="B1116" s="138">
        <f>'Expenditures 15-22'!K44</f>
        <v>210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5825</v>
      </c>
      <c r="C1118" s="2" t="s">
        <v>594</v>
      </c>
      <c r="D1118" s="2" t="str">
        <f t="shared" si="16"/>
        <v>Error?</v>
      </c>
    </row>
    <row r="1119" spans="1:4" x14ac:dyDescent="0.2">
      <c r="A1119" s="5">
        <v>1058</v>
      </c>
      <c r="B1119" s="138">
        <f>'Expenditures 15-22'!K47</f>
        <v>6035</v>
      </c>
      <c r="C1119" s="2" t="s">
        <v>594</v>
      </c>
      <c r="D1119" s="2" t="str">
        <f t="shared" si="16"/>
        <v>Error?</v>
      </c>
    </row>
    <row r="1120" spans="1:4" x14ac:dyDescent="0.2">
      <c r="A1120" s="5">
        <v>1059</v>
      </c>
      <c r="B1120" s="138">
        <f>'Expenditures 15-22'!K49</f>
        <v>34866</v>
      </c>
      <c r="C1120" s="2" t="s">
        <v>594</v>
      </c>
      <c r="D1120" s="2" t="str">
        <f t="shared" si="16"/>
        <v>Error?</v>
      </c>
    </row>
    <row r="1121" spans="1:4" x14ac:dyDescent="0.2">
      <c r="A1121" s="5">
        <v>1060</v>
      </c>
      <c r="B1121" s="138">
        <f>'Expenditures 15-22'!K50</f>
        <v>148299</v>
      </c>
      <c r="C1121" s="2" t="s">
        <v>594</v>
      </c>
      <c r="D1121" s="2" t="str">
        <f t="shared" si="16"/>
        <v>Error?</v>
      </c>
    </row>
    <row r="1122" spans="1:4" x14ac:dyDescent="0.2">
      <c r="A1122" s="5">
        <v>1061</v>
      </c>
      <c r="B1122" s="138">
        <f>'Expenditures 15-22'!K53</f>
        <v>183165</v>
      </c>
      <c r="C1122" s="2" t="s">
        <v>594</v>
      </c>
      <c r="D1122" s="2" t="str">
        <f t="shared" si="16"/>
        <v>Error?</v>
      </c>
    </row>
    <row r="1123" spans="1:4" x14ac:dyDescent="0.2">
      <c r="A1123" s="5">
        <v>1062</v>
      </c>
      <c r="B1123" s="138">
        <f>'Expenditures 15-22'!K55</f>
        <v>92278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92278</v>
      </c>
      <c r="C1125" s="2" t="s">
        <v>594</v>
      </c>
      <c r="D1125" s="2" t="str">
        <f t="shared" si="16"/>
        <v>Error?</v>
      </c>
    </row>
    <row r="1126" spans="1:4" x14ac:dyDescent="0.2">
      <c r="A1126" s="5">
        <v>1065</v>
      </c>
      <c r="B1126" s="138">
        <f>'Expenditures 15-22'!K59</f>
        <v>151273</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1012712</v>
      </c>
      <c r="C1128" s="2" t="s">
        <v>594</v>
      </c>
      <c r="D1128" s="2" t="str">
        <f t="shared" si="16"/>
        <v>Error?</v>
      </c>
    </row>
    <row r="1129" spans="1:4" x14ac:dyDescent="0.2">
      <c r="A1129" s="5">
        <v>1068</v>
      </c>
      <c r="B1129" s="138">
        <f>'Expenditures 15-22'!K62</f>
        <v>9632</v>
      </c>
      <c r="C1129" s="2" t="s">
        <v>594</v>
      </c>
      <c r="D1129" s="2" t="str">
        <f t="shared" si="16"/>
        <v>Error?</v>
      </c>
    </row>
    <row r="1130" spans="1:4" x14ac:dyDescent="0.2">
      <c r="A1130" s="5">
        <v>1069</v>
      </c>
      <c r="B1130" s="138">
        <f>'Expenditures 15-22'!K63</f>
        <v>69905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1243522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1623246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4931660</v>
      </c>
      <c r="C1152" s="2" t="s">
        <v>594</v>
      </c>
      <c r="D1152" s="2" t="str">
        <f t="shared" si="17"/>
        <v>Error?</v>
      </c>
    </row>
    <row r="1153" spans="1:4" x14ac:dyDescent="0.2">
      <c r="A1153" s="5">
        <v>1092</v>
      </c>
      <c r="B1153" s="138">
        <f>'Expenditures 15-22'!K115</f>
        <v>696879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10</v>
      </c>
      <c r="D1552" s="2" t="str">
        <f t="shared" si="23"/>
        <v>Error?</v>
      </c>
    </row>
    <row r="1553" spans="1:4" x14ac:dyDescent="0.2">
      <c r="A1553" s="5">
        <v>1492</v>
      </c>
      <c r="B1553" s="138">
        <f>'Expenditures 15-22'!H303</f>
        <v>10</v>
      </c>
      <c r="C1553" s="2" t="s">
        <v>594</v>
      </c>
      <c r="D1553" s="2" t="str">
        <f t="shared" si="23"/>
        <v>Error?</v>
      </c>
    </row>
    <row r="1554" spans="1:4" x14ac:dyDescent="0.2">
      <c r="A1554" s="5">
        <v>1493</v>
      </c>
      <c r="B1554" s="138">
        <f>'Expenditures 15-22'!H312</f>
        <v>10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10</v>
      </c>
      <c r="C1558" s="2" t="s">
        <v>594</v>
      </c>
      <c r="D1558" s="2" t="str">
        <f t="shared" si="23"/>
        <v>Error?</v>
      </c>
    </row>
    <row r="1559" spans="1:4" x14ac:dyDescent="0.2">
      <c r="A1559" s="5">
        <v>1498</v>
      </c>
      <c r="B1559" s="138">
        <f>'Expenditures 15-22'!K303</f>
        <v>10</v>
      </c>
      <c r="C1559" s="2" t="s">
        <v>594</v>
      </c>
      <c r="D1559" s="2" t="str">
        <f t="shared" si="23"/>
        <v>Error?</v>
      </c>
    </row>
    <row r="1560" spans="1:4" x14ac:dyDescent="0.2">
      <c r="A1560" s="5">
        <v>1499</v>
      </c>
      <c r="B1560" s="138">
        <f>'Expenditures 15-22'!K312</f>
        <v>10</v>
      </c>
      <c r="C1560" s="2" t="s">
        <v>594</v>
      </c>
      <c r="D1560" s="2" t="str">
        <f t="shared" si="23"/>
        <v>Error?</v>
      </c>
    </row>
    <row r="1561" spans="1:4" x14ac:dyDescent="0.2">
      <c r="A1561" s="5">
        <v>1500</v>
      </c>
      <c r="B1561" s="138">
        <f>'Expenditures 15-22'!K313</f>
        <v>5429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2330176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2949355</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29276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34705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1874215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300000</v>
      </c>
      <c r="D2008" s="2" t="str">
        <f t="shared" si="30"/>
        <v>Error?</v>
      </c>
    </row>
    <row r="2009" spans="1:4" x14ac:dyDescent="0.2">
      <c r="A2009" s="5">
        <v>1948</v>
      </c>
      <c r="B2009" s="138">
        <f>'Cap Outlay Deprec 26'!C8</f>
        <v>10923920</v>
      </c>
      <c r="D2009" s="2" t="str">
        <f t="shared" si="30"/>
        <v>Error?</v>
      </c>
    </row>
    <row r="2010" spans="1:4" x14ac:dyDescent="0.2">
      <c r="A2010" s="5">
        <v>1949</v>
      </c>
      <c r="B2010" s="138">
        <f>'Cap Outlay Deprec 26'!C10</f>
        <v>327304</v>
      </c>
      <c r="D2010" s="2" t="str">
        <f t="shared" si="30"/>
        <v>Error?</v>
      </c>
    </row>
    <row r="2011" spans="1:4" x14ac:dyDescent="0.2">
      <c r="A2011" s="5">
        <v>1950</v>
      </c>
      <c r="B2011" s="138">
        <f>'Cap Outlay Deprec 26'!C12</f>
        <v>2890545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14441769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86386</v>
      </c>
      <c r="D2015" s="2" t="str">
        <f t="shared" si="30"/>
        <v>Error?</v>
      </c>
    </row>
    <row r="2016" spans="1:4" x14ac:dyDescent="0.2">
      <c r="A2016" s="5">
        <v>1955</v>
      </c>
      <c r="B2016" s="138">
        <f>'Cap Outlay Deprec 26'!D10</f>
        <v>261269</v>
      </c>
      <c r="D2016" s="2" t="str">
        <f t="shared" si="30"/>
        <v>Error?</v>
      </c>
    </row>
    <row r="2017" spans="1:4" x14ac:dyDescent="0.2">
      <c r="A2017" s="5">
        <v>1956</v>
      </c>
      <c r="B2017" s="138">
        <f>'Cap Outlay Deprec 26'!D12</f>
        <v>158478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508658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1654454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1654454</v>
      </c>
      <c r="C2025" s="2" t="s">
        <v>594</v>
      </c>
      <c r="D2025" s="2" t="str">
        <f t="shared" si="30"/>
        <v>Error?</v>
      </c>
    </row>
    <row r="2026" spans="1:4" x14ac:dyDescent="0.2">
      <c r="A2026" s="5">
        <v>1965</v>
      </c>
      <c r="B2026" s="138">
        <f>'Cap Outlay Deprec 26'!F5</f>
        <v>300000</v>
      </c>
      <c r="C2026" s="2" t="s">
        <v>594</v>
      </c>
      <c r="D2026" s="2" t="str">
        <f t="shared" si="30"/>
        <v>Error?</v>
      </c>
    </row>
    <row r="2027" spans="1:4" x14ac:dyDescent="0.2">
      <c r="A2027" s="5">
        <v>1966</v>
      </c>
      <c r="B2027" s="138">
        <f>'Cap Outlay Deprec 26'!F8</f>
        <v>11010306</v>
      </c>
      <c r="C2027" s="2" t="s">
        <v>594</v>
      </c>
      <c r="D2027" s="2" t="str">
        <f t="shared" si="30"/>
        <v>Error?</v>
      </c>
    </row>
    <row r="2028" spans="1:4" x14ac:dyDescent="0.2">
      <c r="A2028" s="5">
        <v>1967</v>
      </c>
      <c r="B2028" s="138">
        <f>'Cap Outlay Deprec 26'!F10</f>
        <v>588573</v>
      </c>
      <c r="C2028" s="2" t="s">
        <v>594</v>
      </c>
      <c r="D2028" s="2" t="str">
        <f t="shared" si="30"/>
        <v>Error?</v>
      </c>
    </row>
    <row r="2029" spans="1:4" x14ac:dyDescent="0.2">
      <c r="A2029" s="5">
        <v>1968</v>
      </c>
      <c r="B2029" s="138">
        <f>'Cap Outlay Deprec 26'!F12</f>
        <v>1394569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13295973</v>
      </c>
      <c r="C2031" s="2" t="s">
        <v>594</v>
      </c>
      <c r="D2031" s="2" t="str">
        <f t="shared" si="30"/>
        <v>Error?</v>
      </c>
    </row>
    <row r="2032" spans="1:4" x14ac:dyDescent="0.2">
      <c r="A2032" s="10">
        <v>1971</v>
      </c>
      <c r="D2032" s="2" t="str">
        <f t="shared" si="30"/>
        <v>OK</v>
      </c>
    </row>
    <row r="2033" spans="1:4" x14ac:dyDescent="0.2">
      <c r="A2033" s="5">
        <v>1972</v>
      </c>
      <c r="B2033" s="138">
        <f>'Cap Outlay Deprec 26'!H8</f>
        <v>10142538</v>
      </c>
      <c r="D2033" s="2" t="str">
        <f t="shared" si="30"/>
        <v>Error?</v>
      </c>
    </row>
    <row r="2034" spans="1:4" x14ac:dyDescent="0.2">
      <c r="A2034" s="5">
        <v>1973</v>
      </c>
      <c r="B2034" s="138">
        <f>'Cap Outlay Deprec 26'!H10</f>
        <v>102773</v>
      </c>
      <c r="D2034" s="2" t="str">
        <f t="shared" si="30"/>
        <v>Error?</v>
      </c>
    </row>
    <row r="2035" spans="1:4" x14ac:dyDescent="0.2">
      <c r="A2035" s="5">
        <v>1974</v>
      </c>
      <c r="B2035" s="138">
        <f>'Cap Outlay Deprec 26'!H12</f>
        <v>1965377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12210688</v>
      </c>
      <c r="C2037" s="2" t="s">
        <v>594</v>
      </c>
      <c r="D2037" s="2" t="str">
        <f t="shared" si="30"/>
        <v>Error?</v>
      </c>
    </row>
    <row r="2038" spans="1:4" x14ac:dyDescent="0.2">
      <c r="A2038" s="10">
        <v>1977</v>
      </c>
      <c r="D2038" s="2" t="str">
        <f t="shared" si="30"/>
        <v>OK</v>
      </c>
    </row>
    <row r="2039" spans="1:4" x14ac:dyDescent="0.2">
      <c r="A2039" s="5">
        <v>1978</v>
      </c>
      <c r="B2039" s="138">
        <f>'Cap Outlay Deprec 26'!I8</f>
        <v>51040</v>
      </c>
      <c r="D2039" s="2" t="str">
        <f t="shared" si="30"/>
        <v>Error?</v>
      </c>
    </row>
    <row r="2040" spans="1:4" x14ac:dyDescent="0.2">
      <c r="A2040" s="5">
        <v>1979</v>
      </c>
      <c r="B2040" s="138">
        <f>'Cap Outlay Deprec 26'!I10</f>
        <v>32872</v>
      </c>
      <c r="D2040" s="2" t="str">
        <f t="shared" si="30"/>
        <v>Error?</v>
      </c>
    </row>
    <row r="2041" spans="1:4" x14ac:dyDescent="0.2">
      <c r="A2041" s="5">
        <v>1980</v>
      </c>
      <c r="B2041" s="138">
        <f>'Cap Outlay Deprec 26'!I12</f>
        <v>113620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197532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1307773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1307773</v>
      </c>
      <c r="C2049" s="2" t="s">
        <v>594</v>
      </c>
      <c r="D2049" s="2" t="str">
        <f t="shared" si="31"/>
        <v>Error?</v>
      </c>
    </row>
    <row r="2050" spans="1:4" x14ac:dyDescent="0.2">
      <c r="A2050" s="10">
        <v>1989</v>
      </c>
      <c r="D2050" s="2" t="str">
        <f t="shared" si="31"/>
        <v>OK</v>
      </c>
    </row>
    <row r="2051" spans="1:4" x14ac:dyDescent="0.2">
      <c r="A2051" s="5">
        <v>1990</v>
      </c>
      <c r="B2051" s="138">
        <f>'Cap Outlay Deprec 26'!K8</f>
        <v>10193578</v>
      </c>
      <c r="C2051" s="2" t="s">
        <v>594</v>
      </c>
      <c r="D2051" s="2" t="str">
        <f t="shared" si="31"/>
        <v>Error?</v>
      </c>
    </row>
    <row r="2052" spans="1:4" x14ac:dyDescent="0.2">
      <c r="A2052" s="5">
        <v>1991</v>
      </c>
      <c r="B2052" s="138">
        <f>'Cap Outlay Deprec 26'!K10</f>
        <v>135645</v>
      </c>
      <c r="C2052" s="2" t="s">
        <v>594</v>
      </c>
      <c r="D2052" s="2" t="str">
        <f t="shared" si="31"/>
        <v>Error?</v>
      </c>
    </row>
    <row r="2053" spans="1:4" x14ac:dyDescent="0.2">
      <c r="A2053" s="5">
        <v>1992</v>
      </c>
      <c r="B2053" s="138">
        <f>'Cap Outlay Deprec 26'!K12</f>
        <v>771224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11100447</v>
      </c>
      <c r="C2055" s="2" t="s">
        <v>594</v>
      </c>
      <c r="D2055" s="2" t="str">
        <f t="shared" si="31"/>
        <v>Error?</v>
      </c>
    </row>
    <row r="2056" spans="1:4" x14ac:dyDescent="0.2">
      <c r="A2056" s="5">
        <v>1995</v>
      </c>
      <c r="B2056" s="138">
        <f>'Cap Outlay Deprec 26'!L5</f>
        <v>300000</v>
      </c>
      <c r="C2056" s="2" t="s">
        <v>594</v>
      </c>
      <c r="D2056" s="2" t="str">
        <f t="shared" si="31"/>
        <v>Error?</v>
      </c>
    </row>
    <row r="2057" spans="1:4" x14ac:dyDescent="0.2">
      <c r="A2057" s="5">
        <v>1996</v>
      </c>
      <c r="B2057" s="138">
        <f>'Cap Outlay Deprec 26'!L8</f>
        <v>816728</v>
      </c>
      <c r="C2057" s="2" t="s">
        <v>594</v>
      </c>
      <c r="D2057" s="2" t="str">
        <f t="shared" si="31"/>
        <v>Error?</v>
      </c>
    </row>
    <row r="2058" spans="1:4" x14ac:dyDescent="0.2">
      <c r="A2058" s="5">
        <v>1997</v>
      </c>
      <c r="B2058" s="138">
        <f>'Cap Outlay Deprec 26'!L10</f>
        <v>452928</v>
      </c>
      <c r="C2058" s="2" t="s">
        <v>594</v>
      </c>
      <c r="D2058" s="2" t="str">
        <f t="shared" si="31"/>
        <v>Error?</v>
      </c>
    </row>
    <row r="2059" spans="1:4" x14ac:dyDescent="0.2">
      <c r="A2059" s="5">
        <v>1998</v>
      </c>
      <c r="B2059" s="138">
        <f>'Cap Outlay Deprec 26'!L12</f>
        <v>623345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2195526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4313462</v>
      </c>
      <c r="C2551" s="2" t="s">
        <v>594</v>
      </c>
      <c r="D2551" s="2" t="str">
        <f t="shared" si="38"/>
        <v>Error?</v>
      </c>
    </row>
    <row r="2552" spans="1:4" x14ac:dyDescent="0.2">
      <c r="A2552" s="10">
        <v>2491</v>
      </c>
      <c r="D2552" s="2" t="str">
        <f t="shared" si="38"/>
        <v>OK</v>
      </c>
    </row>
    <row r="2553" spans="1:4" x14ac:dyDescent="0.2">
      <c r="A2553" s="5">
        <v>2492</v>
      </c>
      <c r="B2553" s="138">
        <f>'Acct Summary 7-8'!C6</f>
        <v>710698</v>
      </c>
      <c r="C2553" s="2" t="s">
        <v>594</v>
      </c>
      <c r="D2553" s="2" t="str">
        <f t="shared" si="38"/>
        <v>Error?</v>
      </c>
    </row>
    <row r="2554" spans="1:4" x14ac:dyDescent="0.2">
      <c r="A2554" s="5">
        <v>2493</v>
      </c>
      <c r="B2554" s="138">
        <f>'Acct Summary 7-8'!C7</f>
        <v>0</v>
      </c>
      <c r="C2554" s="2" t="s">
        <v>594</v>
      </c>
      <c r="D2554" s="2" t="str">
        <f t="shared" si="38"/>
        <v>Error?</v>
      </c>
    </row>
    <row r="2555" spans="1:4" x14ac:dyDescent="0.2">
      <c r="A2555" s="5">
        <v>2494</v>
      </c>
      <c r="B2555" s="138">
        <f>'Acct Summary 7-8'!C8</f>
        <v>5628539</v>
      </c>
      <c r="C2555" s="2" t="s">
        <v>594</v>
      </c>
      <c r="D2555" s="2" t="str">
        <f t="shared" si="38"/>
        <v>Error?</v>
      </c>
    </row>
    <row r="2556" spans="1:4" x14ac:dyDescent="0.2">
      <c r="A2556" s="5">
        <v>2495</v>
      </c>
      <c r="B2556" s="138">
        <f>'Acct Summary 7-8'!C12</f>
        <v>3303547</v>
      </c>
      <c r="C2556" s="2" t="s">
        <v>594</v>
      </c>
      <c r="D2556" s="2" t="str">
        <f t="shared" si="38"/>
        <v>Error?</v>
      </c>
    </row>
    <row r="2557" spans="1:4" x14ac:dyDescent="0.2">
      <c r="A2557" s="5">
        <v>2496</v>
      </c>
      <c r="B2557" s="138">
        <f>'Acct Summary 7-8'!C13</f>
        <v>1623246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4867</v>
      </c>
      <c r="C2560" s="2" t="s">
        <v>594</v>
      </c>
      <c r="D2560" s="2" t="str">
        <f t="shared" si="39"/>
        <v>Error?</v>
      </c>
    </row>
    <row r="2561" spans="1:4" x14ac:dyDescent="0.2">
      <c r="A2561" s="5">
        <v>2500</v>
      </c>
      <c r="B2561" s="138">
        <f>'Acct Summary 7-8'!C17</f>
        <v>4931660</v>
      </c>
      <c r="C2561" s="2" t="s">
        <v>594</v>
      </c>
      <c r="D2561" s="2" t="str">
        <f t="shared" si="39"/>
        <v>Error?</v>
      </c>
    </row>
    <row r="2562" spans="1:4" x14ac:dyDescent="0.2">
      <c r="A2562" s="5">
        <v>2501</v>
      </c>
      <c r="B2562" s="138">
        <f>'Acct Summary 7-8'!C20</f>
        <v>696879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5439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5439</v>
      </c>
      <c r="C2658" s="2" t="s">
        <v>594</v>
      </c>
      <c r="D2658" s="2" t="str">
        <f t="shared" si="40"/>
        <v>Error?</v>
      </c>
    </row>
    <row r="2659" spans="1:4" x14ac:dyDescent="0.2">
      <c r="A2659" s="5">
        <v>2598</v>
      </c>
      <c r="B2659" s="138">
        <f>'Acct Summary 7-8'!H13</f>
        <v>10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10</v>
      </c>
      <c r="C2661" s="2" t="s">
        <v>594</v>
      </c>
      <c r="D2661" s="2" t="str">
        <f t="shared" si="40"/>
        <v>Error?</v>
      </c>
    </row>
    <row r="2662" spans="1:4" x14ac:dyDescent="0.2">
      <c r="A2662" s="5">
        <v>2601</v>
      </c>
      <c r="B2662" s="138">
        <f>'Acct Summary 7-8'!H20</f>
        <v>5429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2525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24515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24515</v>
      </c>
      <c r="D2914" s="2" t="str">
        <f t="shared" si="44"/>
        <v>Error?</v>
      </c>
    </row>
    <row r="2915" spans="1:4" x14ac:dyDescent="0.2">
      <c r="A2915" s="10">
        <v>2854</v>
      </c>
      <c r="D2915" s="2" t="str">
        <f t="shared" si="44"/>
        <v>OK</v>
      </c>
    </row>
    <row r="2916" spans="1:4" x14ac:dyDescent="0.2">
      <c r="A2916" s="5">
        <v>2855</v>
      </c>
      <c r="B2916" s="138">
        <f>'Assets-Liab 5-6'!L34</f>
        <v>24515</v>
      </c>
      <c r="C2916" s="2" t="s">
        <v>594</v>
      </c>
      <c r="D2916" s="2" t="str">
        <f t="shared" si="44"/>
        <v>Error?</v>
      </c>
    </row>
    <row r="2917" spans="1:4" x14ac:dyDescent="0.2">
      <c r="A2917" s="5">
        <v>2856</v>
      </c>
      <c r="B2917" s="138">
        <f>'Assets-Liab 5-6'!L41</f>
        <v>24515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23722</v>
      </c>
      <c r="D3055" s="2" t="str">
        <f t="shared" si="46"/>
        <v>Error?</v>
      </c>
    </row>
    <row r="3056" spans="1:4" x14ac:dyDescent="0.2">
      <c r="A3056" s="5">
        <v>2995</v>
      </c>
      <c r="B3056" s="138">
        <f>'Expenditures 15-22'!D10</f>
        <v>3826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27603</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22300</v>
      </c>
      <c r="C3229" s="2" t="s">
        <v>594</v>
      </c>
      <c r="D3229" s="2" t="str">
        <f t="shared" si="49"/>
        <v>Error?</v>
      </c>
    </row>
    <row r="3230" spans="1:4" x14ac:dyDescent="0.2">
      <c r="A3230" s="5">
        <v>3169</v>
      </c>
      <c r="B3230" s="138">
        <f>'Acct Summary 7-8'!C75</f>
        <v>100000</v>
      </c>
      <c r="D3230" s="2" t="str">
        <f t="shared" si="49"/>
        <v>Error?</v>
      </c>
    </row>
    <row r="3231" spans="1:4" x14ac:dyDescent="0.2">
      <c r="A3231" s="5">
        <v>3170</v>
      </c>
      <c r="B3231" s="138">
        <f>'Acct Summary 7-8'!C76</f>
        <v>100000</v>
      </c>
      <c r="C3231" s="2" t="s">
        <v>594</v>
      </c>
      <c r="D3231" s="2" t="str">
        <f t="shared" si="49"/>
        <v>Error?</v>
      </c>
    </row>
    <row r="3232" spans="1:4" x14ac:dyDescent="0.2">
      <c r="A3232" s="5">
        <v>3171</v>
      </c>
      <c r="B3232" s="138">
        <f>'Acct Summary 7-8'!C77</f>
        <v>-77700</v>
      </c>
      <c r="C3232" s="2" t="s">
        <v>594</v>
      </c>
      <c r="D3232" s="2" t="str">
        <f t="shared" si="49"/>
        <v>Error?</v>
      </c>
    </row>
    <row r="3233" spans="1:4" x14ac:dyDescent="0.2">
      <c r="A3233" s="5">
        <v>3172</v>
      </c>
      <c r="B3233" s="138">
        <f>'Acct Summary 7-8'!C78</f>
        <v>619179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5429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604379</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2674059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34705</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24515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2525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2525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2525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22300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1089806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6718345</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5439</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1089806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6021466</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10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1637026</v>
      </c>
      <c r="C4171" s="2" t="s">
        <v>594</v>
      </c>
      <c r="D4171" s="2" t="str">
        <f t="shared" si="64"/>
        <v>Error?</v>
      </c>
    </row>
    <row r="4172" spans="1:4" x14ac:dyDescent="0.2">
      <c r="A4172" s="5">
        <v>4111</v>
      </c>
      <c r="B4172" s="138">
        <f>'Short-Term Long-Term Debt 24'!J49</f>
        <v>1637026</v>
      </c>
      <c r="C4172" s="2" t="s">
        <v>594</v>
      </c>
      <c r="D4172" s="2" t="str">
        <f t="shared" si="64"/>
        <v>Error?</v>
      </c>
    </row>
    <row r="4173" spans="1:4" x14ac:dyDescent="0.2">
      <c r="A4173" s="5">
        <v>4112</v>
      </c>
      <c r="B4173" s="138">
        <f>'Short-Term Long-Term Debt 24'!H49</f>
        <v>100000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-137189</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2949355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694000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1637026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2224</v>
      </c>
      <c r="D5078" s="2" t="str">
        <f t="shared" si="78"/>
        <v>Error?</v>
      </c>
    </row>
    <row r="5079" spans="1:4" x14ac:dyDescent="0.2">
      <c r="A5079" s="5">
        <v>5018</v>
      </c>
      <c r="B5079" s="138">
        <f>'Revenues 9-14'!C29</f>
        <v>2274004</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1346348</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3622576</v>
      </c>
      <c r="C5087" s="2" t="s">
        <v>594</v>
      </c>
      <c r="D5087" s="2" t="str">
        <f t="shared" si="78"/>
        <v>Error?</v>
      </c>
    </row>
    <row r="5088" spans="1:4" x14ac:dyDescent="0.2">
      <c r="A5088" s="5">
        <v>5027</v>
      </c>
      <c r="B5088" s="138">
        <f>'Revenues 9-14'!C65</f>
        <v>6206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6206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81380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81380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308404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308404</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104206</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104206</v>
      </c>
      <c r="C5112" s="2" t="s">
        <v>594</v>
      </c>
      <c r="D5112" s="2" t="str">
        <f t="shared" si="78"/>
        <v>Error?</v>
      </c>
    </row>
    <row r="5113" spans="1:4" x14ac:dyDescent="0.2">
      <c r="A5113" s="5">
        <v>5052</v>
      </c>
      <c r="B5113" s="138">
        <f>'Revenues 9-14'!C95</f>
        <v>148966</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33855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7869</v>
      </c>
      <c r="D5119" s="2" t="str">
        <f t="shared" ref="D5119:D5182" si="79">IF(ISBLANK(B5119),"OK",IF(A5119-B5119=0,"OK","Error?"))</f>
        <v>Error?</v>
      </c>
    </row>
    <row r="5120" spans="1:4" x14ac:dyDescent="0.2">
      <c r="A5120" s="5">
        <v>5059</v>
      </c>
      <c r="B5120" s="138">
        <f>'Revenues 9-14'!C108</f>
        <v>190690</v>
      </c>
      <c r="C5120" s="2" t="s">
        <v>594</v>
      </c>
      <c r="D5120" s="2" t="str">
        <f t="shared" si="79"/>
        <v>Error?</v>
      </c>
    </row>
    <row r="5121" spans="1:4" x14ac:dyDescent="0.2">
      <c r="A5121" s="5">
        <v>5060</v>
      </c>
      <c r="B5121" s="138">
        <f>'Revenues 9-14'!C109</f>
        <v>4313462</v>
      </c>
      <c r="C5121" s="2" t="s">
        <v>594</v>
      </c>
      <c r="D5121" s="2" t="str">
        <f t="shared" si="79"/>
        <v>Error?</v>
      </c>
    </row>
    <row r="5122" spans="1:4" x14ac:dyDescent="0.2">
      <c r="A5122" s="5">
        <v>5061</v>
      </c>
      <c r="B5122" s="138">
        <f>'Revenues 9-14'!C111</f>
        <v>461234</v>
      </c>
      <c r="D5122" s="2" t="str">
        <f t="shared" si="79"/>
        <v>Error?</v>
      </c>
    </row>
    <row r="5123" spans="1:4" x14ac:dyDescent="0.2">
      <c r="A5123" s="5">
        <v>5062</v>
      </c>
      <c r="B5123" s="138">
        <f>'Revenues 9-14'!C112</f>
        <v>143145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604379</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3451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13247</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13247</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710698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710698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0</v>
      </c>
      <c r="C5326" s="2" t="s">
        <v>594</v>
      </c>
      <c r="D5326" s="2" t="str">
        <f t="shared" si="82"/>
        <v>Error?</v>
      </c>
    </row>
    <row r="5327" spans="1:4" x14ac:dyDescent="0.2">
      <c r="A5327" s="5">
        <v>5266</v>
      </c>
      <c r="B5327" s="138">
        <f>'Revenues 9-14'!C275</f>
        <v>5628539</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5439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5439</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5439</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496249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38487</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4301</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14899</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90533</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156459</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619179</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5429</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0.20993708793956645</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f>'Acct Summary 7-8'!H83</f>
        <v>0.15643279066416943</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3451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33746</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20343</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54089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877</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877</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1878</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1878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2755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4867</v>
      </c>
      <c r="D7016" s="2" t="str">
        <f t="shared" si="108"/>
        <v>Error?</v>
      </c>
    </row>
    <row r="7017" spans="1:4" x14ac:dyDescent="0.2">
      <c r="A7017">
        <v>6956</v>
      </c>
      <c r="B7017" s="138">
        <f>'Expenditures 15-22'!K111</f>
        <v>4867</v>
      </c>
      <c r="D7017" s="2" t="str">
        <f t="shared" si="108"/>
        <v>Error?</v>
      </c>
    </row>
    <row r="7018" spans="1:4" x14ac:dyDescent="0.2">
      <c r="A7018">
        <v>6957</v>
      </c>
      <c r="B7018" s="138">
        <f>'Expenditures 15-22'!H112</f>
        <v>4867</v>
      </c>
      <c r="D7018" s="2" t="str">
        <f t="shared" si="108"/>
        <v>Error?</v>
      </c>
    </row>
    <row r="7019" spans="1:4" x14ac:dyDescent="0.2">
      <c r="A7019">
        <v>6958</v>
      </c>
      <c r="B7019" s="138">
        <f>'Expenditures 15-22'!K112</f>
        <v>4867</v>
      </c>
      <c r="D7019" s="2" t="str">
        <f t="shared" si="108"/>
        <v>Error?</v>
      </c>
    </row>
    <row r="7020" spans="1:4" x14ac:dyDescent="0.2">
      <c r="A7020">
        <v>6959</v>
      </c>
      <c r="B7020" s="138">
        <f>'Expenditures 15-22'!I114</f>
        <v>56844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56844</v>
      </c>
      <c r="D7624" s="2" t="str">
        <f t="shared" si="124"/>
        <v>Error?</v>
      </c>
      <c r="E7624" s="2" t="s">
        <v>19</v>
      </c>
    </row>
    <row r="7625" spans="1:5" x14ac:dyDescent="0.2">
      <c r="A7625">
        <f t="shared" si="123"/>
        <v>7564</v>
      </c>
      <c r="B7625" s="138">
        <f>'Cap Outlay Deprec 26'!I17</f>
        <v>5684.4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203216.4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5439</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3334</v>
      </c>
      <c r="D7759" s="2" t="str">
        <f t="shared" si="127"/>
        <v>Error?</v>
      </c>
      <c r="E7759" s="4" t="s">
        <v>1400</v>
      </c>
    </row>
    <row r="7760" spans="1:6" x14ac:dyDescent="0.2">
      <c r="A7760">
        <v>7699</v>
      </c>
      <c r="B7760" s="138">
        <f>'Aud Quest 2'!J90</f>
        <v>3334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29'!D36</f>
        <v>194051</v>
      </c>
      <c r="D7797" s="2" t="str">
        <f t="shared" si="127"/>
        <v>Error?</v>
      </c>
      <c r="E7797" s="4" t="s">
        <v>2018</v>
      </c>
    </row>
    <row r="7798" spans="1:5" x14ac:dyDescent="0.2">
      <c r="A7798">
        <v>7737</v>
      </c>
      <c r="B7798" s="138">
        <f>'Contracts Paid in CY 29'!F36</f>
        <v>50000</v>
      </c>
      <c r="D7798" s="2" t="str">
        <f t="shared" si="127"/>
        <v>Error?</v>
      </c>
      <c r="E7798" s="4" t="s">
        <v>2018</v>
      </c>
    </row>
    <row r="7799" spans="1:5" x14ac:dyDescent="0.2">
      <c r="A7799">
        <v>7738</v>
      </c>
      <c r="B7799" s="138">
        <f>'Contracts Paid in CY 29'!G36</f>
        <v>30931</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C1" sqref="C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4" t="s">
        <v>1253</v>
      </c>
      <c r="B2" s="2424"/>
      <c r="C2" s="2424"/>
      <c r="D2" s="2424"/>
      <c r="E2" s="2424"/>
      <c r="F2" s="2424"/>
      <c r="G2" s="2424"/>
      <c r="H2" s="2424"/>
      <c r="I2" s="2424"/>
      <c r="J2" s="2424"/>
      <c r="K2" s="2424"/>
      <c r="L2" s="2424"/>
    </row>
    <row r="3" spans="1:29" ht="13.5" customHeight="1" x14ac:dyDescent="0.2">
      <c r="A3" s="2410" t="s">
        <v>1252</v>
      </c>
      <c r="B3" s="2410"/>
      <c r="C3" s="2410"/>
      <c r="D3" s="2410"/>
      <c r="E3" s="2410"/>
      <c r="F3" s="2410"/>
      <c r="G3" s="2410"/>
      <c r="H3" s="2410"/>
      <c r="I3" s="2410"/>
      <c r="J3" s="2410"/>
      <c r="K3" s="2410"/>
      <c r="L3" s="2410"/>
    </row>
    <row r="4" spans="1:29" ht="13.5" customHeight="1" x14ac:dyDescent="0.2">
      <c r="A4" s="2424" t="s">
        <v>1799</v>
      </c>
      <c r="B4" s="2441"/>
      <c r="C4" s="2441"/>
      <c r="D4" s="2441"/>
      <c r="E4" s="2441"/>
      <c r="F4" s="2441"/>
      <c r="G4" s="2441"/>
      <c r="H4" s="2441"/>
      <c r="I4" s="2441"/>
      <c r="J4" s="2441"/>
      <c r="K4" s="2441"/>
      <c r="L4" s="244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4" t="str">
        <f>COVER!A17</f>
        <v xml:space="preserve">Capital Area Career Center                  </v>
      </c>
      <c r="B7" s="2405"/>
      <c r="C7" s="2405"/>
      <c r="D7" s="2442"/>
      <c r="E7" s="2443">
        <f>COVER!A13</f>
        <v>51084790040</v>
      </c>
      <c r="F7" s="2444"/>
      <c r="G7" s="2411" t="str">
        <f>COVER!T23</f>
        <v>060-004845</v>
      </c>
      <c r="H7" s="2412"/>
      <c r="I7" s="2412"/>
      <c r="J7" s="2412"/>
      <c r="K7" s="2412"/>
      <c r="L7" s="241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4"/>
      <c r="B9" s="2415"/>
      <c r="C9" s="2415"/>
      <c r="D9" s="2415"/>
      <c r="E9" s="2415"/>
      <c r="F9" s="2416"/>
      <c r="G9" s="2417" t="str">
        <f>COVER!T13</f>
        <v xml:space="preserve">Pehlman and Dold, P.C.               </v>
      </c>
      <c r="H9" s="2418"/>
      <c r="I9" s="2418"/>
      <c r="J9" s="2418"/>
      <c r="K9" s="2418"/>
      <c r="L9" s="2419"/>
    </row>
    <row r="10" spans="1:29" ht="13.5" customHeight="1" x14ac:dyDescent="0.2">
      <c r="A10" s="2401" t="str">
        <f>COVER!A38</f>
        <v>Jodi Ferriell, Director</v>
      </c>
      <c r="B10" s="2402"/>
      <c r="C10" s="2402"/>
      <c r="D10" s="2402"/>
      <c r="E10" s="2402"/>
      <c r="F10" s="2403"/>
      <c r="G10" s="2417" t="str">
        <f>COVER!T17</f>
        <v>100 North Amos Avenue</v>
      </c>
      <c r="H10" s="2430"/>
      <c r="I10" s="2430"/>
      <c r="J10" s="2430"/>
      <c r="K10" s="2430"/>
      <c r="L10" s="2431"/>
    </row>
    <row r="11" spans="1:29" ht="13.5" customHeight="1" x14ac:dyDescent="0.2">
      <c r="A11" s="1185" t="s">
        <v>1599</v>
      </c>
      <c r="B11" s="1186"/>
      <c r="C11" s="1187"/>
      <c r="D11" s="1192"/>
      <c r="E11" s="1187"/>
      <c r="F11" s="1191"/>
      <c r="G11" s="2417" t="str">
        <f>COVER!T19</f>
        <v>Springfield</v>
      </c>
      <c r="H11" s="2430"/>
      <c r="I11" s="2430"/>
      <c r="J11" s="2430"/>
      <c r="K11" s="2430"/>
      <c r="L11" s="2431"/>
    </row>
    <row r="12" spans="1:29" ht="13.5" customHeight="1" x14ac:dyDescent="0.2">
      <c r="A12" s="2435" t="s">
        <v>1598</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1600</v>
      </c>
      <c r="H13" s="2426"/>
      <c r="I13" s="2438" t="str">
        <f>COVER!T25</f>
        <v>dfitzgerald@p-dcpas.com</v>
      </c>
      <c r="J13" s="2439"/>
      <c r="K13" s="2439"/>
      <c r="L13" s="2440"/>
    </row>
    <row r="14" spans="1:29" ht="13.5" customHeight="1" x14ac:dyDescent="0.2">
      <c r="A14" s="2417" t="str">
        <f>COVER!A19</f>
        <v>2201 Toronto Road</v>
      </c>
      <c r="B14" s="2430"/>
      <c r="C14" s="2430"/>
      <c r="D14" s="2430"/>
      <c r="E14" s="2430"/>
      <c r="F14" s="2431"/>
      <c r="G14" s="1196" t="s">
        <v>1247</v>
      </c>
      <c r="H14" s="1194"/>
      <c r="I14" s="1194"/>
      <c r="J14" s="1194"/>
      <c r="K14" s="1194"/>
      <c r="L14" s="1195"/>
    </row>
    <row r="15" spans="1:29" ht="13.5" customHeight="1" x14ac:dyDescent="0.2">
      <c r="A15" s="2417" t="str">
        <f>COVER!A21</f>
        <v>Springfield, IL</v>
      </c>
      <c r="B15" s="2430"/>
      <c r="C15" s="2430"/>
      <c r="D15" s="2430"/>
      <c r="E15" s="2430"/>
      <c r="F15" s="2431"/>
      <c r="G15" s="2427" t="str">
        <f>COVER!T15</f>
        <v>Dorinda L Fitzgerald</v>
      </c>
      <c r="H15" s="2428"/>
      <c r="I15" s="2428"/>
      <c r="J15" s="2428"/>
      <c r="K15" s="2428"/>
      <c r="L15" s="2429"/>
    </row>
    <row r="16" spans="1:29" ht="12.2" customHeight="1" x14ac:dyDescent="0.2">
      <c r="A16" s="2407">
        <f>COVER!A25</f>
        <v>62712</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6" t="s">
        <v>1246</v>
      </c>
      <c r="H17" s="1194"/>
      <c r="I17" s="1194"/>
      <c r="J17" s="1194"/>
      <c r="K17" s="1198" t="s">
        <v>1245</v>
      </c>
      <c r="L17" s="1191"/>
      <c r="M17" s="1184"/>
    </row>
    <row r="18" spans="1:13" ht="12.2" customHeight="1" x14ac:dyDescent="0.2">
      <c r="A18" s="2401"/>
      <c r="B18" s="2402"/>
      <c r="C18" s="2402"/>
      <c r="D18" s="2402"/>
      <c r="E18" s="2402"/>
      <c r="F18" s="2403"/>
      <c r="G18" s="2404" t="str">
        <f>COVER!T21</f>
        <v>(217) 787-0563</v>
      </c>
      <c r="H18" s="2405"/>
      <c r="I18" s="2405"/>
      <c r="J18" s="2405"/>
      <c r="K18" s="2404" t="str">
        <f>COVER!X21</f>
        <v>(217) 787-9266</v>
      </c>
      <c r="L18" s="240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 xml:space="preserve">Capital Area Career Center                  </v>
      </c>
      <c r="B1" s="2441"/>
      <c r="C1" s="2441"/>
      <c r="D1" s="2441"/>
    </row>
    <row r="2" spans="1:11" s="1215" customFormat="1" ht="12.75" x14ac:dyDescent="0.2">
      <c r="A2" s="2446">
        <f>'Single Audit Cover'!E7</f>
        <v>51084790040</v>
      </c>
      <c r="B2" s="2447"/>
      <c r="C2" s="2447"/>
      <c r="D2" s="2447"/>
    </row>
    <row r="3" spans="1:11" s="1215" customFormat="1" ht="12.75" x14ac:dyDescent="0.2">
      <c r="A3" s="2445" t="s">
        <v>1593</v>
      </c>
      <c r="B3" s="2441"/>
      <c r="C3" s="2441"/>
      <c r="D3" s="244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 xml:space="preserve">Capital Area Career Center                  </v>
      </c>
      <c r="B1" s="2449"/>
      <c r="C1" s="2449"/>
      <c r="D1" s="2449"/>
      <c r="E1" s="2449"/>
    </row>
    <row r="2" spans="1:5" x14ac:dyDescent="0.2">
      <c r="A2" s="2450">
        <f>'Single Audit Cover'!E7</f>
        <v>51084790040</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0</v>
      </c>
    </row>
    <row r="11" spans="1:5" ht="18" customHeight="1" x14ac:dyDescent="0.2">
      <c r="A11" s="1261" t="s">
        <v>1302</v>
      </c>
      <c r="B11" s="1262"/>
      <c r="C11" s="1262"/>
    </row>
    <row r="12" spans="1:5" x14ac:dyDescent="0.2">
      <c r="A12" s="1261" t="s">
        <v>1301</v>
      </c>
      <c r="B12" s="1262" t="s">
        <v>1300</v>
      </c>
      <c r="C12" s="1262"/>
      <c r="D12" s="1264">
        <f>SUM('Revenues 9-14'!C112:D112,'Revenues 9-14'!F112:G112)</f>
        <v>143145</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143145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t="s">
        <v>2122</v>
      </c>
      <c r="B24" s="2451"/>
      <c r="D24" s="1268">
        <v>924079</v>
      </c>
    </row>
    <row r="25" spans="1:4" x14ac:dyDescent="0.2">
      <c r="A25" s="2448" t="s">
        <v>2105</v>
      </c>
      <c r="B25" s="2448"/>
      <c r="D25" s="1268">
        <v>524570</v>
      </c>
    </row>
    <row r="26" spans="1:4" x14ac:dyDescent="0.2">
      <c r="A26" s="2448" t="s">
        <v>2106</v>
      </c>
      <c r="B26" s="2448"/>
      <c r="D26" s="1268">
        <v>842718</v>
      </c>
    </row>
    <row r="27" spans="1:4" x14ac:dyDescent="0.2">
      <c r="A27" s="2448" t="s">
        <v>2123</v>
      </c>
      <c r="B27" s="2448"/>
      <c r="D27" s="1268">
        <v>925</v>
      </c>
    </row>
    <row r="28" spans="1:4" x14ac:dyDescent="0.2">
      <c r="A28" s="2448" t="s">
        <v>2124</v>
      </c>
      <c r="B28" s="2448"/>
      <c r="D28" s="1268">
        <v>23193</v>
      </c>
    </row>
    <row r="29" spans="1:4" x14ac:dyDescent="0.2">
      <c r="A29" s="2448" t="s">
        <v>2125</v>
      </c>
      <c r="B29" s="2448"/>
      <c r="D29" s="1268">
        <v>6852</v>
      </c>
    </row>
    <row r="30" spans="1:4" x14ac:dyDescent="0.2">
      <c r="A30" s="2448"/>
      <c r="B30" s="2448"/>
      <c r="D30" s="1268"/>
    </row>
    <row r="32" spans="1:4" x14ac:dyDescent="0.2">
      <c r="A32" s="1260" t="s">
        <v>1295</v>
      </c>
      <c r="D32" s="1263">
        <f>SUM(D19:D30)</f>
        <v>2465482</v>
      </c>
    </row>
    <row r="33" spans="1:4" x14ac:dyDescent="0.2">
      <c r="D33" s="1269"/>
    </row>
    <row r="34" spans="1:4" x14ac:dyDescent="0.2">
      <c r="A34" s="317" t="s">
        <v>1294</v>
      </c>
    </row>
    <row r="35" spans="1:4" x14ac:dyDescent="0.2">
      <c r="A35" s="317" t="s">
        <v>1293</v>
      </c>
      <c r="B35" s="1258" t="s">
        <v>1292</v>
      </c>
      <c r="D35" s="1270">
        <v>2465482</v>
      </c>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2465482</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 xml:space="preserve">Capital Area Career Center                  </v>
      </c>
      <c r="B1" s="2454"/>
      <c r="C1" s="2454"/>
      <c r="D1" s="2454"/>
      <c r="E1" s="2454"/>
      <c r="F1" s="2454"/>
    </row>
    <row r="2" spans="1:7" ht="13.5" customHeight="1" x14ac:dyDescent="0.2">
      <c r="A2" s="2455">
        <f>'Single Audit Cover'!E7</f>
        <v>51084790040</v>
      </c>
      <c r="B2" s="2455"/>
      <c r="C2" s="2455"/>
      <c r="D2" s="2455"/>
      <c r="E2" s="2455"/>
      <c r="F2" s="2455"/>
      <c r="G2" s="1275"/>
    </row>
    <row r="3" spans="1:7" ht="15.75" customHeight="1" x14ac:dyDescent="0.2">
      <c r="A3" s="2456" t="s">
        <v>1333</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76" t="s">
        <v>1831</v>
      </c>
      <c r="C6" s="317"/>
      <c r="D6" s="317"/>
    </row>
    <row r="7" spans="1:7" ht="60.95" customHeight="1" x14ac:dyDescent="0.2">
      <c r="A7" s="2453" t="s">
        <v>2099</v>
      </c>
      <c r="B7" s="2453"/>
      <c r="C7" s="2453"/>
      <c r="D7" s="2453"/>
      <c r="E7" s="2453"/>
      <c r="F7" s="2453"/>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2082</v>
      </c>
      <c r="D10" s="1280" t="s">
        <v>1629</v>
      </c>
      <c r="E10" s="1281"/>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53" t="s">
        <v>2097</v>
      </c>
      <c r="B13" s="2453"/>
      <c r="C13" s="2453"/>
      <c r="D13" s="2453"/>
      <c r="E13" s="2453"/>
      <c r="F13" s="2453"/>
    </row>
    <row r="14" spans="1:7" ht="9.75" customHeight="1" x14ac:dyDescent="0.2">
      <c r="C14" s="1260"/>
      <c r="D14" s="1260"/>
    </row>
    <row r="15" spans="1:7" ht="13.5" customHeight="1" x14ac:dyDescent="0.2">
      <c r="C15" s="1867" t="s">
        <v>1332</v>
      </c>
      <c r="D15" s="2459" t="s">
        <v>1331</v>
      </c>
      <c r="E15" s="2459"/>
      <c r="F15" s="2459"/>
    </row>
    <row r="16" spans="1:7" ht="13.5" customHeight="1" x14ac:dyDescent="0.2">
      <c r="A16" s="1282"/>
      <c r="B16" s="1276" t="s">
        <v>1330</v>
      </c>
      <c r="C16" s="1867" t="s">
        <v>1329</v>
      </c>
      <c r="D16" s="2460" t="s">
        <v>1670</v>
      </c>
      <c r="E16" s="2460"/>
      <c r="F16" s="2460"/>
    </row>
    <row r="17" spans="1:6" ht="20.45" customHeight="1" x14ac:dyDescent="0.2">
      <c r="A17" s="1283"/>
      <c r="B17" s="1284" t="s">
        <v>2098</v>
      </c>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62" t="s">
        <v>1833</v>
      </c>
      <c r="B32" s="2462"/>
      <c r="C32" s="2462"/>
      <c r="D32" s="2462"/>
      <c r="E32" s="2462"/>
      <c r="F32" s="2462"/>
    </row>
    <row r="33" spans="1:6" ht="13.5" customHeight="1" x14ac:dyDescent="0.2">
      <c r="A33" s="328" t="s">
        <v>1509</v>
      </c>
      <c r="B33" s="328"/>
      <c r="C33" s="1288">
        <v>0</v>
      </c>
      <c r="D33" s="1924"/>
      <c r="E33" s="1286"/>
    </row>
    <row r="34" spans="1:6" ht="13.5" customHeight="1" x14ac:dyDescent="0.2">
      <c r="A34" s="328" t="s">
        <v>1947</v>
      </c>
      <c r="B34" s="328"/>
      <c r="C34" s="1289">
        <v>0</v>
      </c>
      <c r="D34" s="1924" t="s">
        <v>1671</v>
      </c>
      <c r="E34" s="2463">
        <f>+C33+C34</f>
        <v>0</v>
      </c>
      <c r="F34" s="2464"/>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t="s">
        <v>401</v>
      </c>
      <c r="D38" s="1924"/>
      <c r="E38" s="1286"/>
    </row>
    <row r="39" spans="1:6" ht="14.25" customHeight="1" x14ac:dyDescent="0.2">
      <c r="A39" s="328"/>
      <c r="B39" s="328" t="s">
        <v>1511</v>
      </c>
      <c r="C39" s="1292" t="s">
        <v>401</v>
      </c>
      <c r="D39" s="1924"/>
      <c r="E39" s="1286"/>
    </row>
    <row r="40" spans="1:6" ht="14.25" customHeight="1" x14ac:dyDescent="0.2">
      <c r="A40" s="328"/>
      <c r="B40" s="328" t="s">
        <v>1512</v>
      </c>
      <c r="C40" s="1292" t="s">
        <v>401</v>
      </c>
      <c r="D40" s="1924"/>
      <c r="E40" s="1286"/>
    </row>
    <row r="41" spans="1:6" ht="14.25" customHeight="1" x14ac:dyDescent="0.2">
      <c r="A41" s="328"/>
      <c r="B41" s="328" t="s">
        <v>1513</v>
      </c>
      <c r="C41" s="1292" t="s">
        <v>401</v>
      </c>
      <c r="D41" s="1924"/>
      <c r="E41" s="1286"/>
    </row>
    <row r="42" spans="1:6" ht="14.25" customHeight="1" x14ac:dyDescent="0.2">
      <c r="A42" s="328" t="s">
        <v>1514</v>
      </c>
      <c r="B42" s="328"/>
      <c r="C42" s="1922" t="s">
        <v>401</v>
      </c>
      <c r="D42" s="1924"/>
      <c r="E42" s="1286"/>
    </row>
    <row r="43" spans="1:6" ht="14.25" customHeight="1" x14ac:dyDescent="0.2">
      <c r="A43" s="328" t="s">
        <v>1515</v>
      </c>
      <c r="B43" s="328"/>
      <c r="C43" s="1293" t="s">
        <v>401</v>
      </c>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1672</v>
      </c>
      <c r="C49" s="2465"/>
      <c r="D49" s="2465"/>
      <c r="E49" s="1399"/>
    </row>
    <row r="50" spans="1:5" s="1300" customFormat="1" ht="3.75" customHeight="1" x14ac:dyDescent="0.2">
      <c r="A50" s="1299"/>
      <c r="B50" s="1866"/>
      <c r="C50" s="1866"/>
      <c r="D50" s="1866"/>
      <c r="E50" s="1399"/>
    </row>
    <row r="51" spans="1:5" s="1300" customFormat="1" ht="20.25" customHeight="1" x14ac:dyDescent="0.2">
      <c r="A51" s="1301">
        <v>6</v>
      </c>
      <c r="B51" s="2461" t="s">
        <v>1632</v>
      </c>
      <c r="C51" s="2461"/>
      <c r="D51" s="2461"/>
    </row>
    <row r="52" spans="1:5" ht="14.25" customHeight="1" x14ac:dyDescent="0.2">
      <c r="A52" s="1301"/>
      <c r="B52" s="2461"/>
      <c r="C52" s="2461"/>
      <c r="D52" s="246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9"/>
  <sheetViews>
    <sheetView showGridLines="0"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0" t="str">
        <f>'Single Audit Cover'!A7</f>
        <v xml:space="preserve">Capital Area Career Center                  </v>
      </c>
      <c r="C1" s="2466"/>
      <c r="D1" s="2466"/>
      <c r="E1" s="2466"/>
      <c r="F1" s="2466"/>
      <c r="G1" s="2466"/>
      <c r="H1" s="2466"/>
      <c r="I1" s="2466"/>
      <c r="J1" s="2466"/>
      <c r="K1" s="2466"/>
      <c r="L1" s="2466"/>
      <c r="M1" s="2466"/>
    </row>
    <row r="2" spans="2:14" ht="15" x14ac:dyDescent="0.2">
      <c r="B2" s="2455">
        <f>'Single Audit Cover'!E7</f>
        <v>51084790040</v>
      </c>
      <c r="C2" s="2455"/>
      <c r="D2" s="2455"/>
      <c r="E2" s="2455"/>
      <c r="F2" s="2455"/>
      <c r="G2" s="2455"/>
      <c r="H2" s="2455"/>
      <c r="I2" s="2455"/>
      <c r="J2" s="2455"/>
      <c r="K2" s="2455"/>
      <c r="L2" s="2455"/>
      <c r="M2" s="2455"/>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2100</v>
      </c>
      <c r="C11" s="1338"/>
      <c r="D11" s="1339"/>
      <c r="E11" s="1340"/>
      <c r="F11" s="1340"/>
      <c r="G11" s="1340"/>
      <c r="H11" s="1340"/>
      <c r="I11" s="1340"/>
      <c r="J11" s="1340"/>
      <c r="K11" s="1340"/>
      <c r="L11" s="1340"/>
      <c r="M11" s="1340"/>
    </row>
    <row r="12" spans="2:14" ht="20.100000000000001" customHeight="1" x14ac:dyDescent="0.2">
      <c r="B12" s="1337" t="s">
        <v>2101</v>
      </c>
      <c r="C12" s="1341">
        <v>84.268000000000001</v>
      </c>
      <c r="D12" s="1342" t="s">
        <v>2104</v>
      </c>
      <c r="E12" s="1343"/>
      <c r="F12" s="1343">
        <v>924079</v>
      </c>
      <c r="G12" s="1343"/>
      <c r="H12" s="1343"/>
      <c r="I12" s="1343">
        <v>924079</v>
      </c>
      <c r="J12" s="1343"/>
      <c r="K12" s="1343"/>
      <c r="L12" s="1340">
        <f t="shared" ref="L12:L25" si="0">+G12+I12+K12</f>
        <v>924079</v>
      </c>
      <c r="M12" s="1343" t="s">
        <v>2104</v>
      </c>
    </row>
    <row r="13" spans="2:14" ht="20.100000000000001" customHeight="1" x14ac:dyDescent="0.2">
      <c r="B13" s="1337" t="s">
        <v>2102</v>
      </c>
      <c r="C13" s="1341">
        <v>84.063000000000002</v>
      </c>
      <c r="D13" s="1342" t="s">
        <v>2104</v>
      </c>
      <c r="E13" s="1343"/>
      <c r="F13" s="1343">
        <v>524570</v>
      </c>
      <c r="G13" s="1343"/>
      <c r="H13" s="1343"/>
      <c r="I13" s="1343">
        <v>524570</v>
      </c>
      <c r="J13" s="1343"/>
      <c r="K13" s="1343"/>
      <c r="L13" s="1340">
        <f t="shared" si="0"/>
        <v>524570</v>
      </c>
      <c r="M13" s="1343"/>
    </row>
    <row r="14" spans="2:14" ht="18" customHeight="1" x14ac:dyDescent="0.2">
      <c r="B14" s="1337"/>
      <c r="C14" s="1341"/>
      <c r="D14" s="1342"/>
      <c r="E14" s="1343"/>
      <c r="F14" s="1343"/>
      <c r="G14" s="1343"/>
      <c r="H14" s="1343"/>
      <c r="I14" s="1343"/>
      <c r="J14" s="1343"/>
      <c r="K14" s="1343"/>
      <c r="L14" s="1340"/>
      <c r="M14" s="1343"/>
    </row>
    <row r="15" spans="2:14" ht="20.100000000000001" customHeight="1" x14ac:dyDescent="0.2">
      <c r="B15" s="1952" t="s">
        <v>2103</v>
      </c>
      <c r="C15" s="1341"/>
      <c r="D15" s="1342"/>
      <c r="E15" s="1953">
        <v>0</v>
      </c>
      <c r="F15" s="1953">
        <v>1448649</v>
      </c>
      <c r="G15" s="1953">
        <v>0</v>
      </c>
      <c r="H15" s="1953">
        <v>0</v>
      </c>
      <c r="I15" s="1953">
        <v>1448649</v>
      </c>
      <c r="J15" s="1953">
        <v>0</v>
      </c>
      <c r="K15" s="1953">
        <v>0</v>
      </c>
      <c r="L15" s="1954">
        <f t="shared" si="0"/>
        <v>1448649</v>
      </c>
      <c r="M15" s="1343"/>
    </row>
    <row r="16" spans="2:14" ht="18" customHeight="1" x14ac:dyDescent="0.2">
      <c r="B16" s="1337"/>
      <c r="C16" s="1341"/>
      <c r="D16" s="1342"/>
      <c r="E16" s="1343"/>
      <c r="F16" s="1343"/>
      <c r="G16" s="1343"/>
      <c r="H16" s="1343"/>
      <c r="I16" s="1343"/>
      <c r="J16" s="1343"/>
      <c r="K16" s="1343"/>
      <c r="L16" s="1340"/>
      <c r="M16" s="1343"/>
    </row>
    <row r="17" spans="2:14" ht="20.100000000000001" customHeight="1" x14ac:dyDescent="0.2">
      <c r="B17" s="1337" t="s">
        <v>2109</v>
      </c>
      <c r="C17" s="1341"/>
      <c r="D17" s="1342"/>
      <c r="E17" s="1343"/>
      <c r="F17" s="1343"/>
      <c r="G17" s="1343"/>
      <c r="H17" s="1343"/>
      <c r="I17" s="1343"/>
      <c r="J17" s="1343"/>
      <c r="K17" s="1343"/>
      <c r="L17" s="1340">
        <f t="shared" si="0"/>
        <v>0</v>
      </c>
      <c r="M17" s="1343"/>
    </row>
    <row r="18" spans="2:14" ht="39" customHeight="1" x14ac:dyDescent="0.2">
      <c r="B18" s="1337" t="s">
        <v>2107</v>
      </c>
      <c r="C18" s="1341" t="s">
        <v>2108</v>
      </c>
      <c r="D18" s="1342">
        <v>2018</v>
      </c>
      <c r="E18" s="1343"/>
      <c r="F18" s="1343">
        <v>143145</v>
      </c>
      <c r="G18" s="1343"/>
      <c r="H18" s="1343"/>
      <c r="I18" s="1343">
        <v>143145</v>
      </c>
      <c r="J18" s="1343"/>
      <c r="K18" s="1343"/>
      <c r="L18" s="1340">
        <f t="shared" si="0"/>
        <v>143145</v>
      </c>
      <c r="M18" s="1343">
        <v>140000</v>
      </c>
    </row>
    <row r="19" spans="2:14" ht="18" customHeight="1" x14ac:dyDescent="0.2">
      <c r="B19" s="1337"/>
      <c r="C19" s="1341"/>
      <c r="D19" s="1342"/>
      <c r="E19" s="1343"/>
      <c r="F19" s="1343"/>
      <c r="G19" s="1343"/>
      <c r="H19" s="1343"/>
      <c r="I19" s="1343"/>
      <c r="J19" s="1343"/>
      <c r="K19" s="1343"/>
      <c r="L19" s="1340"/>
      <c r="M19" s="1343"/>
    </row>
    <row r="20" spans="2:14" ht="35.25" customHeight="1" x14ac:dyDescent="0.2">
      <c r="B20" s="1952" t="s">
        <v>2110</v>
      </c>
      <c r="C20" s="1341"/>
      <c r="D20" s="1342"/>
      <c r="E20" s="1953">
        <v>0</v>
      </c>
      <c r="F20" s="1953">
        <v>143145</v>
      </c>
      <c r="G20" s="1953">
        <v>0</v>
      </c>
      <c r="H20" s="1953">
        <v>0</v>
      </c>
      <c r="I20" s="1953">
        <v>143145</v>
      </c>
      <c r="J20" s="1953">
        <v>0</v>
      </c>
      <c r="K20" s="1953">
        <v>0</v>
      </c>
      <c r="L20" s="1954">
        <f t="shared" si="0"/>
        <v>143145</v>
      </c>
      <c r="M20" s="1343"/>
    </row>
    <row r="21" spans="2:14" ht="18" customHeight="1" x14ac:dyDescent="0.2">
      <c r="B21" s="1337"/>
      <c r="C21" s="1341"/>
      <c r="D21" s="1342"/>
      <c r="E21" s="1343"/>
      <c r="F21" s="1343"/>
      <c r="G21" s="1343"/>
      <c r="H21" s="1343"/>
      <c r="I21" s="1343"/>
      <c r="J21" s="1343"/>
      <c r="K21" s="1343"/>
      <c r="L21" s="1340"/>
      <c r="M21" s="1343"/>
    </row>
    <row r="22" spans="2:14" ht="35.25" customHeight="1" x14ac:dyDescent="0.2">
      <c r="B22" s="1337" t="s">
        <v>2111</v>
      </c>
      <c r="C22" s="1341"/>
      <c r="D22" s="1342"/>
      <c r="E22" s="1343"/>
      <c r="F22" s="1343"/>
      <c r="G22" s="1343"/>
      <c r="H22" s="1343"/>
      <c r="I22" s="1343"/>
      <c r="J22" s="1343"/>
      <c r="K22" s="1343"/>
      <c r="L22" s="1340"/>
      <c r="M22" s="1343"/>
    </row>
    <row r="23" spans="2:14" ht="20.100000000000001" customHeight="1" x14ac:dyDescent="0.2">
      <c r="B23" s="1337" t="s">
        <v>2113</v>
      </c>
      <c r="C23" s="1341">
        <v>93.569000000000003</v>
      </c>
      <c r="D23" s="1342" t="s">
        <v>2104</v>
      </c>
      <c r="E23" s="1343"/>
      <c r="F23" s="1343">
        <v>6852</v>
      </c>
      <c r="G23" s="1343"/>
      <c r="H23" s="1343"/>
      <c r="I23" s="1343">
        <v>6852</v>
      </c>
      <c r="J23" s="1343"/>
      <c r="K23" s="1343"/>
      <c r="L23" s="1340">
        <f t="shared" si="0"/>
        <v>6852</v>
      </c>
      <c r="M23" s="1343" t="s">
        <v>2104</v>
      </c>
    </row>
    <row r="24" spans="2:14" ht="18" customHeight="1" x14ac:dyDescent="0.2">
      <c r="B24" s="1337"/>
      <c r="C24" s="1341"/>
      <c r="D24" s="1342"/>
      <c r="E24" s="1343"/>
      <c r="F24" s="1343"/>
      <c r="G24" s="1343"/>
      <c r="H24" s="1343"/>
      <c r="I24" s="1343"/>
      <c r="J24" s="1343"/>
      <c r="K24" s="1343"/>
      <c r="L24" s="1340"/>
      <c r="M24" s="1343"/>
    </row>
    <row r="25" spans="2:14" ht="47.25" customHeight="1" x14ac:dyDescent="0.2">
      <c r="B25" s="1952" t="s">
        <v>2112</v>
      </c>
      <c r="C25" s="1341"/>
      <c r="D25" s="1342"/>
      <c r="E25" s="1953">
        <v>0</v>
      </c>
      <c r="F25" s="1953">
        <v>6852</v>
      </c>
      <c r="G25" s="1953">
        <v>0</v>
      </c>
      <c r="H25" s="1953">
        <v>0</v>
      </c>
      <c r="I25" s="1953">
        <v>6852</v>
      </c>
      <c r="J25" s="1953">
        <v>0</v>
      </c>
      <c r="K25" s="1953">
        <v>0</v>
      </c>
      <c r="L25" s="1954">
        <f t="shared" si="0"/>
        <v>6852</v>
      </c>
      <c r="M25" s="1343"/>
    </row>
    <row r="26" spans="2:14" ht="12.75" customHeight="1" x14ac:dyDescent="0.2">
      <c r="B26" s="1345"/>
      <c r="C26" s="1346"/>
      <c r="D26" s="1347"/>
      <c r="E26" s="1348"/>
      <c r="F26" s="1348"/>
      <c r="G26" s="1348"/>
      <c r="H26" s="1348"/>
      <c r="I26" s="1348"/>
      <c r="J26" s="1348"/>
      <c r="K26" s="1348"/>
      <c r="L26" s="1348"/>
      <c r="M26" s="1348"/>
      <c r="N26" s="1344"/>
    </row>
    <row r="27" spans="2:14" ht="13.5" customHeight="1" x14ac:dyDescent="0.2">
      <c r="B27" s="1282" t="s">
        <v>1838</v>
      </c>
      <c r="C27" s="1349"/>
      <c r="D27" s="1350"/>
      <c r="E27" s="1257"/>
      <c r="F27" s="1257"/>
      <c r="G27" s="1250"/>
      <c r="H27" s="1250"/>
      <c r="I27" s="1250"/>
      <c r="J27" s="1250"/>
      <c r="K27" s="1250"/>
      <c r="L27" s="1250"/>
      <c r="M27" s="1257"/>
      <c r="N27" s="1344"/>
    </row>
    <row r="28" spans="2:14" ht="8.25" customHeight="1" x14ac:dyDescent="0.2">
      <c r="B28" s="1282"/>
      <c r="C28" s="1349"/>
      <c r="D28" s="1350"/>
      <c r="E28" s="1257"/>
      <c r="F28" s="1257"/>
      <c r="G28" s="1250"/>
      <c r="H28" s="1250"/>
      <c r="I28" s="1250"/>
      <c r="J28" s="1250"/>
      <c r="K28" s="1250"/>
      <c r="L28" s="1250"/>
      <c r="M28" s="1257"/>
      <c r="N28" s="1344"/>
    </row>
    <row r="29" spans="2:14" x14ac:dyDescent="0.2">
      <c r="B29" s="1351" t="s">
        <v>1949</v>
      </c>
      <c r="C29" s="1352"/>
      <c r="D29" s="1353"/>
      <c r="E29" s="1354"/>
      <c r="F29" s="1354"/>
      <c r="G29" s="1354"/>
      <c r="H29" s="1354"/>
      <c r="I29" s="317"/>
      <c r="J29" s="317"/>
    </row>
    <row r="30" spans="2:14" ht="5.25" customHeight="1" x14ac:dyDescent="0.2">
      <c r="B30" s="1277"/>
      <c r="C30" s="1355"/>
      <c r="D30" s="1356"/>
      <c r="E30" s="1278"/>
      <c r="F30" s="1278"/>
      <c r="G30" s="317"/>
      <c r="H30" s="317"/>
      <c r="I30" s="317"/>
      <c r="J30" s="317"/>
    </row>
    <row r="31" spans="2:14" ht="13.5" customHeight="1" x14ac:dyDescent="0.2">
      <c r="B31" s="1276" t="s">
        <v>1308</v>
      </c>
      <c r="G31" s="317"/>
      <c r="H31" s="317"/>
      <c r="I31" s="317"/>
      <c r="J31" s="317"/>
    </row>
    <row r="32" spans="2:14" ht="5.25" customHeight="1" x14ac:dyDescent="0.2">
      <c r="B32" s="1359"/>
      <c r="C32" s="1360"/>
      <c r="D32" s="1361"/>
      <c r="E32" s="1297"/>
      <c r="F32" s="1297"/>
      <c r="G32" s="1297"/>
      <c r="H32" s="1297"/>
      <c r="I32" s="1297"/>
      <c r="J32" s="1297"/>
      <c r="K32" s="1362"/>
      <c r="L32" s="1362"/>
      <c r="M32" s="1297"/>
    </row>
    <row r="33" spans="2:13" ht="3.75" customHeight="1" x14ac:dyDescent="0.2">
      <c r="B33" s="1363"/>
      <c r="G33" s="317"/>
      <c r="H33" s="317"/>
      <c r="I33" s="317"/>
      <c r="J33" s="317"/>
    </row>
    <row r="34" spans="2:13" ht="11.25" customHeight="1" x14ac:dyDescent="0.2">
      <c r="B34" s="1364" t="s">
        <v>1839</v>
      </c>
      <c r="C34" s="1365"/>
      <c r="D34" s="1365"/>
      <c r="E34" s="1365"/>
      <c r="F34" s="1365"/>
      <c r="G34" s="1365"/>
      <c r="H34" s="1365"/>
      <c r="I34" s="1366"/>
      <c r="J34" s="1366"/>
      <c r="K34" s="1366"/>
      <c r="L34" s="1366"/>
      <c r="M34" s="1366"/>
    </row>
    <row r="35" spans="2:13" ht="11.25" customHeight="1" x14ac:dyDescent="0.2">
      <c r="B35" s="1367" t="s">
        <v>1666</v>
      </c>
      <c r="C35" s="1366"/>
      <c r="D35" s="1366"/>
      <c r="E35" s="1366"/>
      <c r="F35" s="1366"/>
      <c r="G35" s="1366"/>
      <c r="H35" s="1366"/>
      <c r="I35" s="1366"/>
      <c r="J35" s="1366"/>
      <c r="K35" s="1366"/>
      <c r="L35" s="1366"/>
      <c r="M35" s="1366"/>
    </row>
    <row r="36" spans="2:13" ht="3.95" customHeight="1" x14ac:dyDescent="0.2">
      <c r="B36" s="1367"/>
      <c r="C36" s="1366"/>
      <c r="D36" s="1366"/>
      <c r="E36" s="1366"/>
      <c r="F36" s="1366"/>
      <c r="G36" s="1366"/>
      <c r="H36" s="1366"/>
      <c r="I36" s="1366"/>
      <c r="J36" s="1366"/>
      <c r="K36" s="1366"/>
      <c r="L36" s="1366"/>
      <c r="M36" s="1366"/>
    </row>
    <row r="37" spans="2:13" ht="11.25" customHeight="1" x14ac:dyDescent="0.2">
      <c r="B37" s="1364" t="s">
        <v>1840</v>
      </c>
      <c r="C37" s="1366"/>
      <c r="D37" s="1366"/>
      <c r="E37" s="1366"/>
      <c r="F37" s="1366"/>
      <c r="G37" s="1366"/>
      <c r="H37" s="1366"/>
      <c r="I37" s="1366"/>
      <c r="J37" s="1366"/>
      <c r="K37" s="1366"/>
      <c r="L37" s="1366"/>
      <c r="M37" s="1366"/>
    </row>
    <row r="38" spans="2:13" ht="11.25" customHeight="1" x14ac:dyDescent="0.2">
      <c r="B38" s="1300" t="s">
        <v>1667</v>
      </c>
      <c r="C38" s="1368"/>
      <c r="D38" s="1369"/>
      <c r="E38" s="1300"/>
      <c r="F38" s="1300"/>
      <c r="G38" s="1300"/>
      <c r="H38" s="1300"/>
      <c r="I38" s="1300"/>
      <c r="J38" s="1300"/>
      <c r="K38" s="1370"/>
      <c r="L38" s="1370"/>
      <c r="M38" s="1300"/>
    </row>
    <row r="39" spans="2:13" ht="3.95" customHeight="1" x14ac:dyDescent="0.2">
      <c r="B39" s="1300"/>
      <c r="C39" s="1368"/>
      <c r="D39" s="1369"/>
      <c r="E39" s="1300"/>
      <c r="F39" s="1300"/>
      <c r="G39" s="1300"/>
      <c r="H39" s="1300"/>
      <c r="I39" s="1300"/>
      <c r="J39" s="1300"/>
      <c r="K39" s="1370"/>
      <c r="L39" s="1370"/>
      <c r="M39" s="1300"/>
    </row>
    <row r="40" spans="2:13" ht="11.25" customHeight="1" x14ac:dyDescent="0.2">
      <c r="B40" s="1371" t="s">
        <v>1841</v>
      </c>
      <c r="C40" s="1368"/>
      <c r="D40" s="1369"/>
      <c r="E40" s="1300"/>
      <c r="F40" s="1300"/>
      <c r="G40" s="1300"/>
      <c r="H40" s="1300"/>
      <c r="I40" s="1300"/>
      <c r="J40" s="1300"/>
      <c r="K40" s="1370"/>
      <c r="L40" s="1370"/>
      <c r="M40" s="1300"/>
    </row>
    <row r="41" spans="2:13" ht="3.95" customHeight="1" x14ac:dyDescent="0.2">
      <c r="B41" s="1371"/>
      <c r="C41" s="1368"/>
      <c r="D41" s="1369"/>
      <c r="E41" s="1300"/>
      <c r="F41" s="1300"/>
      <c r="G41" s="1300"/>
      <c r="H41" s="1300"/>
      <c r="I41" s="1300"/>
      <c r="J41" s="1300"/>
      <c r="K41" s="1370"/>
      <c r="L41" s="1370"/>
      <c r="M41" s="1300"/>
    </row>
    <row r="42" spans="2:13" ht="11.25" customHeight="1" x14ac:dyDescent="0.2">
      <c r="B42" s="1372" t="s">
        <v>1842</v>
      </c>
      <c r="C42" s="1368"/>
      <c r="D42" s="1369"/>
      <c r="E42" s="1300"/>
      <c r="F42" s="1300"/>
      <c r="G42" s="1300"/>
      <c r="H42" s="1300"/>
      <c r="I42" s="1300"/>
      <c r="J42" s="1300"/>
      <c r="K42" s="1370"/>
      <c r="L42" s="1370"/>
      <c r="M42" s="1300"/>
    </row>
    <row r="43" spans="2:13" ht="11.25" customHeight="1" x14ac:dyDescent="0.2">
      <c r="B43" s="1300" t="s">
        <v>1668</v>
      </c>
      <c r="G43" s="317"/>
      <c r="H43" s="317"/>
      <c r="I43" s="317"/>
      <c r="J43" s="317"/>
    </row>
    <row r="44" spans="2:13" ht="11.1" customHeight="1" x14ac:dyDescent="0.2">
      <c r="B44" s="1300"/>
      <c r="G44" s="317"/>
      <c r="H44" s="317"/>
      <c r="I44" s="317"/>
      <c r="J44" s="317"/>
    </row>
    <row r="45" spans="2:13" ht="11.1" customHeight="1" x14ac:dyDescent="0.2">
      <c r="B45" s="1300"/>
      <c r="G45" s="317"/>
      <c r="H45" s="317"/>
      <c r="I45" s="317"/>
      <c r="J45" s="317"/>
    </row>
    <row r="46" spans="2:13" ht="13.5" customHeight="1" x14ac:dyDescent="0.2">
      <c r="M46" s="1373"/>
    </row>
    <row r="47" spans="2:13" ht="13.5" customHeight="1" x14ac:dyDescent="0.2">
      <c r="M47" s="1373"/>
    </row>
    <row r="48" spans="2:13" ht="13.5" customHeight="1" x14ac:dyDescent="0.2">
      <c r="M48" s="1373"/>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c r="G55" s="317"/>
      <c r="H55" s="317"/>
      <c r="I55" s="317"/>
      <c r="J55" s="317"/>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sheetProtection sheet="1" objects="1" scenarios="1"/>
  <mergeCells count="4">
    <mergeCell ref="B1:M1"/>
    <mergeCell ref="B2:M2"/>
    <mergeCell ref="B3:M3"/>
    <mergeCell ref="B4:M4"/>
  </mergeCells>
  <pageMargins left="0.09" right="0" top="0.5" bottom="0.4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0" t="str">
        <f>'Single Audit Cover'!A7</f>
        <v xml:space="preserve">Capital Area Career Center                  </v>
      </c>
      <c r="C1" s="2466"/>
      <c r="D1" s="2466"/>
      <c r="E1" s="2466"/>
      <c r="F1" s="2466"/>
      <c r="G1" s="2466"/>
      <c r="H1" s="2466"/>
      <c r="I1" s="2466"/>
      <c r="J1" s="2466"/>
      <c r="K1" s="2466"/>
      <c r="L1" s="2466"/>
      <c r="M1" s="2466"/>
    </row>
    <row r="2" spans="2:14" ht="15" x14ac:dyDescent="0.2">
      <c r="B2" s="2455">
        <f>'Single Audit Cover'!E7</f>
        <v>51084790040</v>
      </c>
      <c r="C2" s="2455"/>
      <c r="D2" s="2455"/>
      <c r="E2" s="2455"/>
      <c r="F2" s="2455"/>
      <c r="G2" s="2455"/>
      <c r="H2" s="2455"/>
      <c r="I2" s="2455"/>
      <c r="J2" s="2455"/>
      <c r="K2" s="2455"/>
      <c r="L2" s="2455"/>
      <c r="M2" s="2455"/>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39.75" customHeight="1" x14ac:dyDescent="0.2">
      <c r="B11" s="1337" t="s">
        <v>2114</v>
      </c>
      <c r="C11" s="1338"/>
      <c r="D11" s="1339"/>
      <c r="E11" s="1340"/>
      <c r="F11" s="1340"/>
      <c r="G11" s="1340"/>
      <c r="H11" s="1340"/>
      <c r="I11" s="1340"/>
      <c r="J11" s="1340"/>
      <c r="K11" s="1340"/>
      <c r="L11" s="1340"/>
      <c r="M11" s="1340"/>
    </row>
    <row r="12" spans="2:14" ht="20.100000000000001" customHeight="1" x14ac:dyDescent="0.2">
      <c r="B12" s="1337" t="s">
        <v>2115</v>
      </c>
      <c r="C12" s="1341">
        <v>17.257999999999999</v>
      </c>
      <c r="D12" s="1342" t="s">
        <v>2104</v>
      </c>
      <c r="E12" s="1343"/>
      <c r="F12" s="1343">
        <v>842718</v>
      </c>
      <c r="G12" s="1343"/>
      <c r="H12" s="1343"/>
      <c r="I12" s="1343">
        <v>842718</v>
      </c>
      <c r="J12" s="1343"/>
      <c r="K12" s="1343"/>
      <c r="L12" s="1340">
        <f t="shared" ref="L12:L25" si="0">+G12+I12+K12</f>
        <v>842718</v>
      </c>
      <c r="M12" s="1343" t="s">
        <v>2104</v>
      </c>
    </row>
    <row r="13" spans="2:14" ht="20.100000000000001" customHeight="1" x14ac:dyDescent="0.2">
      <c r="B13" s="1337" t="s">
        <v>2116</v>
      </c>
      <c r="C13" s="1341">
        <v>17.27</v>
      </c>
      <c r="D13" s="1342" t="s">
        <v>2104</v>
      </c>
      <c r="E13" s="1343"/>
      <c r="F13" s="1343">
        <v>925</v>
      </c>
      <c r="G13" s="1343"/>
      <c r="H13" s="1343"/>
      <c r="I13" s="1343">
        <v>925</v>
      </c>
      <c r="J13" s="1343"/>
      <c r="K13" s="1343"/>
      <c r="L13" s="1340">
        <f t="shared" si="0"/>
        <v>925</v>
      </c>
      <c r="M13" s="1343" t="s">
        <v>2104</v>
      </c>
    </row>
    <row r="14" spans="2:14" ht="20.100000000000001" customHeight="1" x14ac:dyDescent="0.2">
      <c r="B14" s="1337"/>
      <c r="C14" s="1341"/>
      <c r="D14" s="1342"/>
      <c r="E14" s="1343"/>
      <c r="F14" s="1343"/>
      <c r="G14" s="1343"/>
      <c r="H14" s="1343"/>
      <c r="I14" s="1343"/>
      <c r="J14" s="1343"/>
      <c r="K14" s="1343"/>
      <c r="L14" s="1340"/>
      <c r="M14" s="1343"/>
    </row>
    <row r="15" spans="2:14" ht="37.5" customHeight="1" x14ac:dyDescent="0.2">
      <c r="B15" s="1952" t="s">
        <v>2117</v>
      </c>
      <c r="C15" s="1341"/>
      <c r="D15" s="1342"/>
      <c r="E15" s="1953">
        <v>0</v>
      </c>
      <c r="F15" s="1953">
        <v>843643</v>
      </c>
      <c r="G15" s="1953">
        <v>0</v>
      </c>
      <c r="H15" s="1953">
        <v>0</v>
      </c>
      <c r="I15" s="1953">
        <v>843643</v>
      </c>
      <c r="J15" s="1953">
        <v>0</v>
      </c>
      <c r="K15" s="1953">
        <v>0</v>
      </c>
      <c r="L15" s="1954">
        <f t="shared" si="0"/>
        <v>843643</v>
      </c>
      <c r="M15" s="1343"/>
    </row>
    <row r="16" spans="2:14" ht="20.100000000000001" customHeight="1" x14ac:dyDescent="0.2">
      <c r="B16" s="1337"/>
      <c r="C16" s="1341"/>
      <c r="D16" s="1342"/>
      <c r="E16" s="1343"/>
      <c r="F16" s="1343"/>
      <c r="G16" s="1343"/>
      <c r="H16" s="1343"/>
      <c r="I16" s="1343"/>
      <c r="J16" s="1343"/>
      <c r="K16" s="1343"/>
      <c r="L16" s="1340"/>
      <c r="M16" s="1343"/>
    </row>
    <row r="17" spans="2:14" ht="20.100000000000001" customHeight="1" x14ac:dyDescent="0.2">
      <c r="B17" s="1337" t="s">
        <v>2118</v>
      </c>
      <c r="C17" s="1341"/>
      <c r="D17" s="1342"/>
      <c r="E17" s="1343"/>
      <c r="F17" s="1343"/>
      <c r="G17" s="1343"/>
      <c r="H17" s="1343"/>
      <c r="I17" s="1343"/>
      <c r="J17" s="1343"/>
      <c r="K17" s="1343"/>
      <c r="L17" s="1340"/>
      <c r="M17" s="1343"/>
    </row>
    <row r="18" spans="2:14" ht="20.100000000000001" customHeight="1" x14ac:dyDescent="0.2">
      <c r="B18" s="1337" t="s">
        <v>2119</v>
      </c>
      <c r="C18" s="1341">
        <v>64.028000000000006</v>
      </c>
      <c r="D18" s="1342" t="s">
        <v>2104</v>
      </c>
      <c r="E18" s="1343"/>
      <c r="F18" s="1343">
        <v>23193</v>
      </c>
      <c r="G18" s="1343"/>
      <c r="H18" s="1343"/>
      <c r="I18" s="1343">
        <v>23193</v>
      </c>
      <c r="J18" s="1343"/>
      <c r="K18" s="1343"/>
      <c r="L18" s="1340">
        <f t="shared" si="0"/>
        <v>23193</v>
      </c>
      <c r="M18" s="1343" t="s">
        <v>2104</v>
      </c>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952" t="s">
        <v>2120</v>
      </c>
      <c r="C20" s="1341"/>
      <c r="D20" s="1955"/>
      <c r="E20" s="1953">
        <v>0</v>
      </c>
      <c r="F20" s="1953">
        <v>23193</v>
      </c>
      <c r="G20" s="1953">
        <v>0</v>
      </c>
      <c r="H20" s="1953">
        <v>0</v>
      </c>
      <c r="I20" s="1953">
        <v>23193</v>
      </c>
      <c r="J20" s="1953">
        <v>0</v>
      </c>
      <c r="K20" s="1953">
        <v>0</v>
      </c>
      <c r="L20" s="1954">
        <f t="shared" si="0"/>
        <v>23193</v>
      </c>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952" t="s">
        <v>2121</v>
      </c>
      <c r="C23" s="1956"/>
      <c r="D23" s="1955"/>
      <c r="E23" s="1953">
        <v>0</v>
      </c>
      <c r="F23" s="1953">
        <v>2465482</v>
      </c>
      <c r="G23" s="1953">
        <v>0</v>
      </c>
      <c r="H23" s="1953">
        <v>0</v>
      </c>
      <c r="I23" s="1953">
        <v>2465482</v>
      </c>
      <c r="J23" s="1953">
        <v>0</v>
      </c>
      <c r="K23" s="1953">
        <v>0</v>
      </c>
      <c r="L23" s="1954">
        <f t="shared" si="0"/>
        <v>2465482</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12.75" customHeight="1" x14ac:dyDescent="0.2">
      <c r="B26" s="1345"/>
      <c r="C26" s="1346"/>
      <c r="D26" s="1347"/>
      <c r="E26" s="1348"/>
      <c r="F26" s="1348"/>
      <c r="G26" s="1348"/>
      <c r="H26" s="1348"/>
      <c r="I26" s="1348"/>
      <c r="J26" s="1348"/>
      <c r="K26" s="1348"/>
      <c r="L26" s="1348"/>
      <c r="M26" s="1348"/>
      <c r="N26" s="1344"/>
    </row>
    <row r="27" spans="2:14" x14ac:dyDescent="0.2">
      <c r="B27" s="1257"/>
      <c r="C27" s="1349"/>
      <c r="D27" s="1350"/>
      <c r="E27" s="1257"/>
      <c r="F27" s="1257"/>
      <c r="G27" s="1250"/>
      <c r="H27" s="1250"/>
      <c r="I27" s="1250"/>
      <c r="J27" s="1250"/>
      <c r="K27" s="1250"/>
      <c r="L27" s="1250"/>
      <c r="M27" s="1257"/>
      <c r="N27" s="1344"/>
    </row>
    <row r="28" spans="2:14" ht="13.5" customHeight="1" x14ac:dyDescent="0.2">
      <c r="B28" s="1282" t="s">
        <v>1838</v>
      </c>
      <c r="C28" s="1349"/>
      <c r="D28" s="1350"/>
      <c r="E28" s="1257"/>
      <c r="F28" s="1257"/>
      <c r="G28" s="1250"/>
      <c r="H28" s="1250"/>
      <c r="I28" s="1250"/>
      <c r="J28" s="1250"/>
      <c r="K28" s="1250"/>
      <c r="L28" s="1250"/>
      <c r="M28" s="1257"/>
      <c r="N28" s="1344"/>
    </row>
    <row r="29" spans="2:14" ht="8.25" customHeight="1" x14ac:dyDescent="0.2">
      <c r="B29" s="1282"/>
      <c r="C29" s="1349"/>
      <c r="D29" s="1350"/>
      <c r="E29" s="1257"/>
      <c r="F29" s="1257"/>
      <c r="G29" s="1250"/>
      <c r="H29" s="1250"/>
      <c r="I29" s="1250"/>
      <c r="J29" s="1250"/>
      <c r="K29" s="1250"/>
      <c r="L29" s="1250"/>
      <c r="M29" s="1257"/>
      <c r="N29" s="1344"/>
    </row>
    <row r="30" spans="2:14" x14ac:dyDescent="0.2">
      <c r="B30" s="1351" t="s">
        <v>1949</v>
      </c>
      <c r="C30" s="1352"/>
      <c r="D30" s="1353"/>
      <c r="E30" s="1354"/>
      <c r="F30" s="1354"/>
      <c r="G30" s="1354"/>
      <c r="H30" s="1354"/>
      <c r="I30" s="317"/>
      <c r="J30" s="317"/>
    </row>
    <row r="31" spans="2:14" x14ac:dyDescent="0.2">
      <c r="B31" s="1277"/>
      <c r="C31" s="1355"/>
      <c r="D31" s="1356"/>
      <c r="E31" s="1278"/>
      <c r="F31" s="1278"/>
      <c r="G31" s="317"/>
      <c r="H31" s="317"/>
      <c r="I31" s="317"/>
      <c r="J31" s="317"/>
    </row>
    <row r="32" spans="2:14" ht="13.5" customHeight="1" x14ac:dyDescent="0.2">
      <c r="B32" s="1276" t="s">
        <v>1308</v>
      </c>
      <c r="G32" s="317"/>
      <c r="H32" s="317"/>
      <c r="I32" s="317"/>
      <c r="J32" s="317"/>
    </row>
    <row r="33" spans="2:13" ht="13.5" customHeight="1" x14ac:dyDescent="0.2">
      <c r="B33" s="1359"/>
      <c r="C33" s="1360"/>
      <c r="D33" s="1361"/>
      <c r="E33" s="1297"/>
      <c r="F33" s="1297"/>
      <c r="G33" s="1297"/>
      <c r="H33" s="1297"/>
      <c r="I33" s="1297"/>
      <c r="J33" s="1297"/>
      <c r="K33" s="1362"/>
      <c r="L33" s="1362"/>
      <c r="M33" s="1297"/>
    </row>
    <row r="34" spans="2:13" ht="9.6" customHeight="1" x14ac:dyDescent="0.2">
      <c r="B34" s="1363"/>
      <c r="G34" s="317"/>
      <c r="H34" s="317"/>
      <c r="I34" s="317"/>
      <c r="J34" s="317"/>
    </row>
    <row r="35" spans="2:13" ht="11.25" customHeight="1" x14ac:dyDescent="0.2">
      <c r="B35" s="1364" t="s">
        <v>1839</v>
      </c>
      <c r="C35" s="1365"/>
      <c r="D35" s="1365"/>
      <c r="E35" s="1365"/>
      <c r="F35" s="1365"/>
      <c r="G35" s="1365"/>
      <c r="H35" s="1365"/>
      <c r="I35" s="1366"/>
      <c r="J35" s="1366"/>
      <c r="K35" s="1366"/>
      <c r="L35" s="1366"/>
      <c r="M35" s="1366"/>
    </row>
    <row r="36" spans="2:13" ht="11.25" customHeight="1" x14ac:dyDescent="0.2">
      <c r="B36" s="1367" t="s">
        <v>1666</v>
      </c>
      <c r="C36" s="1366"/>
      <c r="D36" s="1366"/>
      <c r="E36" s="1366"/>
      <c r="F36" s="1366"/>
      <c r="G36" s="1366"/>
      <c r="H36" s="1366"/>
      <c r="I36" s="1366"/>
      <c r="J36" s="1366"/>
      <c r="K36" s="1366"/>
      <c r="L36" s="1366"/>
      <c r="M36" s="1366"/>
    </row>
    <row r="37" spans="2:13" ht="3.95" customHeight="1" x14ac:dyDescent="0.2">
      <c r="B37" s="1367"/>
      <c r="C37" s="1366"/>
      <c r="D37" s="1366"/>
      <c r="E37" s="1366"/>
      <c r="F37" s="1366"/>
      <c r="G37" s="1366"/>
      <c r="H37" s="1366"/>
      <c r="I37" s="1366"/>
      <c r="J37" s="1366"/>
      <c r="K37" s="1366"/>
      <c r="L37" s="1366"/>
      <c r="M37" s="1366"/>
    </row>
    <row r="38" spans="2:13" ht="11.25" customHeight="1" x14ac:dyDescent="0.2">
      <c r="B38" s="1364" t="s">
        <v>1840</v>
      </c>
      <c r="C38" s="1366"/>
      <c r="D38" s="1366"/>
      <c r="E38" s="1366"/>
      <c r="F38" s="1366"/>
      <c r="G38" s="1366"/>
      <c r="H38" s="1366"/>
      <c r="I38" s="1366"/>
      <c r="J38" s="1366"/>
      <c r="K38" s="1366"/>
      <c r="L38" s="1366"/>
      <c r="M38" s="1366"/>
    </row>
    <row r="39" spans="2:13" ht="11.25" customHeight="1" x14ac:dyDescent="0.2">
      <c r="B39" s="1300" t="s">
        <v>1667</v>
      </c>
      <c r="C39" s="1368"/>
      <c r="D39" s="1369"/>
      <c r="E39" s="1300"/>
      <c r="F39" s="1300"/>
      <c r="G39" s="1300"/>
      <c r="H39" s="1300"/>
      <c r="I39" s="1300"/>
      <c r="J39" s="1300"/>
      <c r="K39" s="1370"/>
      <c r="L39" s="1370"/>
      <c r="M39" s="1300"/>
    </row>
    <row r="40" spans="2:13" ht="3.95" customHeight="1" x14ac:dyDescent="0.2">
      <c r="B40" s="1300"/>
      <c r="C40" s="1368"/>
      <c r="D40" s="1369"/>
      <c r="E40" s="1300"/>
      <c r="F40" s="1300"/>
      <c r="G40" s="1300"/>
      <c r="H40" s="1300"/>
      <c r="I40" s="1300"/>
      <c r="J40" s="1300"/>
      <c r="K40" s="1370"/>
      <c r="L40" s="1370"/>
      <c r="M40" s="1300"/>
    </row>
    <row r="41" spans="2:13" ht="11.25" customHeight="1" x14ac:dyDescent="0.2">
      <c r="B41" s="1371" t="s">
        <v>1841</v>
      </c>
      <c r="C41" s="1368"/>
      <c r="D41" s="1369"/>
      <c r="E41" s="1300"/>
      <c r="F41" s="1300"/>
      <c r="G41" s="1300"/>
      <c r="H41" s="1300"/>
      <c r="I41" s="1300"/>
      <c r="J41" s="1300"/>
      <c r="K41" s="1370"/>
      <c r="L41" s="1370"/>
      <c r="M41" s="1300"/>
    </row>
    <row r="42" spans="2:13" ht="3.95" customHeight="1" x14ac:dyDescent="0.2">
      <c r="B42" s="1371"/>
      <c r="C42" s="1368"/>
      <c r="D42" s="1369"/>
      <c r="E42" s="1300"/>
      <c r="F42" s="1300"/>
      <c r="G42" s="1300"/>
      <c r="H42" s="1300"/>
      <c r="I42" s="1300"/>
      <c r="J42" s="1300"/>
      <c r="K42" s="1370"/>
      <c r="L42" s="1370"/>
      <c r="M42" s="1300"/>
    </row>
    <row r="43" spans="2:13" ht="11.25" customHeight="1" x14ac:dyDescent="0.2">
      <c r="B43" s="1372" t="s">
        <v>1842</v>
      </c>
      <c r="C43" s="1368"/>
      <c r="D43" s="1369"/>
      <c r="E43" s="1300"/>
      <c r="F43" s="1300"/>
      <c r="G43" s="1300"/>
      <c r="H43" s="1300"/>
      <c r="I43" s="1300"/>
      <c r="J43" s="1300"/>
      <c r="K43" s="1370"/>
      <c r="L43" s="1370"/>
      <c r="M43" s="1300"/>
    </row>
    <row r="44" spans="2:13" ht="11.25" customHeight="1" x14ac:dyDescent="0.2">
      <c r="B44" s="1300" t="s">
        <v>1668</v>
      </c>
      <c r="G44" s="317"/>
      <c r="H44" s="317"/>
      <c r="I44" s="317"/>
      <c r="J44" s="317"/>
    </row>
    <row r="45" spans="2:13" ht="11.1" customHeight="1" x14ac:dyDescent="0.2">
      <c r="B45" s="1300"/>
      <c r="G45" s="317"/>
      <c r="H45" s="317"/>
      <c r="I45" s="317"/>
      <c r="J45" s="317"/>
    </row>
    <row r="46" spans="2:13" ht="11.1" customHeight="1" x14ac:dyDescent="0.2">
      <c r="B46" s="1300"/>
      <c r="G46" s="317"/>
      <c r="H46" s="317"/>
      <c r="I46" s="317"/>
      <c r="J46" s="317"/>
    </row>
    <row r="47" spans="2:13" ht="13.5" customHeight="1" x14ac:dyDescent="0.2">
      <c r="M47" s="1373"/>
    </row>
    <row r="48" spans="2:13" ht="13.5" customHeight="1" x14ac:dyDescent="0.2">
      <c r="M48" s="1373"/>
    </row>
    <row r="49" spans="7:13" ht="13.5" customHeight="1" x14ac:dyDescent="0.2">
      <c r="M49" s="1373"/>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sheetProtection sheet="1" objects="1" scenarios="1"/>
  <mergeCells count="4">
    <mergeCell ref="B1:M1"/>
    <mergeCell ref="B2:M2"/>
    <mergeCell ref="B3:M3"/>
    <mergeCell ref="B4:M4"/>
  </mergeCells>
  <pageMargins left="0.09" right="0" top="0.5" bottom="0.45" header="0.25" footer="0.25"/>
  <pageSetup scale="83" firstPageNumber="38" orientation="landscape" useFirstPageNumber="1" r:id="rId1"/>
  <headerFooter alignWithMargins="0">
    <oddHeader>&amp;L&amp;8Page 40-1&amp;R&amp;8Page 40-1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B1" sqref="B1:I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 xml:space="preserve">Capital Area Career Center                  </v>
      </c>
      <c r="C1" s="2474"/>
      <c r="D1" s="2474"/>
      <c r="E1" s="2474"/>
      <c r="F1" s="2474"/>
      <c r="G1" s="2474"/>
      <c r="H1" s="2474"/>
      <c r="I1" s="2474"/>
      <c r="J1" s="1422"/>
    </row>
    <row r="2" spans="2:10" s="317" customFormat="1" ht="12.75" customHeight="1" x14ac:dyDescent="0.2">
      <c r="B2" s="2475">
        <f>'Single Audit Cover'!E7</f>
        <v>51084790040</v>
      </c>
      <c r="C2" s="2476"/>
      <c r="D2" s="2476"/>
      <c r="E2" s="2476"/>
      <c r="F2" s="2476"/>
      <c r="G2" s="2476"/>
      <c r="H2" s="2476"/>
      <c r="I2" s="2476"/>
      <c r="J2" s="1422"/>
    </row>
    <row r="3" spans="2:10" s="317" customFormat="1" ht="12.75" customHeight="1" x14ac:dyDescent="0.2">
      <c r="B3" s="2477" t="s">
        <v>1347</v>
      </c>
      <c r="C3" s="2478"/>
      <c r="D3" s="2478"/>
      <c r="E3" s="2478"/>
      <c r="F3" s="2478"/>
      <c r="G3" s="2478"/>
      <c r="H3" s="2478"/>
      <c r="I3" s="2478"/>
      <c r="J3" s="1423"/>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7" t="s">
        <v>1346</v>
      </c>
      <c r="C7" s="2478"/>
      <c r="D7" s="2478"/>
      <c r="E7" s="2478"/>
      <c r="F7" s="2478"/>
      <c r="G7" s="2478"/>
      <c r="H7" s="2478"/>
      <c r="I7" s="247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9" t="s">
        <v>2126</v>
      </c>
      <c r="D11" s="247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2082</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2082</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2082</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2082</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2082</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0" t="s">
        <v>2126</v>
      </c>
      <c r="E29" s="2480"/>
      <c r="F29" s="2480"/>
      <c r="G29" s="2480"/>
      <c r="H29" s="2480"/>
      <c r="I29" s="2480"/>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2082</v>
      </c>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1" t="s">
        <v>1852</v>
      </c>
      <c r="D37" s="2482"/>
      <c r="E37" s="2482"/>
      <c r="F37" s="2483"/>
      <c r="G37" s="2481" t="s">
        <v>1674</v>
      </c>
      <c r="H37" s="2482"/>
      <c r="I37" s="2483"/>
    </row>
    <row r="38" spans="2:9" ht="16.5" customHeight="1" x14ac:dyDescent="0.2">
      <c r="B38" s="1444"/>
      <c r="C38" s="2469" t="s">
        <v>2127</v>
      </c>
      <c r="D38" s="2470"/>
      <c r="E38" s="2470"/>
      <c r="F38" s="2471"/>
      <c r="G38" s="2484"/>
      <c r="H38" s="2485"/>
      <c r="I38" s="2486"/>
    </row>
    <row r="39" spans="2:9" ht="16.5" customHeight="1" x14ac:dyDescent="0.2">
      <c r="B39" s="1444">
        <v>84.268000000000001</v>
      </c>
      <c r="C39" s="2469" t="s">
        <v>2128</v>
      </c>
      <c r="D39" s="2470"/>
      <c r="E39" s="2470"/>
      <c r="F39" s="2471"/>
      <c r="G39" s="2472">
        <v>924079</v>
      </c>
      <c r="H39" s="2472"/>
      <c r="I39" s="2472"/>
    </row>
    <row r="40" spans="2:9" ht="16.5" customHeight="1" x14ac:dyDescent="0.2">
      <c r="B40" s="1444">
        <v>84.063000000000002</v>
      </c>
      <c r="C40" s="2469" t="s">
        <v>2129</v>
      </c>
      <c r="D40" s="2470"/>
      <c r="E40" s="2470"/>
      <c r="F40" s="2471"/>
      <c r="G40" s="2472">
        <v>524570</v>
      </c>
      <c r="H40" s="2472"/>
      <c r="I40" s="2472"/>
    </row>
    <row r="41" spans="2:9" ht="16.5" customHeight="1" x14ac:dyDescent="0.2">
      <c r="B41" s="1444"/>
      <c r="C41" s="2469"/>
      <c r="D41" s="2470"/>
      <c r="E41" s="2470"/>
      <c r="F41" s="2471"/>
      <c r="G41" s="2472"/>
      <c r="H41" s="2472"/>
      <c r="I41" s="2472"/>
    </row>
    <row r="42" spans="2:9" ht="16.5" customHeight="1" x14ac:dyDescent="0.2">
      <c r="B42" s="1444">
        <v>17.257999999999999</v>
      </c>
      <c r="C42" s="2469" t="s">
        <v>2130</v>
      </c>
      <c r="D42" s="2470"/>
      <c r="E42" s="2470"/>
      <c r="F42" s="2471"/>
      <c r="G42" s="2472">
        <v>842718</v>
      </c>
      <c r="H42" s="2472"/>
      <c r="I42" s="2472"/>
    </row>
    <row r="43" spans="2:9" ht="16.5" customHeight="1" x14ac:dyDescent="0.2">
      <c r="B43" s="1444"/>
      <c r="C43" s="2487" t="s">
        <v>1675</v>
      </c>
      <c r="D43" s="2488"/>
      <c r="E43" s="2488"/>
      <c r="F43" s="2489"/>
      <c r="G43" s="2490">
        <f>SUM(G38:I42)</f>
        <v>2291367</v>
      </c>
      <c r="H43" s="2490"/>
      <c r="I43" s="2490"/>
    </row>
    <row r="44" spans="2:9" ht="12.75" customHeight="1" x14ac:dyDescent="0.2"/>
    <row r="45" spans="2:9" ht="12.75" customHeight="1" x14ac:dyDescent="0.2">
      <c r="B45" s="1435" t="s">
        <v>1950</v>
      </c>
      <c r="D45" s="2491">
        <v>2465482</v>
      </c>
      <c r="E45" s="2492"/>
    </row>
    <row r="46" spans="2:9" ht="5.25" customHeight="1" x14ac:dyDescent="0.2">
      <c r="B46" s="1445"/>
      <c r="D46" s="1446"/>
      <c r="E46" s="1447"/>
    </row>
    <row r="47" spans="2:9" ht="12.75" customHeight="1" x14ac:dyDescent="0.2">
      <c r="B47" s="1300" t="s">
        <v>1676</v>
      </c>
      <c r="C47" s="1300"/>
      <c r="D47" s="1448">
        <f>+G43/D45</f>
        <v>0.92937892063296346</v>
      </c>
      <c r="E47" s="1449"/>
      <c r="F47" s="1450"/>
      <c r="I47" s="1451"/>
    </row>
    <row r="48" spans="2:9" ht="9.9499999999999993" customHeight="1" x14ac:dyDescent="0.2"/>
    <row r="49" spans="1:9" x14ac:dyDescent="0.2">
      <c r="B49" s="1368" t="s">
        <v>1335</v>
      </c>
      <c r="C49" s="1282"/>
      <c r="D49" s="1282"/>
      <c r="E49" s="2493">
        <v>750000</v>
      </c>
      <c r="F49" s="2493"/>
      <c r="G49" s="2493"/>
      <c r="H49" s="322"/>
    </row>
    <row r="51" spans="1:9" ht="13.5" customHeight="1" x14ac:dyDescent="0.2">
      <c r="B51" s="1368" t="s">
        <v>1334</v>
      </c>
      <c r="C51" s="1282"/>
      <c r="E51" s="1438"/>
      <c r="F51" s="1300" t="s">
        <v>940</v>
      </c>
      <c r="G51" s="1438" t="s">
        <v>2082</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 xml:space="preserve">Capital Area Career Center                  </v>
      </c>
      <c r="C1" s="2473"/>
      <c r="D1" s="2473"/>
      <c r="E1" s="2473"/>
      <c r="F1" s="2473"/>
      <c r="G1" s="2473"/>
      <c r="H1" s="2473"/>
      <c r="I1" s="2473"/>
      <c r="J1" s="2473"/>
      <c r="K1" s="2473"/>
      <c r="L1" s="1374"/>
      <c r="M1" s="1374"/>
    </row>
    <row r="2" spans="1:13" ht="12" customHeight="1" x14ac:dyDescent="0.2">
      <c r="B2" s="2475">
        <f>'Single Audit Cover'!E7</f>
        <v>51084790040</v>
      </c>
      <c r="C2" s="2475"/>
      <c r="D2" s="2475"/>
      <c r="E2" s="2475"/>
      <c r="F2" s="2475"/>
      <c r="G2" s="2475"/>
      <c r="H2" s="2475"/>
      <c r="I2" s="2475"/>
      <c r="J2" s="2475"/>
      <c r="K2" s="2475"/>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1951</v>
      </c>
      <c r="D10" s="1386" t="s">
        <v>2131</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1847</v>
      </c>
      <c r="C38" s="1420"/>
    </row>
    <row r="39" spans="1:13" ht="9.6" customHeight="1" x14ac:dyDescent="0.2">
      <c r="B39" s="1300" t="s">
        <v>1348</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 xml:space="preserve">Capital Area Career Center                  </v>
      </c>
      <c r="C1" s="2500"/>
      <c r="D1" s="2500"/>
      <c r="E1" s="2500"/>
      <c r="F1" s="2500"/>
      <c r="G1" s="2500"/>
      <c r="H1" s="2500"/>
      <c r="I1" s="2500"/>
      <c r="J1" s="2500"/>
      <c r="K1" s="2500"/>
      <c r="L1" s="1465"/>
    </row>
    <row r="2" spans="1:12" ht="12.75" customHeight="1" x14ac:dyDescent="0.2">
      <c r="B2" s="2501">
        <f>'Single Audit Cover'!E7</f>
        <v>51084790040</v>
      </c>
      <c r="C2" s="2501"/>
      <c r="D2" s="2501"/>
      <c r="E2" s="2501"/>
      <c r="F2" s="2501"/>
      <c r="G2" s="2501"/>
      <c r="H2" s="2501"/>
      <c r="I2" s="2501"/>
      <c r="J2" s="2501"/>
      <c r="K2" s="2501"/>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1951</v>
      </c>
      <c r="D8" s="1468" t="s">
        <v>2131</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0"/>
      <c r="G12" s="2480"/>
      <c r="H12" s="2480"/>
      <c r="I12" s="2480"/>
      <c r="J12" s="2480"/>
      <c r="K12" s="248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3"/>
      <c r="E14" s="2503"/>
      <c r="F14" s="2503"/>
      <c r="H14" s="1475" t="s">
        <v>1370</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4"/>
      <c r="E16" s="2504"/>
      <c r="F16" s="2504"/>
      <c r="G16" s="2504"/>
      <c r="H16" s="2504"/>
      <c r="I16" s="2504"/>
      <c r="J16" s="2504"/>
      <c r="K16" s="2504"/>
      <c r="L16" s="322"/>
    </row>
    <row r="17" spans="2:12" ht="13.5" customHeight="1" x14ac:dyDescent="0.2">
      <c r="B17" s="1387" t="s">
        <v>1368</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1" sqref="B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 xml:space="preserve">Capital Area Career Center                  </v>
      </c>
      <c r="C1" s="2473"/>
      <c r="D1" s="2473"/>
      <c r="E1" s="1491"/>
    </row>
    <row r="2" spans="2:5" s="1282" customFormat="1" ht="12.75" customHeight="1" x14ac:dyDescent="0.2">
      <c r="B2" s="2475">
        <f>'Single Audit Cover'!E7</f>
        <v>51084790040</v>
      </c>
      <c r="C2" s="2475"/>
      <c r="D2" s="2475"/>
      <c r="E2" s="1492"/>
    </row>
    <row r="3" spans="2:5" ht="12.75" customHeight="1" x14ac:dyDescent="0.2">
      <c r="B3" s="2496" t="s">
        <v>1867</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1868</v>
      </c>
      <c r="C5" s="328"/>
      <c r="D5" s="328"/>
      <c r="E5" s="328"/>
    </row>
    <row r="6" spans="2:5" s="1282" customFormat="1" ht="13.5" customHeight="1" x14ac:dyDescent="0.2">
      <c r="B6" s="1495" t="s">
        <v>1382</v>
      </c>
      <c r="C6" s="1495" t="s">
        <v>1381</v>
      </c>
      <c r="D6" s="1495" t="s">
        <v>1869</v>
      </c>
    </row>
    <row r="7" spans="2:5" ht="13.5" customHeight="1" x14ac:dyDescent="0.2">
      <c r="B7" s="1496"/>
      <c r="C7" s="324"/>
      <c r="D7" s="324"/>
      <c r="E7" s="324"/>
    </row>
    <row r="8" spans="2:5" ht="13.5" customHeight="1" x14ac:dyDescent="0.2">
      <c r="B8" s="1496"/>
      <c r="C8" s="324"/>
      <c r="D8" s="324"/>
      <c r="E8" s="324"/>
    </row>
    <row r="9" spans="2:5" ht="13.5" customHeight="1" x14ac:dyDescent="0.2">
      <c r="B9" s="1497" t="s">
        <v>2132</v>
      </c>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1870</v>
      </c>
    </row>
    <row r="46" spans="2:5" ht="12.2" customHeight="1" x14ac:dyDescent="0.2">
      <c r="B46" s="1505" t="s">
        <v>1871</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www.w3.org/XML/1998/namespace"/>
    <ds:schemaRef ds:uri="4d435f69-8686-490b-bd6d-b153bf22ab50"/>
    <ds:schemaRef ds:uri="d21dc803-237d-4c68-8692-8d731fd29118"/>
    <ds:schemaRef ds:uri="http://schemas.microsoft.com/office/2006/documentManagement/types"/>
    <ds:schemaRef ds:uri="6ce3111e-7420-4802-b50a-75d4e9a0b980"/>
    <ds:schemaRef ds:uri="http://schemas.microsoft.com/sharepoint/v3"/>
    <ds:schemaRef ds:uri="http://purl.org/dc/elements/1.1/"/>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2018-11-14T22:34:22Z</cp:lastPrinted>
  <dcterms:created xsi:type="dcterms:W3CDTF">2003-10-29T19:06:34Z</dcterms:created>
  <dcterms:modified xsi:type="dcterms:W3CDTF">2018-12-26T21:47:22Z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