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74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2)" sheetId="183" r:id="rId28"/>
    <sheet name=" SEFA" sheetId="179" r:id="rId29"/>
    <sheet name="SEFA NOTES (3)" sheetId="185" r:id="rId30"/>
    <sheet name="SEFA NOTES (2)" sheetId="184" r:id="rId31"/>
    <sheet name="SEFA NOTES (4)" sheetId="186" r:id="rId32"/>
    <sheet name="SEFA NOTES" sheetId="173" r:id="rId33"/>
    <sheet name="SF&amp;QC Sec-1" sheetId="174" r:id="rId34"/>
    <sheet name="SF&amp;QC Sec-2 (2)" sheetId="187" r:id="rId35"/>
    <sheet name="SF&amp;QC Sec-2" sheetId="175" r:id="rId36"/>
    <sheet name="SF&amp;QC Sec-3 (2)" sheetId="188" r:id="rId37"/>
    <sheet name="SF&amp;QC Sec-3" sheetId="176" r:id="rId38"/>
    <sheet name="SSPAF" sheetId="177" r:id="rId39"/>
  </sheets>
  <definedNames>
    <definedName name="_xlnm.Print_Area" localSheetId="28">' SEFA'!$B$1:$M$46</definedName>
    <definedName name="_xlnm.Print_Area" localSheetId="27">' SEFA (2)'!$B$1:$M$46</definedName>
    <definedName name="_xlnm.Print_Area" localSheetId="32">'SEFA NOTES'!$A$1:$F$52</definedName>
    <definedName name="_xlnm.Print_Area" localSheetId="30">'SEFA NOTES (2)'!$A$1:$F$52</definedName>
    <definedName name="_xlnm.Print_Area" localSheetId="29">'SEFA NOTES (3)'!$A$1:$F$52</definedName>
    <definedName name="_xlnm.Print_Area" localSheetId="31">'SEFA NOTES (4)'!$A$1:$F$52</definedName>
    <definedName name="_xlnm.Print_Area" localSheetId="26">'SEFA Reconcile'!$A$1:$E$49</definedName>
    <definedName name="_xlnm.Print_Area" localSheetId="33">'SF&amp;QC Sec-1'!$A$1:$J$63</definedName>
    <definedName name="_xlnm.Print_Area" localSheetId="37">'SF&amp;QC Sec-3'!$A$1:$K$52</definedName>
    <definedName name="_xlnm.Print_Area" localSheetId="36">'SF&amp;QC Sec-3 (2)'!$A$1:$K$52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7">#REF!</definedName>
    <definedName name="SCHADDRS" localSheetId="21">#REF!</definedName>
    <definedName name="SCHADDRS" localSheetId="4">#REF!</definedName>
    <definedName name="SCHADDRS" localSheetId="32">#REF!</definedName>
    <definedName name="SCHADDRS" localSheetId="30">#REF!</definedName>
    <definedName name="SCHADDRS" localSheetId="29">#REF!</definedName>
    <definedName name="SCHADDRS" localSheetId="31">#REF!</definedName>
    <definedName name="SCHADDRS" localSheetId="26">#REF!</definedName>
    <definedName name="SCHADDRS" localSheetId="33">#REF!</definedName>
    <definedName name="SCHADDRS" localSheetId="35">#REF!</definedName>
    <definedName name="SCHADDRS" localSheetId="34">#REF!</definedName>
    <definedName name="SCHADDRS" localSheetId="37">#REF!</definedName>
    <definedName name="SCHADDRS" localSheetId="36">#REF!</definedName>
    <definedName name="SCHADDRS" localSheetId="25">#REF!</definedName>
    <definedName name="SCHADDRS" localSheetId="24">#REF!</definedName>
    <definedName name="SCHADDRS" localSheetId="38">#REF!</definedName>
    <definedName name="SCHADDRS">#REF!</definedName>
    <definedName name="SCHCTY" localSheetId="28">#REF!</definedName>
    <definedName name="SCHCTY" localSheetId="27">#REF!</definedName>
    <definedName name="SCHCTY" localSheetId="17">#REF!</definedName>
    <definedName name="SCHCTY" localSheetId="21">#REF!</definedName>
    <definedName name="SCHCTY" localSheetId="4">#REF!</definedName>
    <definedName name="SCHCTY" localSheetId="32">#REF!</definedName>
    <definedName name="SCHCTY" localSheetId="30">#REF!</definedName>
    <definedName name="SCHCTY" localSheetId="29">#REF!</definedName>
    <definedName name="SCHCTY" localSheetId="31">#REF!</definedName>
    <definedName name="SCHCTY" localSheetId="26">#REF!</definedName>
    <definedName name="SCHCTY" localSheetId="33">#REF!</definedName>
    <definedName name="SCHCTY" localSheetId="35">#REF!</definedName>
    <definedName name="SCHCTY" localSheetId="34">#REF!</definedName>
    <definedName name="SCHCTY" localSheetId="37">#REF!</definedName>
    <definedName name="SCHCTY" localSheetId="36">#REF!</definedName>
    <definedName name="SCHCTY" localSheetId="25">#REF!</definedName>
    <definedName name="SCHCTY" localSheetId="24">#REF!</definedName>
    <definedName name="SCHCTY" localSheetId="38">#REF!</definedName>
    <definedName name="SCHCTY">#REF!</definedName>
    <definedName name="SCHNMBR" localSheetId="28">#REF!</definedName>
    <definedName name="SCHNMBR" localSheetId="27">#REF!</definedName>
    <definedName name="SCHNMBR" localSheetId="17">#REF!</definedName>
    <definedName name="SCHNMBR" localSheetId="21">#REF!</definedName>
    <definedName name="SCHNMBR" localSheetId="4">#REF!</definedName>
    <definedName name="SCHNMBR" localSheetId="32">#REF!</definedName>
    <definedName name="SCHNMBR" localSheetId="30">#REF!</definedName>
    <definedName name="SCHNMBR" localSheetId="29">#REF!</definedName>
    <definedName name="SCHNMBR" localSheetId="31">#REF!</definedName>
    <definedName name="SCHNMBR" localSheetId="26">#REF!</definedName>
    <definedName name="SCHNMBR" localSheetId="33">#REF!</definedName>
    <definedName name="SCHNMBR" localSheetId="35">#REF!</definedName>
    <definedName name="SCHNMBR" localSheetId="34">#REF!</definedName>
    <definedName name="SCHNMBR" localSheetId="37">#REF!</definedName>
    <definedName name="SCHNMBR" localSheetId="36">#REF!</definedName>
    <definedName name="SCHNMBR" localSheetId="25">#REF!</definedName>
    <definedName name="SCHNMBR" localSheetId="24">#REF!</definedName>
    <definedName name="SCHNMBR" localSheetId="38">#REF!</definedName>
    <definedName name="SCHNMBR">#REF!</definedName>
    <definedName name="SCHNME" localSheetId="28">#REF!</definedName>
    <definedName name="SCHNME" localSheetId="27">#REF!</definedName>
    <definedName name="SCHNME" localSheetId="17">#REF!</definedName>
    <definedName name="SCHNME" localSheetId="21">#REF!</definedName>
    <definedName name="SCHNME" localSheetId="4">#REF!</definedName>
    <definedName name="SCHNME" localSheetId="32">#REF!</definedName>
    <definedName name="SCHNME" localSheetId="30">#REF!</definedName>
    <definedName name="SCHNME" localSheetId="29">#REF!</definedName>
    <definedName name="SCHNME" localSheetId="31">#REF!</definedName>
    <definedName name="SCHNME" localSheetId="26">#REF!</definedName>
    <definedName name="SCHNME" localSheetId="33">#REF!</definedName>
    <definedName name="SCHNME" localSheetId="35">#REF!</definedName>
    <definedName name="SCHNME" localSheetId="34">#REF!</definedName>
    <definedName name="SCHNME" localSheetId="37">#REF!</definedName>
    <definedName name="SCHNME" localSheetId="36">#REF!</definedName>
    <definedName name="SCHNME" localSheetId="25">#REF!</definedName>
    <definedName name="SCHNME" localSheetId="24">#REF!</definedName>
    <definedName name="SCHNME" localSheetId="38">#REF!</definedName>
    <definedName name="SCHNME">#REF!</definedName>
    <definedName name="SUPT" localSheetId="28">#REF!</definedName>
    <definedName name="SUPT" localSheetId="27">#REF!</definedName>
    <definedName name="SUPT" localSheetId="17">#REF!</definedName>
    <definedName name="SUPT" localSheetId="21">#REF!</definedName>
    <definedName name="SUPT" localSheetId="4">#REF!</definedName>
    <definedName name="SUPT" localSheetId="32">#REF!</definedName>
    <definedName name="SUPT" localSheetId="30">#REF!</definedName>
    <definedName name="SUPT" localSheetId="29">#REF!</definedName>
    <definedName name="SUPT" localSheetId="31">#REF!</definedName>
    <definedName name="SUPT" localSheetId="26">#REF!</definedName>
    <definedName name="SUPT" localSheetId="33">#REF!</definedName>
    <definedName name="SUPT" localSheetId="35">#REF!</definedName>
    <definedName name="SUPT" localSheetId="34">#REF!</definedName>
    <definedName name="SUPT" localSheetId="37">#REF!</definedName>
    <definedName name="SUPT" localSheetId="36">#REF!</definedName>
    <definedName name="SUPT" localSheetId="25">#REF!</definedName>
    <definedName name="SUPT" localSheetId="24">#REF!</definedName>
    <definedName name="SUPT" localSheetId="38">#REF!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6" i="181" l="1"/>
  <c r="D22" i="173" l="1"/>
  <c r="D22" i="186" l="1"/>
  <c r="D26" i="186" s="1"/>
  <c r="D21" i="186"/>
  <c r="D19" i="186"/>
  <c r="D18" i="186"/>
  <c r="D29" i="184"/>
  <c r="I23" i="183"/>
  <c r="G23" i="183"/>
  <c r="E23" i="183"/>
  <c r="I14" i="183"/>
  <c r="I16" i="183"/>
  <c r="I14" i="179" s="1"/>
  <c r="I19" i="179" s="1"/>
  <c r="F21" i="183"/>
  <c r="F23" i="183" s="1"/>
  <c r="F22" i="183"/>
  <c r="J16" i="183"/>
  <c r="H16" i="183"/>
  <c r="G16" i="183"/>
  <c r="F16" i="183"/>
  <c r="E16" i="183"/>
  <c r="F14" i="179" l="1"/>
  <c r="F19" i="179" s="1"/>
  <c r="M19" i="3"/>
  <c r="M17" i="3"/>
  <c r="J31" i="8" l="1"/>
  <c r="B4" i="188"/>
  <c r="B4" i="187"/>
  <c r="E34" i="186"/>
  <c r="A4" i="186"/>
  <c r="E34" i="185"/>
  <c r="A4" i="185"/>
  <c r="E34" i="184"/>
  <c r="A4" i="184"/>
  <c r="L22" i="183"/>
  <c r="L21" i="183"/>
  <c r="L20" i="183"/>
  <c r="L19" i="183"/>
  <c r="L16" i="183"/>
  <c r="L15" i="183"/>
  <c r="L14" i="183"/>
  <c r="L13" i="183"/>
  <c r="L12" i="183"/>
  <c r="B4" i="183"/>
  <c r="H98" i="29" l="1"/>
  <c r="D8" i="29" l="1"/>
  <c r="C31" i="3"/>
  <c r="C27" i="3"/>
  <c r="C8" i="3"/>
  <c r="C4" i="3"/>
  <c r="C39" i="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19" i="179" l="1"/>
  <c r="L17"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3"/>
  <c r="A1" i="186"/>
  <c r="A1" i="184"/>
  <c r="B1" i="188"/>
  <c r="A1" i="185"/>
  <c r="B2" i="179"/>
  <c r="A2" i="185"/>
  <c r="A2" i="186"/>
  <c r="A2" i="184"/>
  <c r="B2" i="188"/>
  <c r="B2" i="187"/>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J85" i="28"/>
  <c r="B7758" i="106" s="1"/>
  <c r="D7758" i="106" s="1"/>
  <c r="J88" i="28"/>
  <c r="K6" i="29"/>
  <c r="B7763" i="106" s="1"/>
  <c r="B7762" i="106"/>
  <c r="K12" i="12"/>
  <c r="B7719" i="106" s="1"/>
  <c r="D7719" i="106" s="1"/>
  <c r="K23" i="12"/>
  <c r="J12" i="12"/>
  <c r="B7718" i="106" s="1"/>
  <c r="D7718" i="106" s="1"/>
  <c r="J21" i="12"/>
  <c r="B7727" i="106" s="1"/>
  <c r="D7727" i="106" s="1"/>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D7761" i="106" s="1"/>
  <c r="L127" i="29"/>
  <c r="L129" i="29" s="1"/>
  <c r="L139" i="29"/>
  <c r="L149" i="29"/>
  <c r="I7" i="145"/>
  <c r="I6" i="145"/>
  <c r="D82" i="36"/>
  <c r="D78" i="36"/>
  <c r="K75" i="29"/>
  <c r="F52" i="34" s="1"/>
  <c r="K130" i="29"/>
  <c r="K185" i="29"/>
  <c r="K122" i="29"/>
  <c r="F15" i="145" s="1"/>
  <c r="F19" i="145" s="1"/>
  <c r="K67" i="29"/>
  <c r="K64" i="29"/>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E29" i="108" s="1"/>
  <c r="K63" i="29"/>
  <c r="D1132" i="106"/>
  <c r="K68" i="29"/>
  <c r="K69" i="29"/>
  <c r="B1136" i="106" s="1"/>
  <c r="D1136" i="106" s="1"/>
  <c r="K70" i="29"/>
  <c r="B1137" i="106" s="1"/>
  <c r="D1137" i="106" s="1"/>
  <c r="D1138" i="106"/>
  <c r="K71" i="29"/>
  <c r="B1139" i="106" s="1"/>
  <c r="D1139" i="106" s="1"/>
  <c r="D1140" i="106"/>
  <c r="K73" i="29"/>
  <c r="G38" i="108"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B7090" i="106" s="1"/>
  <c r="D7090" i="106" s="1"/>
  <c r="K253" i="29"/>
  <c r="B7092" i="106" s="1"/>
  <c r="D7092" i="106" s="1"/>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s="1"/>
  <c r="B5101" i="106"/>
  <c r="D5101" i="106"/>
  <c r="B5103" i="106"/>
  <c r="D5103" i="106"/>
  <c r="B5104" i="106"/>
  <c r="D5104" i="106"/>
  <c r="B5105" i="106"/>
  <c r="D5105" i="106" s="1"/>
  <c r="B5106" i="106"/>
  <c r="D5106" i="106"/>
  <c r="B5107" i="106"/>
  <c r="D5107" i="106"/>
  <c r="B5108" i="106"/>
  <c r="D5108" i="106"/>
  <c r="B5109" i="106"/>
  <c r="D5109" i="106" s="1"/>
  <c r="B5110" i="106"/>
  <c r="D5110" i="106"/>
  <c r="B5111" i="106"/>
  <c r="D5111" i="106"/>
  <c r="B5113" i="106"/>
  <c r="D5113" i="106"/>
  <c r="B5114" i="106"/>
  <c r="D5114" i="106" s="1"/>
  <c r="B5115" i="106"/>
  <c r="D5115" i="106"/>
  <c r="B5116" i="106"/>
  <c r="D5116" i="106" s="1"/>
  <c r="B5117" i="106"/>
  <c r="D5117" i="106"/>
  <c r="B5118" i="106"/>
  <c r="D5118" i="106"/>
  <c r="B5119" i="106"/>
  <c r="D5119" i="106"/>
  <c r="B5122" i="106"/>
  <c r="D5122" i="106" s="1"/>
  <c r="B5123" i="106"/>
  <c r="D5123" i="106"/>
  <c r="B5124" i="106"/>
  <c r="D5124" i="106"/>
  <c r="B5126" i="106"/>
  <c r="D5126" i="106" s="1"/>
  <c r="B5127" i="106"/>
  <c r="D5127" i="106"/>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s="1"/>
  <c r="B6304" i="106"/>
  <c r="D6304" i="106"/>
  <c r="B6305" i="106"/>
  <c r="D6305" i="106"/>
  <c r="B6307" i="106"/>
  <c r="D6307" i="106"/>
  <c r="B6308" i="106"/>
  <c r="D6308" i="106" s="1"/>
  <c r="B6309" i="106"/>
  <c r="D6309" i="106"/>
  <c r="B6310" i="106"/>
  <c r="D6310" i="106"/>
  <c r="B6311" i="106"/>
  <c r="D6311" i="106"/>
  <c r="B6312" i="106"/>
  <c r="D6312" i="106" s="1"/>
  <c r="B6313" i="106"/>
  <c r="D6313" i="106"/>
  <c r="B6314" i="106"/>
  <c r="D6314" i="106"/>
  <c r="B6315" i="106"/>
  <c r="D6315" i="106"/>
  <c r="B6316" i="106"/>
  <c r="D6316" i="106" s="1"/>
  <c r="B6317" i="106"/>
  <c r="D6317" i="106"/>
  <c r="B6319" i="106"/>
  <c r="D6319" i="106"/>
  <c r="B6320" i="106"/>
  <c r="D6320" i="106"/>
  <c r="B6321" i="106"/>
  <c r="D6321" i="106" s="1"/>
  <c r="B6322" i="106"/>
  <c r="D6322" i="106"/>
  <c r="B6323" i="106"/>
  <c r="D6323" i="106"/>
  <c r="B6324" i="106"/>
  <c r="D6324" i="106"/>
  <c r="B6325" i="106"/>
  <c r="D6325" i="106" s="1"/>
  <c r="B6326" i="106"/>
  <c r="D6326" i="106"/>
  <c r="B6327" i="106"/>
  <c r="D6327" i="106"/>
  <c r="B6328" i="106"/>
  <c r="D6328" i="106"/>
  <c r="B6329" i="106"/>
  <c r="D6329" i="106" s="1"/>
  <c r="B6330" i="106"/>
  <c r="D6330" i="106" s="1"/>
  <c r="B6331" i="106"/>
  <c r="D6331" i="106" s="1"/>
  <c r="B6332" i="106"/>
  <c r="D6332" i="106"/>
  <c r="B6333" i="106"/>
  <c r="D6333" i="106"/>
  <c r="B6334" i="106"/>
  <c r="D6334" i="106"/>
  <c r="B6335" i="106"/>
  <c r="D6335" i="106" s="1"/>
  <c r="B6336" i="106"/>
  <c r="D6336" i="106"/>
  <c r="B6337" i="106"/>
  <c r="D6337" i="106"/>
  <c r="B6338" i="106"/>
  <c r="D6338" i="106"/>
  <c r="B6339" i="106"/>
  <c r="D6339" i="106" s="1"/>
  <c r="B6340" i="106"/>
  <c r="D6340" i="106"/>
  <c r="B6341" i="106"/>
  <c r="D6341" i="106"/>
  <c r="B6342" i="106"/>
  <c r="D6342" i="106"/>
  <c r="B6343" i="106"/>
  <c r="D6343" i="106" s="1"/>
  <c r="B6344" i="106"/>
  <c r="D6344" i="106"/>
  <c r="B6345" i="106"/>
  <c r="D6345" i="106"/>
  <c r="B6346" i="106"/>
  <c r="D6346" i="106"/>
  <c r="B6347" i="106"/>
  <c r="D6347" i="106" s="1"/>
  <c r="B6348" i="106"/>
  <c r="D6348" i="106"/>
  <c r="B6349" i="106"/>
  <c r="D6349" i="106"/>
  <c r="B6350" i="106"/>
  <c r="D6350" i="106"/>
  <c r="B6353" i="106"/>
  <c r="D6353" i="106" s="1"/>
  <c r="B6354" i="106"/>
  <c r="D6354" i="106"/>
  <c r="B6355" i="106"/>
  <c r="D6355" i="106"/>
  <c r="B6356" i="106"/>
  <c r="D6356" i="106"/>
  <c r="B6358" i="106"/>
  <c r="D6358" i="106" s="1"/>
  <c r="B6359" i="106"/>
  <c r="D6359" i="106"/>
  <c r="B6360" i="106"/>
  <c r="D6360" i="106"/>
  <c r="B6361" i="106"/>
  <c r="D6361" i="106"/>
  <c r="B6362" i="106"/>
  <c r="D6362" i="106" s="1"/>
  <c r="B6363" i="106"/>
  <c r="D6363" i="106"/>
  <c r="B6364" i="106"/>
  <c r="D6364" i="106"/>
  <c r="B6365" i="106"/>
  <c r="D6365" i="106"/>
  <c r="B6366" i="106"/>
  <c r="D6366" i="106" s="1"/>
  <c r="B6367" i="106"/>
  <c r="D6367" i="106"/>
  <c r="B6368" i="106"/>
  <c r="D6368" i="106"/>
  <c r="B6369" i="106"/>
  <c r="D6369" i="106"/>
  <c r="B6370" i="106"/>
  <c r="D6370" i="106" s="1"/>
  <c r="B6371" i="106"/>
  <c r="D6371" i="106"/>
  <c r="B6372" i="106"/>
  <c r="D6372" i="106"/>
  <c r="B6373" i="106"/>
  <c r="D6373" i="106"/>
  <c r="B6374" i="106"/>
  <c r="D6374" i="106" s="1"/>
  <c r="B6375" i="106"/>
  <c r="D6375" i="106"/>
  <c r="B6376" i="106"/>
  <c r="D6376" i="106"/>
  <c r="B6377" i="106"/>
  <c r="D6377" i="106"/>
  <c r="B6378" i="106"/>
  <c r="D6378" i="106" s="1"/>
  <c r="B6379" i="106"/>
  <c r="D6379" i="106"/>
  <c r="B6380" i="106"/>
  <c r="D6380" i="106"/>
  <c r="B6381" i="106"/>
  <c r="D6381" i="106"/>
  <c r="B6382" i="106"/>
  <c r="D6382" i="106" s="1"/>
  <c r="B6383" i="106"/>
  <c r="D6383" i="106"/>
  <c r="B6384" i="106"/>
  <c r="D6384" i="106"/>
  <c r="B6385" i="106"/>
  <c r="D6385" i="106"/>
  <c r="B6386" i="106"/>
  <c r="D6386" i="106" s="1"/>
  <c r="B6387" i="106"/>
  <c r="D6387" i="106"/>
  <c r="B6388" i="106"/>
  <c r="D6388" i="106"/>
  <c r="B6389" i="106"/>
  <c r="D6389" i="106"/>
  <c r="B6390" i="106"/>
  <c r="D6390" i="106" s="1"/>
  <c r="B6391" i="106"/>
  <c r="D6391" i="106"/>
  <c r="B6392" i="106"/>
  <c r="D6392" i="106"/>
  <c r="B6393" i="106"/>
  <c r="D6393" i="106"/>
  <c r="B6394" i="106"/>
  <c r="D6394" i="106" s="1"/>
  <c r="B6395" i="106"/>
  <c r="D6395" i="106"/>
  <c r="B6398" i="106"/>
  <c r="D6398" i="106"/>
  <c r="B6399" i="106"/>
  <c r="D6399" i="106"/>
  <c r="B6401" i="106"/>
  <c r="D6401" i="106" s="1"/>
  <c r="B6402" i="106"/>
  <c r="D6402" i="106"/>
  <c r="B6403" i="106"/>
  <c r="D6403" i="106"/>
  <c r="B6404" i="106"/>
  <c r="D6404" i="106"/>
  <c r="B6405" i="106"/>
  <c r="D6405" i="106" s="1"/>
  <c r="B6406" i="106"/>
  <c r="D6406" i="106"/>
  <c r="B6407" i="106"/>
  <c r="D6407" i="106"/>
  <c r="B6408" i="106"/>
  <c r="D6408" i="106"/>
  <c r="B6410" i="106"/>
  <c r="D6410" i="106" s="1"/>
  <c r="B6411" i="106"/>
  <c r="D6411" i="106"/>
  <c r="B6412" i="106"/>
  <c r="D6412" i="106"/>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s="1"/>
  <c r="B6618" i="106"/>
  <c r="D6618" i="106"/>
  <c r="B6619" i="106"/>
  <c r="D6619" i="106"/>
  <c r="B6620" i="106"/>
  <c r="D6620" i="106"/>
  <c r="B6621" i="106"/>
  <c r="D6621" i="106" s="1"/>
  <c r="B6622" i="106"/>
  <c r="D6622" i="106"/>
  <c r="B6623" i="106"/>
  <c r="D6623" i="106"/>
  <c r="B6624" i="106"/>
  <c r="D6624" i="106"/>
  <c r="B6625" i="106"/>
  <c r="D6625" i="106" s="1"/>
  <c r="B6626" i="106"/>
  <c r="D6626" i="106"/>
  <c r="B6627" i="106"/>
  <c r="D6627" i="106"/>
  <c r="B6628" i="106"/>
  <c r="D6628" i="106"/>
  <c r="B6629" i="106"/>
  <c r="D6629" i="106" s="1"/>
  <c r="B6630" i="106"/>
  <c r="D6630" i="106"/>
  <c r="B6631" i="106"/>
  <c r="D6631" i="106"/>
  <c r="B6632" i="106"/>
  <c r="D6632" i="106"/>
  <c r="B6633" i="106"/>
  <c r="D6633" i="106" s="1"/>
  <c r="B6634" i="106"/>
  <c r="D6634" i="106"/>
  <c r="B6635" i="106"/>
  <c r="D6635" i="106"/>
  <c r="B6636" i="106"/>
  <c r="D6636" i="106"/>
  <c r="B6637" i="106"/>
  <c r="D6637" i="106" s="1"/>
  <c r="B6638" i="106"/>
  <c r="D6638" i="106"/>
  <c r="B6639" i="106"/>
  <c r="D6639" i="106"/>
  <c r="B6640" i="106"/>
  <c r="D6640" i="106"/>
  <c r="B6641" i="106"/>
  <c r="D6641" i="106" s="1"/>
  <c r="B6642" i="106"/>
  <c r="D6642" i="106"/>
  <c r="B6643" i="106"/>
  <c r="D6643" i="106"/>
  <c r="B6644" i="106"/>
  <c r="D6644" i="106"/>
  <c r="B6645" i="106"/>
  <c r="D6645" i="106" s="1"/>
  <c r="B6646" i="106"/>
  <c r="D6646" i="106"/>
  <c r="B6647" i="106"/>
  <c r="D6647" i="106"/>
  <c r="B6648" i="106"/>
  <c r="D6648" i="106"/>
  <c r="B6649" i="106"/>
  <c r="D6649" i="106" s="1"/>
  <c r="B6650" i="106"/>
  <c r="D6650" i="106"/>
  <c r="B6651" i="106"/>
  <c r="D6651" i="106"/>
  <c r="B6652" i="106"/>
  <c r="D6652" i="106"/>
  <c r="B6653" i="106"/>
  <c r="D6653" i="106" s="1"/>
  <c r="B6654" i="106"/>
  <c r="D6654" i="106"/>
  <c r="B6655" i="106"/>
  <c r="D6655" i="106"/>
  <c r="B6656" i="106"/>
  <c r="D6656" i="106"/>
  <c r="B6657" i="106"/>
  <c r="D6657" i="106" s="1"/>
  <c r="B6658" i="106"/>
  <c r="D6658" i="106"/>
  <c r="B6659" i="106"/>
  <c r="D6659" i="106"/>
  <c r="B6660" i="106"/>
  <c r="D6660" i="106"/>
  <c r="B6661" i="106"/>
  <c r="D6661" i="106" s="1"/>
  <c r="B6662" i="106"/>
  <c r="D6662" i="106"/>
  <c r="B6663" i="106"/>
  <c r="D6663" i="106"/>
  <c r="B6664" i="106"/>
  <c r="D6664" i="106"/>
  <c r="B6665" i="106"/>
  <c r="D6665" i="106" s="1"/>
  <c r="B6666" i="106"/>
  <c r="D6666" i="106"/>
  <c r="B6667" i="106"/>
  <c r="D6667" i="106"/>
  <c r="B6668" i="106"/>
  <c r="D6668" i="106"/>
  <c r="B6669" i="106"/>
  <c r="D6669" i="106" s="1"/>
  <c r="B6670" i="106"/>
  <c r="D6670" i="106"/>
  <c r="B6671" i="106"/>
  <c r="D6671" i="106"/>
  <c r="B6672" i="106"/>
  <c r="D6672" i="106"/>
  <c r="B6673" i="106"/>
  <c r="D6673" i="106" s="1"/>
  <c r="B6674" i="106"/>
  <c r="D6674" i="106"/>
  <c r="B6675" i="106"/>
  <c r="D6675" i="106"/>
  <c r="B6676" i="106"/>
  <c r="D6676" i="106"/>
  <c r="B6677" i="106"/>
  <c r="D6677" i="106" s="1"/>
  <c r="B6678" i="106"/>
  <c r="D6678" i="106"/>
  <c r="B6679" i="106"/>
  <c r="D6679" i="106"/>
  <c r="B6680" i="106"/>
  <c r="D6680" i="106"/>
  <c r="B6681" i="106"/>
  <c r="D6681" i="106" s="1"/>
  <c r="B6682" i="106"/>
  <c r="D6682" i="106"/>
  <c r="B6683" i="106"/>
  <c r="D6683" i="106"/>
  <c r="B6684" i="106"/>
  <c r="D6684" i="106"/>
  <c r="B6685" i="106"/>
  <c r="D6685" i="106" s="1"/>
  <c r="B6686" i="106"/>
  <c r="D6686" i="106"/>
  <c r="B6687" i="106"/>
  <c r="D6687" i="106"/>
  <c r="B6688" i="106"/>
  <c r="D6688" i="106"/>
  <c r="B6689" i="106"/>
  <c r="D6689" i="106" s="1"/>
  <c r="B6690" i="106"/>
  <c r="D6690" i="106"/>
  <c r="B6691" i="106"/>
  <c r="D6691" i="106"/>
  <c r="B6692" i="106"/>
  <c r="D6692" i="106"/>
  <c r="B6693" i="106"/>
  <c r="D6693" i="106" s="1"/>
  <c r="B6694" i="106"/>
  <c r="D6694" i="106"/>
  <c r="B6695" i="106"/>
  <c r="D6695" i="106"/>
  <c r="B6696" i="106"/>
  <c r="D6696" i="106"/>
  <c r="B6697" i="106"/>
  <c r="D6697" i="106" s="1"/>
  <c r="B6698" i="106"/>
  <c r="D6698" i="106"/>
  <c r="B6699" i="106"/>
  <c r="D6699" i="106"/>
  <c r="B6700" i="106"/>
  <c r="D6700" i="106"/>
  <c r="B6701" i="106"/>
  <c r="D6701" i="106" s="1"/>
  <c r="B6702" i="106"/>
  <c r="D6702" i="106"/>
  <c r="B6703" i="106"/>
  <c r="D6703" i="106"/>
  <c r="B6704" i="106"/>
  <c r="D6704" i="106"/>
  <c r="B6705" i="106"/>
  <c r="D6705" i="106" s="1"/>
  <c r="B6706" i="106"/>
  <c r="D6706" i="106"/>
  <c r="B6707" i="106"/>
  <c r="D6707" i="106"/>
  <c r="B6708" i="106"/>
  <c r="D6708" i="106"/>
  <c r="B6709" i="106"/>
  <c r="D6709" i="106" s="1"/>
  <c r="B6710" i="106"/>
  <c r="D6710" i="106"/>
  <c r="B6711" i="106"/>
  <c r="D6711" i="106"/>
  <c r="B6712" i="106"/>
  <c r="D6712" i="106"/>
  <c r="B6713" i="106"/>
  <c r="D6713" i="106" s="1"/>
  <c r="B6714" i="106"/>
  <c r="D6714" i="106"/>
  <c r="B6715" i="106"/>
  <c r="D6715" i="106"/>
  <c r="B6716" i="106"/>
  <c r="D6716" i="106"/>
  <c r="B6717" i="106"/>
  <c r="D6717" i="106" s="1"/>
  <c r="B6718" i="106"/>
  <c r="D6718" i="106"/>
  <c r="B6719" i="106"/>
  <c r="D6719" i="106"/>
  <c r="B6720" i="106"/>
  <c r="D6720" i="106"/>
  <c r="B6721" i="106"/>
  <c r="D6721" i="106" s="1"/>
  <c r="B6722" i="106"/>
  <c r="D6722" i="106"/>
  <c r="B6723" i="106"/>
  <c r="D6723" i="106"/>
  <c r="B6724" i="106"/>
  <c r="D6724" i="106"/>
  <c r="B6725" i="106"/>
  <c r="D6725" i="106" s="1"/>
  <c r="B6726" i="106"/>
  <c r="D6726" i="106"/>
  <c r="B6727" i="106"/>
  <c r="D6727" i="106" s="1"/>
  <c r="B6728" i="106"/>
  <c r="D6728" i="106" s="1"/>
  <c r="B6729" i="106"/>
  <c r="D6729" i="106" s="1"/>
  <c r="B6730" i="106"/>
  <c r="D6730" i="106" s="1"/>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s="1"/>
  <c r="B6745" i="106"/>
  <c r="D6745" i="106" s="1"/>
  <c r="B6746" i="106"/>
  <c r="D6746" i="106" s="1"/>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s="1"/>
  <c r="B6761" i="106"/>
  <c r="D6761" i="106" s="1"/>
  <c r="B6762" i="106"/>
  <c r="D6762" i="106" s="1"/>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s="1"/>
  <c r="B6777" i="106"/>
  <c r="D6777" i="106" s="1"/>
  <c r="B6778" i="106"/>
  <c r="D6778" i="106" s="1"/>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s="1"/>
  <c r="B6793" i="106"/>
  <c r="D6793" i="106" s="1"/>
  <c r="B6794" i="106"/>
  <c r="D6794" i="106" s="1"/>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s="1"/>
  <c r="B6809" i="106"/>
  <c r="D6809" i="106" s="1"/>
  <c r="B6810" i="106"/>
  <c r="D6810" i="106" s="1"/>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s="1"/>
  <c r="B6825" i="106"/>
  <c r="D6825" i="106" s="1"/>
  <c r="B6826" i="106"/>
  <c r="D6826" i="106" s="1"/>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E27" i="108"/>
  <c r="F27" i="108"/>
  <c r="G27" i="108"/>
  <c r="F31" i="108"/>
  <c r="G28" i="108"/>
  <c r="D31" i="108"/>
  <c r="E31" i="108"/>
  <c r="G31" i="108"/>
  <c r="E33" i="108"/>
  <c r="G33" i="108"/>
  <c r="E34" i="108"/>
  <c r="G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D131" i="5"/>
  <c r="B5369" i="106" s="1"/>
  <c r="D5369" i="106" s="1"/>
  <c r="C140" i="5"/>
  <c r="F106" i="34"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C184" i="5"/>
  <c r="B5232" i="106"/>
  <c r="D5232" i="106" s="1"/>
  <c r="D184" i="5"/>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B2633" i="106"/>
  <c r="D2633" i="106" s="1"/>
  <c r="D7" i="118"/>
  <c r="D8" i="118"/>
  <c r="D9" i="118"/>
  <c r="H14" i="118"/>
  <c r="H19" i="118"/>
  <c r="H24" i="118"/>
  <c r="H33" i="118"/>
  <c r="D22" i="37"/>
  <c r="J22" i="37"/>
  <c r="L5" i="11"/>
  <c r="B2056" i="106" s="1"/>
  <c r="D2056" i="106" s="1"/>
  <c r="D9" i="7"/>
  <c r="B1767" i="106" s="1"/>
  <c r="D1767" i="106" s="1"/>
  <c r="B5847" i="106"/>
  <c r="D5847" i="106" s="1"/>
  <c r="B5752" i="106"/>
  <c r="D5752" i="106" s="1"/>
  <c r="H173" i="5"/>
  <c r="H109" i="5"/>
  <c r="D17" i="7"/>
  <c r="B4104" i="106" s="1"/>
  <c r="D4104" i="106" s="1"/>
  <c r="J367" i="29" l="1"/>
  <c r="B7245" i="106" s="1"/>
  <c r="B7235" i="106"/>
  <c r="D7235" i="106" s="1"/>
  <c r="B6289" i="106"/>
  <c r="D6289" i="106" s="1"/>
  <c r="B7076" i="106"/>
  <c r="D7076" i="106" s="1"/>
  <c r="H28" i="118"/>
  <c r="D12" i="7"/>
  <c r="B1769" i="106" s="1"/>
  <c r="D1769" i="106" s="1"/>
  <c r="D5" i="4"/>
  <c r="B3406" i="106" s="1"/>
  <c r="D3406" i="106" s="1"/>
  <c r="B5161" i="106"/>
  <c r="D5161" i="106" s="1"/>
  <c r="L367" i="29"/>
  <c r="F19" i="7"/>
  <c r="B1807" i="106" s="1"/>
  <c r="D1807" i="106" s="1"/>
  <c r="G35" i="108"/>
  <c r="D37" i="108"/>
  <c r="D69" i="36"/>
  <c r="L15" i="11"/>
  <c r="B3459" i="106" s="1"/>
  <c r="D3459" i="106" s="1"/>
  <c r="K24" i="12"/>
  <c r="B7733" i="106" s="1"/>
  <c r="D7733" i="106" s="1"/>
  <c r="F131" i="34"/>
  <c r="I173" i="5"/>
  <c r="B4216" i="106" s="1"/>
  <c r="D4216" i="106" s="1"/>
  <c r="F70" i="34"/>
  <c r="F44" i="34"/>
  <c r="F34" i="34"/>
  <c r="B7047" i="106"/>
  <c r="D7047" i="106" s="1"/>
  <c r="C352" i="29"/>
  <c r="B3621" i="106" s="1"/>
  <c r="D3621" i="106" s="1"/>
  <c r="K76" i="4"/>
  <c r="B3586" i="106" s="1"/>
  <c r="D3586" i="106" s="1"/>
  <c r="D13" i="7"/>
  <c r="B3726" i="106" s="1"/>
  <c r="D3726" i="106" s="1"/>
  <c r="B1746" i="106"/>
  <c r="D1746" i="106" s="1"/>
  <c r="D4" i="7"/>
  <c r="B1760" i="106" s="1"/>
  <c r="D1760" i="106" s="1"/>
  <c r="G109" i="5"/>
  <c r="F37" i="34"/>
  <c r="J41" i="3"/>
  <c r="F77" i="4"/>
  <c r="B3255" i="106" s="1"/>
  <c r="D3255" i="106" s="1"/>
  <c r="D68" i="36"/>
  <c r="D24" i="37"/>
  <c r="B4270" i="106" s="1"/>
  <c r="D4270" i="106" s="1"/>
  <c r="F37" i="108"/>
  <c r="F28" i="108"/>
  <c r="F26" i="108"/>
  <c r="B5096" i="106"/>
  <c r="D5096" i="106" s="1"/>
  <c r="L13" i="11"/>
  <c r="B2060" i="106" s="1"/>
  <c r="D2060" i="106" s="1"/>
  <c r="B6025" i="106"/>
  <c r="D6025" i="106" s="1"/>
  <c r="H4" i="4"/>
  <c r="B2655" i="106" s="1"/>
  <c r="D2655" i="106" s="1"/>
  <c r="B279" i="106"/>
  <c r="D279" i="106" s="1"/>
  <c r="D54" i="36"/>
  <c r="B1053" i="106"/>
  <c r="D1053" i="106" s="1"/>
  <c r="H112" i="29"/>
  <c r="B7018" i="106" s="1"/>
  <c r="D7018" i="106" s="1"/>
  <c r="F14" i="4"/>
  <c r="B2597" i="106" s="1"/>
  <c r="D2597" i="106" s="1"/>
  <c r="B2836" i="106"/>
  <c r="D2836" i="106" s="1"/>
  <c r="B5906" i="106"/>
  <c r="D5906" i="106" s="1"/>
  <c r="H6" i="4"/>
  <c r="B2656" i="106" s="1"/>
  <c r="D2656" i="106" s="1"/>
  <c r="F56" i="34"/>
  <c r="B2805" i="106"/>
  <c r="D2805" i="106" s="1"/>
  <c r="H29" i="118"/>
  <c r="D11" i="37"/>
  <c r="D31" i="36"/>
  <c r="F49" i="34"/>
  <c r="F111" i="34"/>
  <c r="G172" i="5"/>
  <c r="B1756" i="106"/>
  <c r="D1756" i="106" s="1"/>
  <c r="D15" i="7"/>
  <c r="B1772" i="106" s="1"/>
  <c r="D1772" i="106" s="1"/>
  <c r="B1747" i="106"/>
  <c r="D1747" i="106" s="1"/>
  <c r="D7" i="7"/>
  <c r="B1763" i="106" s="1"/>
  <c r="D1763" i="106" s="1"/>
  <c r="F67" i="34"/>
  <c r="F62" i="34"/>
  <c r="J210" i="29"/>
  <c r="B7072" i="106" s="1"/>
  <c r="D7072" i="106" s="1"/>
  <c r="B3170" i="106"/>
  <c r="D3170" i="106" s="1"/>
  <c r="H76" i="4"/>
  <c r="B3298" i="106" s="1"/>
  <c r="D3298" i="106" s="1"/>
  <c r="F136" i="34"/>
  <c r="J274" i="5"/>
  <c r="B7054" i="106" s="1"/>
  <c r="D7054" i="106" s="1"/>
  <c r="B7041" i="106"/>
  <c r="D7041" i="106" s="1"/>
  <c r="B1130" i="106"/>
  <c r="D1130" i="106" s="1"/>
  <c r="G30" i="108"/>
  <c r="E30" i="108"/>
  <c r="B6024" i="106"/>
  <c r="D6024" i="106" s="1"/>
  <c r="G4" i="4"/>
  <c r="B2603" i="106" s="1"/>
  <c r="D2603" i="106" s="1"/>
  <c r="B5518" i="106"/>
  <c r="D5518" i="106" s="1"/>
  <c r="E109" i="5"/>
  <c r="E4" i="4" s="1"/>
  <c r="B2630" i="106" s="1"/>
  <c r="D2630" i="106" s="1"/>
  <c r="B6858" i="106"/>
  <c r="D6858" i="106" s="1"/>
  <c r="F36" i="34"/>
  <c r="B6889" i="106"/>
  <c r="D6889" i="106" s="1"/>
  <c r="F45" i="34"/>
  <c r="G39" i="108"/>
  <c r="B5425" i="106"/>
  <c r="D5425" i="106" s="1"/>
  <c r="F127" i="34"/>
  <c r="F128" i="34"/>
  <c r="D7245" i="106"/>
  <c r="K350" i="29"/>
  <c r="B1752" i="106"/>
  <c r="D1752" i="106" s="1"/>
  <c r="D11" i="7"/>
  <c r="B1768" i="106" s="1"/>
  <c r="D1768" i="106" s="1"/>
  <c r="B3565" i="106"/>
  <c r="D3565" i="106" s="1"/>
  <c r="K41" i="3"/>
  <c r="B1142" i="106"/>
  <c r="D1142" i="106" s="1"/>
  <c r="E38" i="108"/>
  <c r="B5147" i="106"/>
  <c r="D5147" i="106" s="1"/>
  <c r="C172" i="5"/>
  <c r="B1129" i="106"/>
  <c r="D1129" i="106" s="1"/>
  <c r="G29" i="108"/>
  <c r="B6881" i="106"/>
  <c r="D6881" i="106" s="1"/>
  <c r="F41" i="34"/>
  <c r="B4172" i="106"/>
  <c r="D4172" i="106" s="1"/>
  <c r="N22" i="3"/>
  <c r="B283" i="106" s="1"/>
  <c r="D283" i="106" s="1"/>
  <c r="B1377" i="106"/>
  <c r="D1377" i="106" s="1"/>
  <c r="K184" i="29"/>
  <c r="F13" i="4" s="1"/>
  <c r="B2596" i="106" s="1"/>
  <c r="D2596" i="106" s="1"/>
  <c r="E13" i="145"/>
  <c r="G13" i="145" s="1"/>
  <c r="B2724" i="106"/>
  <c r="D2724" i="106" s="1"/>
  <c r="I274" i="5"/>
  <c r="B4951" i="106"/>
  <c r="D4951" i="106" s="1"/>
  <c r="K274" i="5"/>
  <c r="K7" i="4" s="1"/>
  <c r="B3718" i="106" s="1"/>
  <c r="D3718" i="106" s="1"/>
  <c r="C109" i="5"/>
  <c r="B5121" i="106" s="1"/>
  <c r="D5121" i="106" s="1"/>
  <c r="F21" i="8"/>
  <c r="B3689" i="106"/>
  <c r="D3689" i="106" s="1"/>
  <c r="D109" i="5"/>
  <c r="D14" i="4"/>
  <c r="B2570" i="106" s="1"/>
  <c r="D2570" i="106" s="1"/>
  <c r="I342" i="29"/>
  <c r="B7222" i="106" s="1"/>
  <c r="D7222" i="106" s="1"/>
  <c r="H365" i="29"/>
  <c r="I24" i="12"/>
  <c r="D5" i="7"/>
  <c r="B1761" i="106" s="1"/>
  <c r="D1761" i="106" s="1"/>
  <c r="K173" i="5"/>
  <c r="K6" i="4" s="1"/>
  <c r="B3570" i="106" s="1"/>
  <c r="D3570" i="106" s="1"/>
  <c r="F66" i="34"/>
  <c r="D36" i="108"/>
  <c r="F36" i="108"/>
  <c r="G352" i="29"/>
  <c r="K285" i="29"/>
  <c r="B3724" i="106" s="1"/>
  <c r="D3724" i="106" s="1"/>
  <c r="B1329" i="106"/>
  <c r="D1329" i="106" s="1"/>
  <c r="F61" i="34"/>
  <c r="E15" i="145"/>
  <c r="G15" i="145" s="1"/>
  <c r="G210" i="29"/>
  <c r="B1124" i="106"/>
  <c r="D1124" i="106" s="1"/>
  <c r="G5" i="4"/>
  <c r="B3409" i="106" s="1"/>
  <c r="D3409" i="106" s="1"/>
  <c r="F35" i="34"/>
  <c r="E28" i="108"/>
  <c r="H342" i="29"/>
  <c r="F130" i="34"/>
  <c r="B5304" i="106"/>
  <c r="D5304" i="106" s="1"/>
  <c r="F172" i="5"/>
  <c r="B5644" i="106" s="1"/>
  <c r="D5644" i="106" s="1"/>
  <c r="L312" i="29"/>
  <c r="B1410" i="106"/>
  <c r="D1410"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J7" i="4"/>
  <c r="B2657" i="106"/>
  <c r="D2657" i="106" s="1"/>
  <c r="D274" i="5"/>
  <c r="B7270" i="106"/>
  <c r="K26" i="12" l="1"/>
  <c r="B7743" i="106" s="1"/>
  <c r="D7743" i="106" s="1"/>
  <c r="H275" i="5"/>
  <c r="B1266" i="106"/>
  <c r="D1266" i="106" s="1"/>
  <c r="C367" i="29"/>
  <c r="B3622" i="106" s="1"/>
  <c r="D3622" i="106" s="1"/>
  <c r="K28" i="118"/>
  <c r="O27" i="118" s="1"/>
  <c r="O29" i="118" s="1"/>
  <c r="H77" i="4"/>
  <c r="B3299" i="106" s="1"/>
  <c r="D3299" i="106" s="1"/>
  <c r="D7250" i="106"/>
  <c r="D44" i="36"/>
  <c r="F41" i="108"/>
  <c r="G43" i="108" s="1"/>
  <c r="C4" i="4"/>
  <c r="B2551" i="106" s="1"/>
  <c r="D2551" i="106" s="1"/>
  <c r="B5527" i="106"/>
  <c r="D5527" i="106" s="1"/>
  <c r="L16" i="11"/>
  <c r="B2061" i="106" s="1"/>
  <c r="D2061" i="106" s="1"/>
  <c r="D7254" i="106"/>
  <c r="I26" i="12"/>
  <c r="B7741" i="106" s="1"/>
  <c r="D7741" i="106" s="1"/>
  <c r="B1996" i="106"/>
  <c r="D1996" i="106" s="1"/>
  <c r="K365" i="29"/>
  <c r="K16" i="4" s="1"/>
  <c r="D7255" i="106"/>
  <c r="B7215" i="106"/>
  <c r="D7215" i="106" s="1"/>
  <c r="B6022" i="106"/>
  <c r="D6022" i="106" s="1"/>
  <c r="N23" i="3"/>
  <c r="B284" i="106" s="1"/>
  <c r="D284" i="106" s="1"/>
  <c r="F73" i="34"/>
  <c r="G15" i="4"/>
  <c r="B6032" i="106" s="1"/>
  <c r="D6032" i="106" s="1"/>
  <c r="H367" i="29"/>
  <c r="B3660" i="106" s="1"/>
  <c r="D3660" i="106" s="1"/>
  <c r="B7242" i="106"/>
  <c r="D7242" i="106" s="1"/>
  <c r="B3568" i="106"/>
  <c r="D3568" i="106" s="1"/>
  <c r="D52" i="36"/>
  <c r="B1879" i="106"/>
  <c r="D1879" i="106" s="1"/>
  <c r="H22" i="37"/>
  <c r="F173" i="5"/>
  <c r="D7256" i="106"/>
  <c r="D7251" i="106"/>
  <c r="C114" i="29"/>
  <c r="B757" i="106" s="1"/>
  <c r="D757" i="106" s="1"/>
  <c r="B3649" i="106"/>
  <c r="D3649" i="106" s="1"/>
  <c r="G367" i="29"/>
  <c r="B3650" i="106" s="1"/>
  <c r="D3650" i="106" s="1"/>
  <c r="F274" i="5"/>
  <c r="B5719" i="106" s="1"/>
  <c r="D5719" i="106" s="1"/>
  <c r="D19" i="7"/>
  <c r="B1775" i="106" s="1"/>
  <c r="D1775" i="106" s="1"/>
  <c r="J16" i="4"/>
  <c r="B6226" i="106" s="1"/>
  <c r="D6226" i="106" s="1"/>
  <c r="H8" i="4"/>
  <c r="B2658" i="106" s="1"/>
  <c r="D2658" i="106" s="1"/>
  <c r="D7253" i="106"/>
  <c r="B5356" i="106"/>
  <c r="D5356" i="106" s="1"/>
  <c r="D4" i="4"/>
  <c r="B2564" i="106" s="1"/>
  <c r="D2564" i="106" s="1"/>
  <c r="G173" i="5"/>
  <c r="B5770" i="106"/>
  <c r="D5770" i="106" s="1"/>
  <c r="D7252" i="106"/>
  <c r="L114" i="29"/>
  <c r="B6014" i="106"/>
  <c r="D6014" i="106" s="1"/>
  <c r="B1365" i="106"/>
  <c r="D1365" i="106" s="1"/>
  <c r="F65" i="34"/>
  <c r="B5214" i="106"/>
  <c r="D5214" i="106" s="1"/>
  <c r="C173" i="5"/>
  <c r="B3670" i="106"/>
  <c r="D3670" i="106" s="1"/>
  <c r="K352"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H10" i="4" l="1"/>
  <c r="B4127" i="106" s="1"/>
  <c r="D4127" i="106" s="1"/>
  <c r="J17" i="4"/>
  <c r="B1145" i="106"/>
  <c r="D1145" i="106" s="1"/>
  <c r="G41" i="108"/>
  <c r="G44" i="108" s="1"/>
  <c r="G45" i="108" s="1"/>
  <c r="B5778" i="106"/>
  <c r="D5778" i="106" s="1"/>
  <c r="G6" i="4"/>
  <c r="B2604" i="106" s="1"/>
  <c r="D2604" i="106" s="1"/>
  <c r="J8" i="4"/>
  <c r="B6223" i="106" s="1"/>
  <c r="D6223" i="106" s="1"/>
  <c r="E41" i="108"/>
  <c r="E44" i="108" s="1"/>
  <c r="E45" i="108" s="1"/>
  <c r="K367" i="29"/>
  <c r="B3678" i="106" s="1"/>
  <c r="D3678" i="106" s="1"/>
  <c r="K13" i="4"/>
  <c r="B3572" i="106" s="1"/>
  <c r="D3572" i="106" s="1"/>
  <c r="B3672" i="106"/>
  <c r="D3672" i="106" s="1"/>
  <c r="B5223" i="106"/>
  <c r="D5223" i="106" s="1"/>
  <c r="C6" i="4"/>
  <c r="B2553" i="106" s="1"/>
  <c r="D2553" i="106" s="1"/>
  <c r="F24" i="37"/>
  <c r="F275" i="5"/>
  <c r="B5720" i="106" s="1"/>
  <c r="D5720" i="106" s="1"/>
  <c r="B5653" i="106"/>
  <c r="D5653" i="106" s="1"/>
  <c r="F6"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10" i="4" l="1"/>
  <c r="B6225" i="106" s="1"/>
  <c r="D6225" i="106" s="1"/>
  <c r="J20" i="4"/>
  <c r="J78" i="4" s="1"/>
  <c r="F76" i="34"/>
  <c r="B2593" i="106"/>
  <c r="D2593" i="106" s="1"/>
  <c r="F8" i="4"/>
  <c r="D10" i="171"/>
  <c r="D19" i="171" s="1"/>
  <c r="D32" i="171" s="1"/>
  <c r="D49" i="171" s="1"/>
  <c r="K17" i="4"/>
  <c r="K20" i="4"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B3575" i="106" l="1"/>
  <c r="D3575" i="106" s="1"/>
  <c r="F10" i="4"/>
  <c r="B4125" i="106" s="1"/>
  <c r="D4125" i="106" s="1"/>
  <c r="B2595" i="106"/>
  <c r="D2595" i="106" s="1"/>
  <c r="D8" i="146"/>
  <c r="F14" i="34"/>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<sst xmlns="http://schemas.openxmlformats.org/spreadsheetml/2006/main" count="5425" uniqueCount="2214">
  <si>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</si>
  <si>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</si>
  <si>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</si>
  <si>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</si>
  <si>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</si>
  <si>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</si>
  <si>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</si>
  <si>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</si>
  <si>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</si>
  <si>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</si>
  <si>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</si>
  <si>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</si>
  <si>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</si>
  <si>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</si>
  <si>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</si>
  <si>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</si>
  <si>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</si>
  <si>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</si>
  <si>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</si>
  <si>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</si>
  <si>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</si>
  <si>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</si>
  <si>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</si>
  <si>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</si>
  <si>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</si>
  <si>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</si>
  <si>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</si>
  <si>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</si>
  <si>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</si>
  <si>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</si>
  <si>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</si>
  <si>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</si>
  <si>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</si>
  <si>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</si>
  <si>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</si>
  <si>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</si>
  <si>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</si>
  <si>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</si>
  <si>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</si>
  <si>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</si>
  <si>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</si>
  <si>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</si>
  <si>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</si>
  <si>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</si>
  <si>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</si>
  <si>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</si>
  <si>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</si>
  <si>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</si>
  <si>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</si>
  <si>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</si>
  <si>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</si>
  <si>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</si>
  <si>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</si>
  <si>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</si>
  <si>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</si>
  <si>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</si>
  <si>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</si>
  <si>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</si>
  <si>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</si>
  <si>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</si>
  <si>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</si>
  <si>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</si>
  <si>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</si>
  <si>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</si>
  <si>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</si>
  <si>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</si>
  <si>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</si>
  <si>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</si>
  <si>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</si>
  <si>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</si>
  <si>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</si>
  <si>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</si>
  <si>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</si>
  <si>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</si>
  <si>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</si>
  <si>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</si>
  <si>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</si>
  <si>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</si>
  <si>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</si>
  <si>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</si>
  <si>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</si>
  <si>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</si>
  <si>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</si>
  <si>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</si>
  <si>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</si>
  <si>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</si>
  <si>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</si>
  <si>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</si>
  <si>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</si>
  <si>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</si>
  <si>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</si>
  <si>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</si>
  <si>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</si>
  <si>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</si>
  <si>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</si>
  <si>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</si>
  <si>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</si>
  <si>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</si>
  <si>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</si>
  <si>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</si>
  <si>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</si>
  <si>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</si>
  <si>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</si>
  <si>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</si>
  <si>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</si>
  <si>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</si>
  <si>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</si>
  <si>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</si>
  <si>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</si>
  <si>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</si>
  <si>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</si>
  <si>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</si>
  <si>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</si>
  <si>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</si>
  <si>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</si>
  <si>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</si>
  <si>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</si>
  <si>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</si>
  <si>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</si>
  <si>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</si>
  <si>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</si>
  <si>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</si>
  <si>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</si>
  <si>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</si>
  <si>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</si>
  <si>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</si>
  <si>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</si>
  <si>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</si>
  <si>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</si>
  <si>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</si>
  <si>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</si>
  <si>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</si>
  <si>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</si>
  <si>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</si>
  <si>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</si>
  <si>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</si>
  <si>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</si>
  <si>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</si>
  <si>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</si>
  <si>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</si>
  <si>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</si>
  <si>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</si>
  <si>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</si>
  <si>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</si>
  <si>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</si>
  <si>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</si>
  <si>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</si>
  <si>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</si>
  <si>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</si>
  <si>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</si>
  <si>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</si>
  <si>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</si>
  <si>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</si>
  <si>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</si>
  <si>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</si>
  <si>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</si>
  <si>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</si>
  <si>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</si>
  <si>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</si>
  <si>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</si>
  <si>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</si>
  <si>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</si>
  <si>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</si>
  <si>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</si>
  <si>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</si>
  <si>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</si>
  <si>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</si>
  <si>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</si>
  <si>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</si>
  <si>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</si>
  <si>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</si>
  <si>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</si>
  <si>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</si>
  <si>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</si>
  <si>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</si>
  <si>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</si>
  <si>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</si>
  <si>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</si>
  <si>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</si>
  <si>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</si>
  <si>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</si>
  <si>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</si>
  <si>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</si>
  <si>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</si>
  <si>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</si>
  <si>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</si>
  <si>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</si>
  <si>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</si>
  <si>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</si>
  <si>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</si>
  <si>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</si>
  <si>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</si>
  <si>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</si>
  <si>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</si>
  <si>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</si>
  <si>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</si>
  <si>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</si>
  <si>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</si>
  <si>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</si>
  <si>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</si>
  <si>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</si>
  <si>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</si>
  <si>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</si>
  <si>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</si>
  <si>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</si>
  <si>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</si>
  <si>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</si>
  <si>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</si>
  <si>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</si>
  <si>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</si>
  <si>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</si>
  <si>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</si>
  <si>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</si>
  <si>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</si>
  <si>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</si>
  <si>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</si>
  <si>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</si>
  <si>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</si>
  <si>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</si>
  <si>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</si>
  <si>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</si>
  <si>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</si>
  <si>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</si>
  <si>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</si>
  <si>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</si>
  <si>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</si>
  <si>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</si>
  <si>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</si>
  <si>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</si>
  <si>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</si>
  <si>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</si>
  <si>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</si>
  <si>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</si>
  <si>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</si>
  <si>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</si>
  <si>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</si>
  <si>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</si>
  <si>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</si>
  <si>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</si>
  <si>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</si>
  <si>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</si>
  <si>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</si>
  <si>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</si>
  <si>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</si>
  <si>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</si>
  <si>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</si>
  <si>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</si>
  <si>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</si>
  <si>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</si>
  <si>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</si>
  <si>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</si>
  <si>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</si>
  <si>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</si>
  <si>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</si>
  <si>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</si>
  <si>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</si>
  <si>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</si>
  <si>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</si>
  <si>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</si>
  <si>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</si>
  <si>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</si>
  <si>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</si>
  <si>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</si>
  <si>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</si>
  <si>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</si>
  <si>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</si>
  <si>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</si>
  <si>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</si>
  <si>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</si>
  <si>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</si>
  <si>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</si>
  <si>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</si>
  <si>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</si>
  <si>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</si>
  <si>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</si>
  <si>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</si>
  <si>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</si>
  <si>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</si>
  <si>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</si>
  <si>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</si>
  <si>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</si>
  <si>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</si>
  <si>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</si>
  <si>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</si>
  <si>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</si>
  <si>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</si>
  <si>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</si>
  <si>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</si>
  <si>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</si>
  <si>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</si>
  <si>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</si>
  <si>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</si>
  <si>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</si>
  <si>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</si>
  <si>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</si>
  <si>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</si>
  <si>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</si>
  <si>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</si>
  <si>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</si>
  <si>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</si>
  <si>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</si>
  <si>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</si>
  <si>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</si>
  <si>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</si>
  <si>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</si>
  <si>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</si>
  <si>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</si>
  <si>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</si>
  <si>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</si>
  <si>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</si>
  <si>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</si>
  <si>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</si>
  <si>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</si>
  <si>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</si>
  <si>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</si>
  <si>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</si>
  <si>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</si>
  <si>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</si>
  <si>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</si>
  <si>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</si>
  <si>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</si>
  <si>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</si>
  <si>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</si>
  <si>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</si>
  <si>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</si>
  <si>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</si>
  <si>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</si>
  <si>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</si>
  <si>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</si>
  <si>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</si>
  <si>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</si>
  <si>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</si>
  <si>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</si>
  <si>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</si>
  <si>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</si>
  <si>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</si>
  <si>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</si>
  <si>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</si>
  <si>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</si>
  <si>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</si>
  <si>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</si>
  <si>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</si>
  <si>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</si>
  <si>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</si>
  <si>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</si>
  <si>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</si>
  <si>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</si>
  <si>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</si>
  <si>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</si>
  <si>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</si>
  <si>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</si>
  <si>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</si>
  <si>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</si>
  <si>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</si>
  <si>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</si>
  <si>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</si>
  <si>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</si>
  <si>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</si>
  <si>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</si>
  <si>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</si>
  <si>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</si>
  <si>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</si>
  <si>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</si>
  <si>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</si>
  <si>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</si>
  <si>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</si>
  <si>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</si>
  <si>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</si>
  <si>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</si>
  <si>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</si>
  <si>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</si>
  <si>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</si>
  <si>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</si>
  <si>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</si>
  <si>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</si>
  <si>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</si>
  <si>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</si>
  <si>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</si>
  <si>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</si>
  <si>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</si>
  <si>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</si>
  <si>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</si>
  <si>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</si>
  <si>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</si>
  <si>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</si>
  <si>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</si>
  <si>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</si>
  <si>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</si>
  <si>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</si>
  <si>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</si>
  <si>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</si>
  <si>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</si>
  <si>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</si>
  <si>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</si>
  <si>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</si>
  <si>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</si>
  <si>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</si>
  <si>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</si>
  <si>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</si>
  <si>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</si>
  <si>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</si>
  <si>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</si>
  <si>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</si>
  <si>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</si>
  <si>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</si>
  <si>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</si>
  <si>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</si>
  <si>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</si>
  <si>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</si>
  <si>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</si>
  <si>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</si>
  <si>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</si>
  <si>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</si>
  <si>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</si>
  <si>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</si>
  <si>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</si>
  <si>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</si>
  <si>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</si>
  <si>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</si>
  <si>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</si>
  <si>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</si>
  <si>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</si>
  <si>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</si>
  <si>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</si>
  <si>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</si>
  <si>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</si>
  <si>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</si>
  <si>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</si>
  <si>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</si>
  <si>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</si>
  <si>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</si>
  <si>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</si>
  <si>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</si>
  <si>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</si>
  <si>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</si>
  <si>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</si>
  <si>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</si>
  <si>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</si>
  <si>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</si>
  <si>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</si>
  <si>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</si>
  <si>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</si>
  <si>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</si>
  <si>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</si>
  <si>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</si>
  <si>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</si>
  <si>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</si>
  <si>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</si>
  <si>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</si>
  <si>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</si>
  <si>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</si>
  <si>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</si>
  <si>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</si>
  <si>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</si>
  <si>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</si>
  <si>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</si>
  <si>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</si>
  <si>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</si>
  <si>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</si>
  <si>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</si>
  <si>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</si>
  <si>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</si>
  <si>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</si>
  <si>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</si>
  <si>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</si>
  <si>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</si>
  <si>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</si>
  <si>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</si>
  <si>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</si>
  <si>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</si>
  <si>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</si>
  <si>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</si>
  <si>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</si>
  <si>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</si>
  <si>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</si>
  <si>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</si>
  <si>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</si>
  <si>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</si>
  <si>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</si>
  <si>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</si>
  <si>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</si>
  <si>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</si>
  <si>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</si>
  <si>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</si>
  <si>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</si>
  <si>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</si>
  <si>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</si>
  <si>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</si>
  <si>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</si>
  <si>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</si>
  <si>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</si>
  <si>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</si>
  <si>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</si>
  <si>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</si>
  <si>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</si>
  <si>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</si>
  <si>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</si>
  <si>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</si>
  <si>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</si>
  <si>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</si>
  <si>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</si>
  <si>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</si>
  <si>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</si>
  <si>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</si>
  <si>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</si>
  <si>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</si>
  <si>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</si>
  <si>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</si>
  <si>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</si>
  <si>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</si>
  <si>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</si>
  <si>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</si>
  <si>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</si>
  <si>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</si>
  <si>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</si>
  <si>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</si>
  <si>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</si>
  <si>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</si>
  <si>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</si>
  <si>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</si>
  <si>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</si>
  <si>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</si>
  <si>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</si>
  <si>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</si>
  <si>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</si>
  <si>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</si>
  <si>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</si>
  <si>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</si>
  <si>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</si>
  <si>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</si>
  <si>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</si>
  <si>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</si>
  <si>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</si>
  <si>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</si>
  <si>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</si>
  <si>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</si>
  <si>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</si>
  <si>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</si>
  <si>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</si>
  <si>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</si>
  <si>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</si>
  <si>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</si>
  <si>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</si>
  <si>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</si>
  <si>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</si>
  <si>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</si>
  <si>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</si>
  <si>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</si>
  <si>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</si>
  <si>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</si>
  <si>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</si>
  <si>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</si>
  <si>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</si>
  <si>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</si>
  <si>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</si>
  <si>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</si>
  <si>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</si>
  <si>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</si>
  <si>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</si>
  <si>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</si>
  <si>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</si>
  <si>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</si>
  <si>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</si>
  <si>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</si>
  <si>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</si>
  <si>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</si>
  <si>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</si>
  <si>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</si>
  <si>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</si>
  <si>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</si>
  <si>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</si>
  <si>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</si>
  <si>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</si>
  <si>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</si>
  <si>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</si>
  <si>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</si>
  <si>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</si>
  <si>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</si>
  <si>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</si>
  <si>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</si>
  <si>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</si>
  <si>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</si>
  <si>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</si>
  <si>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</si>
  <si>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</si>
  <si>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</si>
  <si>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</si>
  <si>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</si>
  <si>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</si>
  <si>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</si>
  <si>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</si>
  <si>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</si>
  <si>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</si>
  <si>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</si>
  <si>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</si>
  <si>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</si>
  <si>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</si>
  <si>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</si>
  <si>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</si>
  <si>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</si>
  <si>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</si>
  <si>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</si>
  <si>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</si>
  <si>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</si>
  <si>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</si>
  <si>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</si>
  <si>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</si>
  <si>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</si>
  <si>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</si>
  <si>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</si>
  <si>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</si>
  <si>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</si>
  <si>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</si>
  <si>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</si>
  <si>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</si>
  <si>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</si>
  <si>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</si>
  <si>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</si>
  <si>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</si>
  <si>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</si>
  <si>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</si>
  <si>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</si>
  <si>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</si>
  <si>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</si>
  <si>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</si>
  <si>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</si>
  <si>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</si>
  <si>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</si>
  <si>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</si>
  <si>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</si>
  <si>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</si>
  <si>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</si>
  <si>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</si>
  <si>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</si>
  <si>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</si>
  <si>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</si>
  <si>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</si>
  <si>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</si>
  <si>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</si>
  <si>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</si>
  <si>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</si>
  <si>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</si>
  <si>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</si>
  <si>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</si>
  <si>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</si>
  <si>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</si>
  <si>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</si>
  <si>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</si>
  <si>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</si>
  <si>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</si>
  <si>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</si>
  <si>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</si>
  <si>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</si>
  <si>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</si>
  <si>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</si>
  <si>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</si>
  <si>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</si>
  <si>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</si>
  <si>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</si>
  <si>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</si>
  <si>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</si>
  <si>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</si>
  <si>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</si>
  <si>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</si>
  <si>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</si>
  <si>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</si>
  <si>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</si>
  <si>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</si>
  <si>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</si>
  <si>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</si>
  <si>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</si>
  <si>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</si>
  <si>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</si>
  <si>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</si>
  <si>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</si>
  <si>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</si>
  <si>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</si>
  <si>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</si>
  <si>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</si>
  <si>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</si>
  <si>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</si>
  <si>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</si>
  <si>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</si>
  <si>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</si>
  <si>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</si>
  <si>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</si>
  <si>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</si>
  <si>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</si>
  <si>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</si>
  <si>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</si>
  <si>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</si>
  <si>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</si>
  <si>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</si>
  <si>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</si>
  <si>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</si>
  <si>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</si>
  <si>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</si>
  <si>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</si>
  <si>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</si>
  <si>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</si>
  <si>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</si>
  <si>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</si>
  <si>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</si>
  <si>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</si>
  <si>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</si>
  <si>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</si>
  <si>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</si>
  <si>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</si>
  <si>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</si>
  <si>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</si>
  <si>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</si>
  <si>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</si>
  <si>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</si>
  <si>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</si>
  <si>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</si>
  <si>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</si>
  <si>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</si>
  <si>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</si>
  <si>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</si>
  <si>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</si>
  <si>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</si>
  <si>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</si>
  <si>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</si>
  <si>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</si>
  <si>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</si>
  <si>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</si>
  <si>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</si>
  <si>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</si>
  <si>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</si>
  <si>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</si>
  <si>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</si>
  <si>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</si>
  <si>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</si>
  <si>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</si>
  <si>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</si>
  <si>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</si>
  <si>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</si>
  <si>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</si>
  <si>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</si>
  <si>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</si>
  <si>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</si>
  <si>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</si>
  <si>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</si>
  <si>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</si>
  <si>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</si>
  <si>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</si>
  <si>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</si>
  <si>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</si>
  <si>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</si>
  <si>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</si>
  <si>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</si>
  <si>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</si>
  <si>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</si>
  <si>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</si>
  <si>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</si>
  <si>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</si>
  <si>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</si>
  <si>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</si>
  <si>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</si>
  <si>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</si>
  <si>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</si>
  <si>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</si>
  <si>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</si>
  <si>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</si>
  <si>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</si>
  <si>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</si>
  <si>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</si>
  <si>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</si>
  <si>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</si>
  <si>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</si>
  <si>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</si>
  <si>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</si>
  <si>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</si>
  <si>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</si>
  <si>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</si>
  <si>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</si>
  <si>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</si>
  <si>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</si>
  <si>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</si>
  <si>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</si>
  <si>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</si>
  <si>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</si>
  <si>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</si>
  <si>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</si>
  <si>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</si>
  <si>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</si>
  <si>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</si>
  <si>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</si>
  <si>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</si>
  <si>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</si>
  <si>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</si>
  <si>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</si>
  <si>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</si>
  <si>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</si>
  <si>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</si>
  <si>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</si>
  <si>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</si>
  <si>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</si>
  <si>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</si>
  <si>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</si>
  <si>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</si>
  <si>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</si>
  <si>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</si>
  <si>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</si>
  <si>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</si>
  <si>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</si>
  <si>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</si>
  <si>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</si>
  <si>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</si>
  <si>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</si>
  <si>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</si>
  <si>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</si>
  <si>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</si>
  <si>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</si>
  <si>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</si>
  <si>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</si>
  <si>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</si>
  <si>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</si>
  <si>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</si>
  <si>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</si>
  <si>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</si>
  <si>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</si>
  <si>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</si>
  <si>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</si>
  <si>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</si>
  <si>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</si>
  <si>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</si>
  <si>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</si>
  <si>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</si>
  <si>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</si>
  <si>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</si>
  <si>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</si>
  <si>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</si>
  <si>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</si>
  <si>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</si>
  <si>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</si>
  <si>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</si>
  <si>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</si>
  <si>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</si>
  <si>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</si>
  <si>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</si>
  <si>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</si>
  <si>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</si>
  <si>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</si>
  <si>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</si>
  <si>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</si>
  <si>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</si>
  <si>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</si>
  <si>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</si>
  <si>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</si>
  <si>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</si>
  <si>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</si>
  <si>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</si>
  <si>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</si>
  <si>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</si>
  <si>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</si>
  <si>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</si>
  <si>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</si>
  <si>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</si>
  <si>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</si>
  <si>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</si>
  <si>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</si>
  <si>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</si>
  <si>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</si>
  <si>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</si>
  <si>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</si>
  <si>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</si>
  <si>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</si>
  <si>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</si>
  <si>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</si>
  <si>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</si>
  <si>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</si>
  <si>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</si>
  <si>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</si>
  <si>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</si>
  <si>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</si>
  <si>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</si>
  <si>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</si>
  <si>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</si>
  <si>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</si>
  <si>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</si>
  <si>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</si>
  <si>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</si>
  <si>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</si>
  <si>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</si>
  <si>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</si>
  <si>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</si>
  <si>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</si>
  <si>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</si>
  <si>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</si>
  <si>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</si>
  <si>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</si>
  <si>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</si>
  <si>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</si>
  <si>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</si>
  <si>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</si>
  <si>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</si>
  <si>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</si>
  <si>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</si>
  <si>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</si>
  <si>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</si>
  <si>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</si>
  <si>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</si>
  <si>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</si>
  <si>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</si>
  <si>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</si>
  <si>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</si>
  <si>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</si>
  <si>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</si>
  <si>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</si>
  <si>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</si>
  <si>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</si>
  <si>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</si>
  <si>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</si>
  <si>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</si>
  <si>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</si>
  <si>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</si>
  <si>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</si>
  <si>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</si>
  <si>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</si>
  <si>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</si>
  <si>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</si>
  <si>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</si>
  <si>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</si>
  <si>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</si>
  <si>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</si>
  <si>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</si>
  <si>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</si>
  <si>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</si>
  <si>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</si>
  <si>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</si>
  <si>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</si>
  <si>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</si>
  <si>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</si>
  <si>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</si>
  <si>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</si>
  <si>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</si>
  <si>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</si>
  <si>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</si>
  <si>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</si>
  <si>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</si>
  <si>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</si>
  <si>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</si>
  <si>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</si>
  <si>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</si>
  <si>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</si>
  <si>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</si>
  <si>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</si>
  <si>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</si>
  <si>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</si>
  <si>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</si>
  <si>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</si>
  <si>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</si>
  <si>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</si>
  <si>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</si>
  <si>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</si>
  <si>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</si>
  <si>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</si>
  <si>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</si>
  <si>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</si>
  <si>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</si>
  <si>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</si>
  <si>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</si>
  <si>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</si>
  <si>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</si>
  <si>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</si>
  <si>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</si>
  <si>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</si>
  <si>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</si>
  <si>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</si>
  <si>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</si>
  <si>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</si>
  <si>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</si>
  <si>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</si>
  <si>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</si>
  <si>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</si>
  <si>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</si>
  <si>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</si>
  <si>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</si>
  <si>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</si>
  <si>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</si>
  <si>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</si>
  <si>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</si>
  <si>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</si>
  <si>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</si>
  <si>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</si>
  <si>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</si>
  <si>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</si>
  <si>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</si>
  <si>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</si>
  <si>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</si>
  <si>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</si>
  <si>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</si>
  <si>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</si>
  <si>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</si>
  <si>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</si>
  <si>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</si>
  <si>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</si>
  <si>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</si>
  <si>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</si>
  <si>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</si>
  <si>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</si>
  <si>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</si>
  <si>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</si>
  <si>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</si>
  <si>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</si>
  <si>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</si>
  <si>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</si>
  <si>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</si>
  <si>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</si>
  <si>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</si>
  <si>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</si>
  <si>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</si>
  <si>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</si>
  <si>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</si>
  <si>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</si>
  <si>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</si>
  <si>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</si>
  <si>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</si>
  <si>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</si>
  <si>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</si>
  <si>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</si>
  <si>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</si>
  <si>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</si>
  <si>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</si>
  <si>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</si>
  <si>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</si>
  <si>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</si>
  <si>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</si>
  <si>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</si>
  <si>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</si>
  <si>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</si>
  <si>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</si>
  <si>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</si>
  <si>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</si>
  <si>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</si>
  <si>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</si>
  <si>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</si>
  <si>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</si>
  <si>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</si>
  <si>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</si>
  <si>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</si>
  <si>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</si>
  <si>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</si>
  <si>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</si>
  <si>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</si>
  <si>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</si>
  <si>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</si>
  <si>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</si>
  <si>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</si>
  <si>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</si>
  <si>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</si>
  <si>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</si>
  <si>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</si>
  <si>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</si>
  <si>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</si>
  <si>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</si>
  <si>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</si>
  <si>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</si>
  <si>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</si>
  <si>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</si>
  <si>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</si>
  <si>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</si>
  <si>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</si>
  <si>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</si>
  <si>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</si>
  <si>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</si>
  <si>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</si>
  <si>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</si>
  <si>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</si>
  <si>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</si>
  <si>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</si>
  <si>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</si>
  <si>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</si>
  <si>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</si>
  <si>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</si>
  <si>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</si>
  <si>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</si>
  <si>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</si>
  <si>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</si>
  <si>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</si>
  <si>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</si>
  <si>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</si>
  <si>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</si>
  <si>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</si>
  <si>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</si>
  <si>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</si>
  <si>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</si>
  <si>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</si>
  <si>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</si>
  <si>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</si>
  <si>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</si>
  <si>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</si>
  <si>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</si>
  <si>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</si>
  <si>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</si>
  <si>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</si>
  <si>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</si>
  <si>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</si>
  <si>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</si>
  <si>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</si>
  <si>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</si>
  <si>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</si>
  <si>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</si>
  <si>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</si>
  <si>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</si>
  <si>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</si>
  <si>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</si>
  <si>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</si>
  <si>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</si>
  <si>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</si>
  <si>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</si>
  <si>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</si>
  <si>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</si>
  <si>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</si>
  <si>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</si>
  <si>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</si>
  <si>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</si>
  <si>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</si>
  <si>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</si>
  <si>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</si>
  <si>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</si>
  <si>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</si>
  <si>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</si>
  <si>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</si>
  <si>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</si>
  <si>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</si>
  <si>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</si>
  <si>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</si>
  <si>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</si>
  <si>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</si>
  <si>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</si>
  <si>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</si>
  <si>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</si>
  <si>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</si>
  <si>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</si>
  <si>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</si>
  <si>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</si>
  <si>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</si>
  <si>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</si>
  <si>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</si>
  <si>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</si>
  <si>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</si>
  <si>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</si>
  <si>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</si>
  <si>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</si>
  <si>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</si>
  <si>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</si>
  <si>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</si>
  <si>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</si>
  <si>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</si>
  <si>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</si>
  <si>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</si>
  <si>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</si>
  <si>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</si>
  <si>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</si>
  <si>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</si>
  <si>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</si>
  <si>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</si>
  <si>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</si>
  <si>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</si>
  <si>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</si>
  <si>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</si>
  <si>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</si>
  <si>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</si>
  <si>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</si>
  <si>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</si>
  <si>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</si>
  <si>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</si>
  <si>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</si>
  <si>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</si>
  <si>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</si>
  <si>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</si>
  <si>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</si>
  <si>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</si>
  <si>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</si>
  <si>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</si>
  <si>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</si>
  <si>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</si>
  <si>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</si>
  <si>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</si>
  <si>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</si>
  <si>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</si>
  <si>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</si>
  <si>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</si>
  <si>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</si>
  <si>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</si>
  <si>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</si>
  <si>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</si>
  <si>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</si>
  <si>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</si>
  <si>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</si>
  <si>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</si>
  <si>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</si>
  <si>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</si>
  <si>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</si>
  <si>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</si>
  <si>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</si>
  <si>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</si>
  <si>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</si>
  <si>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</si>
  <si>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</si>
  <si>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</si>
  <si>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</si>
  <si>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</si>
  <si>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</si>
  <si>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</si>
  <si>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</si>
  <si>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</si>
  <si>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</si>
  <si>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</si>
  <si>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</si>
  <si>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</si>
  <si>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</si>
  <si>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</si>
  <si>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</si>
  <si>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</si>
  <si>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</si>
  <si>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</si>
  <si>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</si>
  <si>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</si>
  <si>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</si>
  <si>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</si>
  <si>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</si>
  <si>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</si>
  <si>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</si>
  <si>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</si>
  <si>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</si>
  <si>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</si>
  <si>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</si>
  <si>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</si>
  <si>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</si>
  <si>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</si>
  <si>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</si>
  <si>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</si>
  <si>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</si>
  <si>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</si>
  <si>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</si>
  <si>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</si>
  <si>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</si>
  <si>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</si>
  <si>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</si>
  <si>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</si>
  <si>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</si>
  <si>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</si>
  <si>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</si>
  <si>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</si>
  <si>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</si>
  <si>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</si>
  <si>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</si>
  <si>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</si>
  <si>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</si>
  <si>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</si>
  <si>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</si>
  <si>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</si>
  <si>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</si>
  <si>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</si>
  <si>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</si>
  <si>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</si>
  <si>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</si>
  <si>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</si>
  <si>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</si>
  <si>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</si>
  <si>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</si>
  <si>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</si>
  <si>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</si>
  <si>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</si>
  <si>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</si>
  <si>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</si>
  <si>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</si>
  <si>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</si>
  <si>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</si>
  <si>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</si>
  <si>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</si>
  <si>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</si>
  <si>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</si>
  <si>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</si>
  <si>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</si>
  <si>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</si>
  <si>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</si>
  <si>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</si>
  <si>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</si>
  <si>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</si>
  <si>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</si>
  <si>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</si>
  <si>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</si>
  <si>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</si>
  <si>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</si>
  <si>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</si>
  <si>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</si>
  <si>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</si>
  <si>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</si>
  <si>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</si>
  <si>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</si>
  <si>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</si>
  <si>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</si>
  <si>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</si>
  <si>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</si>
  <si>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</si>
  <si>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</si>
  <si>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</si>
  <si>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</si>
  <si>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</si>
  <si>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</si>
  <si>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</si>
  <si>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</si>
  <si>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</si>
  <si>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</si>
  <si>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</si>
  <si>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</si>
  <si>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</si>
  <si>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</si>
  <si>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</si>
  <si>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</si>
  <si>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</si>
  <si>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</si>
  <si>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</si>
  <si>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</si>
  <si>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</si>
  <si>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</si>
  <si>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</si>
  <si>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</si>
  <si>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</si>
  <si>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</si>
  <si>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</si>
  <si>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</si>
  <si>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</si>
  <si>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</si>
  <si>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</si>
  <si>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</si>
  <si>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</si>
  <si>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</si>
  <si>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</si>
  <si>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</si>
  <si>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</si>
  <si>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</si>
  <si>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</si>
  <si>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</si>
  <si>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</si>
  <si>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</si>
  <si>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</si>
  <si>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</si>
  <si>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</si>
  <si>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</si>
  <si>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</si>
  <si>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</si>
  <si>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</si>
  <si>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</si>
  <si>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</si>
  <si>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</si>
  <si>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</si>
  <si>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</si>
  <si>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</si>
  <si>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</si>
  <si>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</si>
  <si>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</si>
  <si>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</si>
  <si>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</si>
  <si>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</si>
  <si>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</si>
  <si>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</si>
  <si>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</si>
  <si>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</si>
  <si>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</si>
  <si>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</si>
  <si>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</si>
  <si>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</si>
  <si>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</si>
  <si>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</si>
  <si>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</si>
  <si>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</si>
  <si>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</si>
  <si>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</si>
  <si>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</si>
  <si>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</si>
  <si>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</si>
  <si>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</si>
  <si>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</si>
  <si>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</si>
  <si>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</si>
  <si>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</si>
  <si>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</si>
  <si>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</si>
  <si>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</si>
  <si>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</si>
  <si>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</si>
  <si>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</si>
  <si>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</si>
  <si>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</si>
  <si>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</si>
  <si>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</si>
  <si>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</si>
  <si>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</si>
  <si>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</si>
  <si>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</si>
  <si>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</si>
  <si>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</si>
  <si>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</si>
  <si>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</si>
  <si>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</si>
  <si>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</si>
  <si>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</si>
  <si>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</si>
  <si>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</si>
  <si>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</si>
  <si>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</si>
  <si>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</si>
  <si>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</si>
  <si>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</si>
  <si>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</si>
  <si>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</si>
  <si>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</si>
  <si>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</si>
  <si>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</si>
  <si>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</si>
  <si>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</si>
  <si>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</si>
  <si>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</si>
  <si>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</si>
  <si>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</si>
  <si>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</si>
  <si>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</si>
  <si>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</si>
  <si>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</si>
  <si>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</si>
  <si>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</si>
  <si>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</si>
  <si>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</si>
  <si>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</si>
  <si>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</si>
  <si>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</si>
  <si>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</si>
  <si>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</si>
  <si>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</si>
  <si>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</si>
  <si>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</si>
  <si>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</si>
  <si>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</si>
  <si>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</si>
  <si>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</si>
  <si>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</si>
  <si>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</si>
  <si>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</si>
  <si>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</si>
  <si>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</si>
  <si>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</si>
  <si>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</si>
  <si>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</si>
  <si>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</si>
  <si>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</si>
  <si>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</si>
  <si>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</si>
  <si>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</si>
  <si>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</si>
  <si>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</si>
  <si>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</si>
  <si>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</si>
  <si>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</si>
  <si>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</si>
  <si>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</si>
  <si>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</si>
  <si>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</si>
  <si>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</si>
  <si>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</si>
  <si>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</si>
  <si>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</si>
  <si>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</si>
  <si>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</si>
  <si>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</si>
  <si>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</si>
  <si>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</si>
  <si>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</si>
  <si>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</si>
  <si>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</si>
  <si>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</si>
  <si>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</si>
  <si>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</si>
  <si>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</si>
  <si>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</si>
  <si>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</si>
  <si>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</si>
  <si>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</si>
  <si>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</si>
  <si>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</si>
  <si>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</si>
  <si>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</si>
  <si>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</si>
  <si>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</si>
  <si>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</si>
  <si>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</si>
  <si>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</si>
  <si>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</si>
  <si>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</si>
  <si>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</si>
  <si>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</si>
  <si>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</si>
  <si>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</si>
  <si>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</si>
  <si>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</si>
  <si>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</si>
  <si>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</si>
  <si>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</si>
  <si>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</si>
  <si>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</si>
  <si>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</si>
  <si>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</si>
  <si>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</si>
  <si>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</si>
  <si>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</si>
  <si>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</si>
  <si>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</si>
  <si>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</si>
  <si>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</si>
  <si>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</si>
  <si>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</si>
  <si>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</si>
  <si>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</si>
  <si>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</si>
  <si>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</si>
  <si>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</si>
  <si>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</si>
  <si>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</si>
  <si>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</si>
  <si>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</si>
  <si>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</si>
  <si>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</si>
  <si>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</si>
  <si>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</si>
  <si>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</si>
  <si>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</si>
  <si>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</si>
  <si>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</si>
  <si>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</si>
  <si>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</si>
  <si>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</si>
  <si>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</si>
  <si>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</si>
  <si>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</si>
  <si>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</si>
  <si>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</si>
  <si>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</si>
  <si>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</si>
  <si>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</si>
  <si>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</si>
  <si>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</si>
  <si>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</si>
  <si>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</si>
  <si>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</si>
  <si>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</si>
  <si>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</si>
  <si>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</si>
  <si>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</si>
  <si>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</si>
  <si>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</si>
  <si>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</si>
  <si>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</si>
  <si>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</si>
  <si>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</si>
  <si>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</si>
  <si>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</si>
  <si>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</si>
  <si>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</si>
  <si>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</si>
  <si>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</si>
  <si>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</si>
  <si>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</si>
  <si>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</si>
  <si>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</si>
  <si>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</si>
  <si>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</si>
  <si>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</si>
  <si>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</si>
  <si>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</si>
  <si>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</si>
  <si>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</si>
  <si>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</si>
  <si>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</si>
  <si>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</si>
  <si>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</si>
  <si>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</si>
  <si>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</si>
  <si>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</si>
  <si>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</si>
  <si>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</si>
  <si>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</si>
  <si>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</si>
  <si>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</si>
  <si>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</si>
  <si>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</si>
  <si>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</si>
  <si>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</si>
  <si>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</si>
  <si>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</si>
  <si>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</si>
  <si>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</si>
  <si>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</si>
  <si>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</si>
  <si>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</si>
  <si>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</si>
  <si>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</si>
  <si>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</si>
  <si>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</si>
  <si>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</si>
  <si>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</si>
  <si>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</si>
  <si>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</si>
  <si>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</si>
  <si>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</si>
  <si>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</si>
  <si>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</si>
  <si>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</si>
  <si>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</si>
  <si>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</si>
  <si>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</si>
  <si>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</si>
  <si>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</si>
  <si>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</si>
  <si>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</si>
  <si>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</si>
  <si>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</si>
  <si>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</si>
  <si>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</si>
  <si>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</si>
  <si>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</si>
  <si>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</si>
  <si>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</si>
  <si>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</si>
  <si>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</si>
  <si>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</si>
  <si>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</si>
  <si>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</si>
  <si>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</si>
  <si>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</si>
  <si>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</si>
  <si>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</si>
  <si>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</si>
  <si>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</si>
  <si>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</si>
  <si>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</si>
  <si>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</si>
  <si>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</si>
  <si>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</si>
  <si>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</si>
  <si>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</si>
  <si>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</si>
  <si>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</si>
  <si>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</si>
  <si>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</si>
  <si>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</si>
  <si>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</si>
  <si>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</si>
  <si>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</si>
  <si>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</si>
  <si>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</si>
  <si>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</si>
  <si>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</si>
  <si>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</si>
  <si>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</si>
  <si>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</si>
  <si>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</si>
  <si>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</si>
  <si>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</si>
  <si>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</si>
  <si>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</si>
  <si>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</si>
  <si>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</si>
  <si>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</si>
  <si>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</si>
  <si>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</si>
  <si>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</si>
  <si>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</si>
  <si>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</si>
  <si>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</si>
  <si>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</si>
  <si>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</si>
  <si>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</si>
  <si>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</si>
  <si>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</si>
  <si>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</si>
  <si>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</si>
  <si>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</si>
  <si>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</si>
  <si>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</si>
  <si>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</si>
  <si>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</si>
  <si>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</si>
  <si>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</si>
  <si>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</si>
  <si>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</si>
  <si>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</si>
  <si>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</si>
  <si>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</si>
  <si>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</si>
  <si>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</si>
  <si>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</si>
  <si>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</si>
  <si>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</si>
  <si>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</si>
  <si>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</si>
  <si>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</si>
  <si>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</si>
  <si>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</si>
  <si>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</si>
  <si>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</si>
  <si>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</si>
  <si>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</si>
  <si>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</si>
  <si>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</si>
  <si>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</si>
  <si>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</si>
  <si>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</si>
  <si>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</si>
  <si>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</si>
  <si>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</si>
  <si>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</si>
  <si>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</si>
  <si>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</si>
  <si>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</si>
  <si>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</si>
  <si>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</si>
  <si>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</si>
  <si>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</si>
  <si>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</si>
  <si>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</si>
  <si>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</si>
  <si>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</si>
  <si>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</si>
  <si>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</si>
  <si>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</si>
  <si>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</si>
  <si>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</si>
  <si>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</si>
  <si>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</si>
  <si>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</si>
  <si>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</si>
  <si>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</si>
  <si>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</si>
  <si>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</si>
  <si>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</si>
  <si>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</si>
  <si>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</si>
  <si>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</si>
  <si>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</si>
  <si>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</si>
  <si>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</si>
  <si>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</si>
  <si>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</si>
  <si>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</si>
  <si>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</si>
  <si>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</si>
  <si>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</si>
  <si>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</si>
  <si>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</si>
  <si>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</si>
  <si>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</si>
  <si>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</si>
  <si>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</si>
  <si>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</si>
  <si>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</si>
  <si>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</si>
  <si>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</si>
  <si>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</si>
  <si>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</si>
  <si>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</si>
  <si>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</si>
  <si>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</si>
  <si>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</si>
  <si>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</si>
  <si>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</si>
  <si>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</si>
  <si>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</si>
  <si>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</si>
  <si>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</si>
  <si>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</si>
  <si>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</si>
  <si>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</si>
  <si>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</si>
  <si>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</si>
  <si>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</si>
  <si>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</si>
  <si>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</si>
  <si>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</si>
  <si>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</si>
  <si>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</si>
  <si>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</si>
  <si>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</si>
  <si>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</si>
  <si>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</si>
  <si>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</si>
  <si>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</si>
  <si>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</si>
  <si>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</si>
  <si>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</si>
  <si>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</si>
  <si>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</si>
  <si>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</si>
  <si>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</si>
  <si>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</si>
  <si>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</si>
  <si>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</si>
  <si>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</si>
  <si>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</si>
  <si>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</si>
  <si>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</si>
  <si>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</si>
  <si>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</si>
  <si>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</si>
  <si>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</si>
  <si>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</si>
  <si>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</si>
  <si>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</si>
  <si>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</si>
  <si>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</si>
  <si>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</si>
  <si>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</si>
  <si>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</si>
  <si>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</si>
  <si>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</si>
  <si>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</si>
  <si>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</si>
  <si>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</si>
  <si>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</si>
  <si>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</si>
  <si>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</si>
  <si>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</si>
  <si>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</si>
  <si>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</si>
  <si>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</si>
  <si>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</si>
  <si>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</si>
  <si>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</si>
  <si>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</si>
  <si>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</si>
  <si>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</si>
  <si>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</si>
  <si>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</si>
  <si>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</si>
  <si>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</si>
  <si>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</si>
  <si>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</si>
  <si>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</si>
  <si>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</si>
  <si>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</si>
  <si>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</si>
  <si>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</si>
  <si>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</si>
  <si>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</si>
  <si>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</si>
  <si>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</si>
  <si>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</si>
  <si>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</si>
  <si>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</si>
  <si>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</si>
  <si>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</si>
  <si>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</si>
  <si>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</si>
  <si>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</si>
  <si>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</si>
  <si>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</si>
  <si>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</si>
  <si>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</si>
  <si>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</si>
  <si>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</si>
  <si>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</si>
  <si>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</si>
  <si>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</si>
  <si>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</si>
  <si>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</si>
  <si>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</si>
  <si>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</si>
  <si>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</si>
  <si>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</si>
  <si>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</si>
  <si>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</si>
  <si>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</si>
  <si>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</si>
  <si>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</si>
  <si>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</si>
  <si>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</si>
  <si>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</si>
  <si>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</si>
  <si>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</si>
  <si>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</si>
  <si>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</si>
  <si>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</si>
  <si>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</si>
  <si>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</si>
  <si>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</si>
  <si>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</si>
  <si>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</si>
  <si>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</si>
  <si>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</si>
  <si>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</si>
  <si>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</si>
  <si>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</si>
  <si>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</si>
  <si>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</si>
  <si>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</si>
  <si>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</si>
  <si>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</si>
  <si>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</si>
  <si>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</si>
  <si>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</si>
  <si>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</si>
  <si>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</si>
  <si>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</si>
  <si>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</si>
  <si>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</si>
  <si>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</si>
  <si>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</si>
  <si>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</si>
  <si>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</si>
  <si>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</si>
  <si>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</si>
  <si>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</si>
  <si>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</si>
  <si>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</si>
  <si>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</si>
  <si>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</si>
  <si>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</si>
  <si>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</si>
  <si>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</si>
  <si>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</si>
  <si>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</si>
  <si>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</si>
  <si>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</si>
  <si>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</si>
  <si>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</si>
  <si>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</si>
  <si>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</si>
  <si>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</si>
  <si>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</si>
  <si>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</si>
  <si>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</si>
  <si>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</si>
  <si>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</si>
  <si>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</si>
  <si>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</si>
  <si>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</si>
  <si>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</si>
  <si>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</si>
  <si>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</si>
  <si>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</si>
  <si>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</si>
  <si>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</si>
  <si>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</si>
  <si>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</si>
  <si>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</si>
  <si>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</si>
  <si>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</si>
  <si>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</si>
  <si>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</si>
  <si>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</si>
  <si>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</si>
  <si>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</si>
  <si>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</si>
  <si>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</si>
  <si>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</si>
  <si>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</si>
  <si>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</si>
  <si>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</si>
  <si>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</si>
  <si>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</si>
  <si>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</si>
  <si>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</si>
  <si>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</si>
  <si>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</si>
  <si>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</si>
  <si>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</si>
  <si>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</si>
  <si>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</si>
  <si>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</si>
  <si>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</si>
  <si>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</si>
  <si>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</si>
  <si>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</si>
  <si>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</si>
  <si>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</si>
  <si>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</si>
  <si>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</si>
  <si>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</si>
  <si>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</si>
  <si>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</si>
  <si>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</si>
  <si>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</si>
  <si>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</si>
  <si>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</si>
  <si>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</si>
  <si>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</si>
  <si>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</si>
  <si>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</si>
  <si>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</si>
  <si>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</si>
  <si>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</si>
  <si>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</si>
  <si>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</si>
  <si>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</si>
  <si>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</si>
  <si>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</si>
  <si>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</si>
  <si>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</si>
  <si>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</si>
  <si>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</si>
  <si>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</si>
  <si>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</si>
  <si>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</si>
  <si>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</si>
  <si>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</si>
  <si>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</si>
  <si>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</si>
  <si>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</si>
  <si>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</si>
  <si>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</si>
  <si>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</si>
  <si>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</si>
  <si>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</si>
  <si>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</si>
  <si>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</si>
  <si>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</si>
  <si>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</si>
  <si>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</si>
  <si>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</si>
  <si>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</si>
  <si>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</si>
  <si>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</si>
  <si>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</si>
  <si>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</si>
  <si>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</si>
  <si>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</si>
  <si>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</si>
  <si>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</si>
  <si>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</si>
  <si>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</si>
  <si>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</si>
  <si>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</si>
  <si>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</si>
  <si>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</si>
  <si>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</si>
  <si>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</si>
  <si>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</si>
  <si>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</si>
  <si>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</si>
  <si>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</si>
  <si>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</si>
  <si>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</si>
  <si>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</si>
  <si>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</si>
  <si>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</si>
  <si>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</si>
  <si>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</si>
  <si>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</si>
  <si>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</si>
  <si>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</si>
  <si>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</si>
  <si>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</si>
  <si>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</si>
  <si>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</si>
  <si>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</si>
  <si>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</si>
  <si>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</si>
  <si>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</si>
  <si>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</si>
  <si>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</si>
  <si>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</si>
  <si>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</si>
  <si>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</si>
  <si>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</si>
  <si>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</si>
  <si>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</si>
  <si>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</si>
  <si>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</si>
  <si>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</si>
  <si>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</si>
  <si>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</si>
  <si>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</si>
  <si>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</si>
  <si>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St. Clair</t>
  </si>
  <si>
    <t>2411 Pathways Crossing</t>
  </si>
  <si>
    <t xml:space="preserve">Belleville  </t>
  </si>
  <si>
    <t>brian.arteberry@bassc-sped.org</t>
  </si>
  <si>
    <t>Brian Arteberry</t>
  </si>
  <si>
    <t>Scheffel Boyle</t>
  </si>
  <si>
    <t>Dale Holtmann</t>
  </si>
  <si>
    <t>222 East Main St</t>
  </si>
  <si>
    <t>Belleville</t>
  </si>
  <si>
    <t>IL</t>
  </si>
  <si>
    <t>618-233-2641</t>
  </si>
  <si>
    <t>618-233-6334</t>
  </si>
  <si>
    <t>Building Debt Certificates</t>
  </si>
  <si>
    <t>X</t>
  </si>
  <si>
    <t>Belleville School District #118</t>
  </si>
  <si>
    <t>The accompanying Schedule of Expenditures of Federal Awards includes the federal grant activity ofBelleville Area Special Services Cooperative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</si>
  <si>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Belleville Area Special Services Cooperative provided federal awards to subrecipients as follows:</t>
  </si>
  <si>
    <t>Unmodified</t>
  </si>
  <si>
    <t>84.027/84.173</t>
  </si>
  <si>
    <t>IDEA FLOW THROUGH/IDEA PRESCHOOL CLUSTER</t>
  </si>
  <si>
    <t>We noted that the Co-op was not able to prepare their financial statements including disclosures in accordance with accounting principles generally accepted in the United States of America for the year ended June 30, 2018.</t>
  </si>
  <si>
    <t xml:space="preserve">The Co-op does not have sufficient internal control over their financial reporting. </t>
  </si>
  <si>
    <t>The Co-op was unable to prepare their financial statements including disclosures in accordance with accounting principles generally accepted in the United States of America for the year ended June 30, 2018.</t>
  </si>
  <si>
    <t>The Co-op lacks the resources to research, study and apply all the new accounting statements, standards, revisions and regulations needed to prepare their year end financial statements including formatting notes and exhibits in accordance with accounting principles generally accepted in the United States of America.</t>
  </si>
  <si>
    <t>To study the cost versus benefit of providing the necessary education and training to staff or hiring a qualified vendor to prepare or review the Co-op's year end financial statements including disclosures in accordance with accounting principles generally accepted in the United States of America.</t>
  </si>
  <si>
    <t>Management plans to study the cost versus benefit of providing the necessary education and training to staff or hiring a qualified vendor to prepare or review the Co-op's year end financial statements including disclosures in accordance with accounting principles generally accepted in the United States of America.</t>
  </si>
  <si>
    <t>Examined whether the Co-op's procedures ensured that transactions are properly recorded in accordance with accounting principles generally accepted in the United States of America.</t>
  </si>
  <si>
    <t>We noted that the Co-op did not properly record all transactions for the year ended June 30, 2018 in accordance with accounting principles generally accepted in the United States of America.</t>
  </si>
  <si>
    <t>The effect of the journal entries for the year end June 30, 2018 amounted to adjusting the year end cash basis data to the modified accrual basis and reclassifying noncapital items out of capital outlay.  Journal entries were necessary to bring the trial balance into compliance with accounting principles generally accepted in the United States of America.</t>
  </si>
  <si>
    <t>The Co-op did not properly record all transactions for the year ended June 30, 2018 in accordance with accounting principles generally accepted in the United States of America.</t>
  </si>
  <si>
    <t>The Co-op personnel do not have the necessary training or resources available to ensure that all transactions recorded are in accordance with accounting principles generally accepted in the United States of America.</t>
  </si>
  <si>
    <t>To provide the necessary training and resources for accounting employees to properly record all transactions in accordance with accounting principles generally accepted in the United States of America.</t>
  </si>
  <si>
    <t>Management plans to study the cost versus benefit of providing the necessary education, training and resources to staff or hiring a qualified vendor to ensure that the Co-op's transactions are properly recorded in accordance with the accounting principles generally accepted in the United States of America.</t>
  </si>
  <si>
    <t>2017-001</t>
  </si>
  <si>
    <t>Prepare the financial statement</t>
  </si>
  <si>
    <t xml:space="preserve">Management reviewed the costs versus benefit of </t>
  </si>
  <si>
    <t>providing the necessary education and training to staff</t>
  </si>
  <si>
    <t xml:space="preserve">or hiring a qualified vendor to prepare the </t>
  </si>
  <si>
    <t>financial statements including disclosures and decided</t>
  </si>
  <si>
    <t>to not change the process from the prior year.</t>
  </si>
  <si>
    <t>Journal entries made during audit</t>
  </si>
  <si>
    <t>Management reviewed their trial balance before</t>
  </si>
  <si>
    <t>year end and made some journal entries.  However, a</t>
  </si>
  <si>
    <t>few journal entries were still needed during the audit.</t>
  </si>
  <si>
    <t>2017-003</t>
  </si>
  <si>
    <t>2017-004</t>
  </si>
  <si>
    <t>Grant Findings</t>
  </si>
  <si>
    <t>In the prior year, there were findings for expenses</t>
  </si>
  <si>
    <t>claimed that were unallowable and also expenses</t>
  </si>
  <si>
    <t>not claimed due to incomplete expense reports.</t>
  </si>
  <si>
    <t>In the current year, there were findings for expenses</t>
  </si>
  <si>
    <t xml:space="preserve">claimed that were unallowable. </t>
  </si>
  <si>
    <t>(M) IDEA PRESCHOOL FY 18</t>
  </si>
  <si>
    <t>(M) IDEA PRESCHOOL FY 17</t>
  </si>
  <si>
    <t>18-4600-00</t>
  </si>
  <si>
    <t>17-4600-00</t>
  </si>
  <si>
    <t>18-4620-00</t>
  </si>
  <si>
    <t>17-4620-00</t>
  </si>
  <si>
    <t>NATIONAL SCHOOL LUNCH FY 18</t>
  </si>
  <si>
    <t>NATIONAL SCHOOL LUNCH FY 17</t>
  </si>
  <si>
    <t>NATIONAL SCHOOL BREAKFAST FY 18</t>
  </si>
  <si>
    <t>NATIONAL SCHOOL BREAKFAST FY 17</t>
  </si>
  <si>
    <t>18-4210-00</t>
  </si>
  <si>
    <t>17-4210-00</t>
  </si>
  <si>
    <t>18-4220-00</t>
  </si>
  <si>
    <t>17-4220-00</t>
  </si>
  <si>
    <t>N/A</t>
  </si>
  <si>
    <t>MEDICAID MATCHING FY 18</t>
  </si>
  <si>
    <t>18-4991-00</t>
  </si>
  <si>
    <t>TOTAL FEDERAL FINANCIAL ASSISTANCE - CASH</t>
  </si>
  <si>
    <t>NONCASH FEDERAL ASSISTANCE</t>
  </si>
  <si>
    <t>COMMODITIES AT MARKET VALUE</t>
  </si>
  <si>
    <t>TOTAL FEDERAL FINANCIAL ASSISTANCE CASH AND NONCASH</t>
  </si>
  <si>
    <t>The accompanying Schedule of Expenditures of Federal Awards includes the federal grant activity of Belleville Area Special Services Cooperative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</si>
  <si>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IDEA Flow Through FY 18</t>
  </si>
  <si>
    <t>Freeburg #70</t>
  </si>
  <si>
    <t>Freeburg #77</t>
  </si>
  <si>
    <t>Grant/Illini School #110</t>
  </si>
  <si>
    <t>O'Fallon #90</t>
  </si>
  <si>
    <t>Lebanon #9</t>
  </si>
  <si>
    <t>Shiloh #85</t>
  </si>
  <si>
    <t>St. Libory #30</t>
  </si>
  <si>
    <t>Mascoutah #19</t>
  </si>
  <si>
    <t>Harmony #175</t>
  </si>
  <si>
    <t xml:space="preserve"> Wolf Branch #113</t>
  </si>
  <si>
    <t>Millstadt #160</t>
  </si>
  <si>
    <t>Whiteside #115</t>
  </si>
  <si>
    <t>IDEA Flow Through FY 18 (cont'd)</t>
  </si>
  <si>
    <t>Central of O'Fallon #104</t>
  </si>
  <si>
    <t>High Mount #116</t>
  </si>
  <si>
    <t>Smithton #130</t>
  </si>
  <si>
    <t>Pontiac #105</t>
  </si>
  <si>
    <t>Belleville SD #118</t>
  </si>
  <si>
    <t>Signal Hill #181</t>
  </si>
  <si>
    <t>Marissa #40</t>
  </si>
  <si>
    <t>Belleville Township #201</t>
  </si>
  <si>
    <t>Belle Valley #119</t>
  </si>
  <si>
    <t>Wesclin #3</t>
  </si>
  <si>
    <t>New Athens #60</t>
  </si>
  <si>
    <t>Total IDEA Flow Through FY 18</t>
  </si>
  <si>
    <t>IDEA Flow Through FY 17</t>
  </si>
  <si>
    <t>Total IDEA Flow Through FY 17</t>
  </si>
  <si>
    <t>IDEA Preschool FY 18</t>
  </si>
  <si>
    <t>IDEA Preschool FY 17</t>
  </si>
  <si>
    <t xml:space="preserve">IDEA FLOW THROUGH FY 17 </t>
  </si>
  <si>
    <t>Freeburg Comm Cons #70</t>
  </si>
  <si>
    <t>Total IDEA Preschool FY 18</t>
  </si>
  <si>
    <t>US DEPARTMENT OF EDUCATION</t>
  </si>
  <si>
    <t>The amount claimed on September 30, 2017 to close out the FY 17 grant included an unallowable expense.    The Co-op included a FY 18 expense for software license on the final FY 17 expenditure report.   This was determined by comparing the expenses claimed on the final FY 17 expenditure report to the FY 18 expenditure report.</t>
  </si>
  <si>
    <t>$36,328 out of account 2660-300.  This was the part of the software charged to the IDEA grant.</t>
  </si>
  <si>
    <t xml:space="preserve">The Co-op claimed the same expense on the FY 17 final expenditure report and on the FY 18 expenditure reports.  </t>
  </si>
  <si>
    <t>To review the final expense report to determine that all expenses are eligible.  Also to review the first expense report of the year to determine that expenses were not claimed on the prior year grant.</t>
  </si>
  <si>
    <t>IDEA PRESCHOOL FY 17</t>
  </si>
  <si>
    <t>To determine that all expenses were allowable under the IDEA Preschool grant.  The amount claimed at September 30, 2017 included an unallowable expense that was also claimed in FY 18.</t>
  </si>
  <si>
    <t>$5,428 out of account 2660-300.  This was the part of the software charged to the IDEA Preschool grant.</t>
  </si>
  <si>
    <t>618-355-4700</t>
  </si>
  <si>
    <t>618-355-4415</t>
  </si>
  <si>
    <t>dale.holtmann@scheffelboyle.com</t>
  </si>
  <si>
    <t>065-026956</t>
  </si>
  <si>
    <t>Signall Hill #181</t>
  </si>
  <si>
    <t>Harmony-Emge #175</t>
  </si>
  <si>
    <t>US DEPARTMENT OF EDUCATION - PASS-THROUGH ILLINOIS STATE BOARD OF EDUCATION</t>
  </si>
  <si>
    <t>(M) IDEA FLOW-THROUGH - FY 18</t>
  </si>
  <si>
    <t>(M) IDEA FLOW-THROUGH - FY 17</t>
  </si>
  <si>
    <t>TOTAL US DEPARTMENT OF EDUCATION - PASS- THROUGH ILLINOIS STATE BOARD OF EDUCATION</t>
  </si>
  <si>
    <t>US DEPARTMENT OF AGRICULTURE PASS-THROUGH ILLINOIS STATE BOARD OF EDUCATION</t>
  </si>
  <si>
    <t>TOTAL US DEPARTMENT OF AGRICULTURE PASS- THROUGH ILLINOIS STATE BOARD OF EDUCATION</t>
  </si>
  <si>
    <t>US DEPT OF HEALTH AND HUMAN SERVICES PASS- THROUGH STATE OF IL HEALTHCARE AND FAMILY SVCS</t>
  </si>
  <si>
    <t>Whether the Co-op had the resources to prepare their financial statements including disclosures in accordance with accounting principles generally accepted in the United States of America for the year ended June 30, 2018.</t>
  </si>
  <si>
    <t>To determine that all expenses were allowable under the IDEA Flow-Through grant.  The amount claimed at September 30, 2017 included an unallowable expense that was also claimed in FY 18.</t>
  </si>
  <si>
    <t xml:space="preserve">The Co-op requested more revenue than they were entitled to receive. </t>
  </si>
  <si>
    <t>Management will review expense reports to determine that only allowable expenses are claimed and that expenses are not claimed in two different grant years.</t>
  </si>
  <si>
    <t>2017-002</t>
  </si>
  <si>
    <t>ED-Special Education-General Administration</t>
  </si>
  <si>
    <t>10-2300-300</t>
  </si>
  <si>
    <t>$36,328 of the total expenses of $6,113,353 were considered questioned costs.</t>
  </si>
  <si>
    <t>$5,428 out of total expenses of $316,361 were considered questioned costs.</t>
  </si>
  <si>
    <t>Belleville Area Special Services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</si>
</sst>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0" xfId="3" applyFont="1" applyAlignment="1" applyProtection="1">
      <alignment horizontal="center" vertical="center"/>
    </xf>
    <xf numFmtId="0" fontId="52" fillId="0" borderId="148" xfId="3" applyFont="1" applyBorder="1" applyAlignment="1" applyProtection="1">
      <alignment horizontal="left" indent="1"/>
      <protection locked="0"/>
    </xf>
    <xf numFmtId="0" fontId="52" fillId="0" borderId="148" xfId="3" applyFont="1" applyBorder="1" applyAlignment="1" applyProtection="1">
      <alignment horizontal="left" indent="3"/>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49" fontId="1" fillId="0" borderId="158" xfId="17" applyNumberFormat="1" applyFont="1" applyBorder="1" applyAlignment="1" applyProtection="1">
      <alignment horizontal="center"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6" fontId="54" fillId="0" borderId="0" xfId="3" applyNumberFormat="1" applyFont="1" applyAlignment="1" applyProtection="1">
      <alignment horizontal="left" vertical="top" wrapText="1"/>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6</xdr:row>
          <xdr:rowOff>161925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2</xdr:row>
          <xdr:rowOff>138546</xdr:rowOff>
        </xdr:from>
        <xdr:to>
          <xdr:col>1</xdr:col>
          <xdr:colOff>2225386</xdr:colOff>
          <xdr:row>6</xdr:row>
          <xdr:rowOff>135948</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2623704</xdr:colOff>
          <xdr:row>2</xdr:row>
          <xdr:rowOff>129888</xdr:rowOff>
        </xdr:from>
        <xdr:to>
          <xdr:col>1</xdr:col>
          <xdr:colOff>3515591</xdr:colOff>
          <xdr:row>6</xdr:row>
          <xdr:rowOff>127290</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625C7673-9AE8-45BC-836F-768924AD3907}"/>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4C5A7456-17D8-4FCF-BFCE-A44AD9354D14}"/>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AC8F423A-9D1A-4DE7-990B-F343D6622307}"/>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746AF324-0939-414D-834D-202787F3D1C8}"/>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7" t="s">
        <v>425</v>
      </c>
      <c r="J1" s="2008"/>
      <c r="K1" s="2008"/>
      <c r="L1" s="2008"/>
      <c r="M1" s="2008"/>
      <c r="N1" s="2008"/>
      <c r="O1" s="2008"/>
      <c r="P1" s="2008"/>
      <c r="Q1" s="2008"/>
      <c r="R1" s="2008"/>
      <c r="S1" s="2008"/>
    </row>
    <row r="2" spans="1:28" ht="12" customHeight="1" x14ac:dyDescent="0.2">
      <c r="A2" s="47" t="s">
        <v>1684</v>
      </c>
      <c r="D2" s="48"/>
      <c r="I2" s="2009" t="s">
        <v>1036</v>
      </c>
      <c r="J2" s="2008"/>
      <c r="K2" s="2008"/>
      <c r="L2" s="2008"/>
      <c r="M2" s="2008"/>
      <c r="N2" s="2008"/>
      <c r="O2" s="2008"/>
      <c r="P2" s="2008"/>
      <c r="Q2" s="2008"/>
      <c r="R2" s="2008"/>
      <c r="S2" s="2008"/>
    </row>
    <row r="3" spans="1:28" ht="12" customHeight="1" x14ac:dyDescent="0.2">
      <c r="A3" s="155" t="s">
        <v>1685</v>
      </c>
      <c r="B3" s="156"/>
      <c r="C3" s="156"/>
      <c r="D3" s="157"/>
      <c r="I3" s="2009" t="s">
        <v>54</v>
      </c>
      <c r="J3" s="2008"/>
      <c r="K3" s="2008"/>
      <c r="L3" s="2008"/>
      <c r="M3" s="2008"/>
      <c r="N3" s="2008"/>
      <c r="O3" s="2008"/>
      <c r="P3" s="2008"/>
      <c r="Q3" s="2008"/>
      <c r="R3" s="2008"/>
      <c r="S3" s="2008"/>
    </row>
    <row r="4" spans="1:28" ht="12" customHeight="1" x14ac:dyDescent="0.2">
      <c r="A4" s="37"/>
      <c r="I4" s="2009" t="s">
        <v>545</v>
      </c>
      <c r="J4" s="2008"/>
      <c r="K4" s="2008"/>
      <c r="L4" s="2008"/>
      <c r="M4" s="2008"/>
      <c r="N4" s="2008"/>
      <c r="O4" s="2008"/>
      <c r="P4" s="2008"/>
      <c r="Q4" s="2008"/>
      <c r="R4" s="2008"/>
      <c r="S4" s="2008"/>
    </row>
    <row r="5" spans="1:28" ht="14.1" customHeight="1" x14ac:dyDescent="0.2">
      <c r="B5" s="104"/>
      <c r="C5" s="26" t="s">
        <v>966</v>
      </c>
      <c r="D5" s="84"/>
      <c r="E5" s="84"/>
      <c r="H5" s="38"/>
      <c r="I5" s="2017" t="s">
        <v>701</v>
      </c>
      <c r="J5" s="2016"/>
      <c r="K5" s="2016"/>
      <c r="L5" s="2016"/>
      <c r="M5" s="2016"/>
      <c r="N5" s="2016"/>
      <c r="O5" s="2016"/>
      <c r="P5" s="2016"/>
      <c r="Q5" s="2016"/>
      <c r="R5" s="2016"/>
      <c r="S5" s="2016"/>
    </row>
    <row r="6" spans="1:28" ht="14.1" customHeight="1" x14ac:dyDescent="0.2">
      <c r="B6" s="104" t="s">
        <v>2075</v>
      </c>
      <c r="C6" s="26" t="s">
        <v>967</v>
      </c>
      <c r="D6" s="84"/>
      <c r="E6" s="84"/>
      <c r="I6" s="2015" t="s">
        <v>938</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695</v>
      </c>
      <c r="J9" s="2013"/>
      <c r="K9" s="2013"/>
      <c r="L9" s="2013"/>
      <c r="M9" s="2013"/>
      <c r="N9" s="2013"/>
      <c r="O9" s="2013"/>
      <c r="P9" s="2013"/>
      <c r="Q9" s="2013"/>
      <c r="R9" s="2013"/>
      <c r="S9" s="2014"/>
      <c r="T9" s="2028" t="s">
        <v>554</v>
      </c>
      <c r="U9" s="2029"/>
      <c r="V9" s="2029"/>
      <c r="W9" s="2029"/>
      <c r="X9" s="2029"/>
      <c r="Y9" s="2029"/>
      <c r="Z9" s="2029"/>
      <c r="AA9" s="2030"/>
    </row>
    <row r="10" spans="1:28" ht="13.5" customHeight="1" x14ac:dyDescent="0.2">
      <c r="A10" s="2035" t="s">
        <v>696</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1012</v>
      </c>
      <c r="B11" s="2039"/>
      <c r="C11" s="2039"/>
      <c r="D11" s="2039"/>
      <c r="E11" s="2039"/>
      <c r="F11" s="2039"/>
      <c r="G11" s="2039"/>
      <c r="H11" s="2040"/>
      <c r="I11" s="27"/>
      <c r="J11" s="74"/>
      <c r="K11" s="27"/>
      <c r="O11" s="148"/>
      <c r="P11" s="100" t="s">
        <v>210</v>
      </c>
      <c r="Q11" s="30"/>
      <c r="R11" s="28"/>
      <c r="S11" s="27"/>
      <c r="T11" s="2032"/>
      <c r="U11" s="2033"/>
      <c r="V11" s="2033"/>
      <c r="W11" s="2033"/>
      <c r="X11" s="2033"/>
      <c r="Y11" s="2033"/>
      <c r="Z11" s="2033"/>
      <c r="AA11" s="2034"/>
    </row>
    <row r="12" spans="1:28" ht="13.5" customHeight="1" x14ac:dyDescent="0.2">
      <c r="A12" s="85" t="s">
        <v>982</v>
      </c>
      <c r="B12" s="76"/>
      <c r="C12" s="76"/>
      <c r="D12" s="76"/>
      <c r="E12" s="76"/>
      <c r="F12" s="76"/>
      <c r="G12" s="76"/>
      <c r="H12" s="53"/>
      <c r="I12" s="29"/>
      <c r="J12" s="30"/>
      <c r="K12" s="28"/>
      <c r="O12" s="149" t="s">
        <v>2075</v>
      </c>
      <c r="P12" s="100" t="s">
        <v>211</v>
      </c>
      <c r="Q12" s="74"/>
      <c r="R12" s="30"/>
      <c r="S12" s="30"/>
      <c r="T12" s="85" t="s">
        <v>283</v>
      </c>
      <c r="U12" s="51"/>
      <c r="V12" s="51"/>
      <c r="W12" s="51"/>
      <c r="X12" s="51"/>
      <c r="Y12" s="45"/>
      <c r="Z12" s="45"/>
      <c r="AA12" s="46"/>
    </row>
    <row r="13" spans="1:28" ht="13.5" customHeight="1" x14ac:dyDescent="0.2">
      <c r="A13" s="2042">
        <v>50082801060</v>
      </c>
      <c r="B13" s="2043"/>
      <c r="C13" s="2043"/>
      <c r="D13" s="2043"/>
      <c r="E13" s="2043"/>
      <c r="F13" s="2043"/>
      <c r="G13" s="2043"/>
      <c r="H13" s="2044"/>
      <c r="I13" s="31"/>
      <c r="J13" s="30"/>
      <c r="K13" s="28"/>
      <c r="L13" s="30"/>
      <c r="M13" s="30"/>
      <c r="N13" s="30"/>
      <c r="O13" s="30"/>
      <c r="P13" s="30"/>
      <c r="Q13" s="30"/>
      <c r="R13" s="30"/>
      <c r="S13" s="30"/>
      <c r="T13" s="2047" t="s">
        <v>2081</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1" t="s">
        <v>2076</v>
      </c>
      <c r="B15" s="2045"/>
      <c r="C15" s="2045"/>
      <c r="D15" s="2045"/>
      <c r="E15" s="2045"/>
      <c r="F15" s="2045"/>
      <c r="G15" s="2045"/>
      <c r="H15" s="2046"/>
      <c r="T15" s="2051" t="s">
        <v>2082</v>
      </c>
      <c r="U15" s="1995"/>
      <c r="V15" s="1995"/>
      <c r="W15" s="1995"/>
      <c r="X15" s="1995"/>
      <c r="Y15" s="2052"/>
      <c r="Z15" s="2052"/>
      <c r="AA15" s="205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1" t="s">
        <v>2213</v>
      </c>
      <c r="B17" s="2002"/>
      <c r="C17" s="2002"/>
      <c r="D17" s="2002"/>
      <c r="E17" s="2002"/>
      <c r="F17" s="2002"/>
      <c r="G17" s="2002"/>
      <c r="H17" s="2027"/>
      <c r="T17" s="2058" t="s">
        <v>2083</v>
      </c>
      <c r="U17" s="2059"/>
      <c r="V17" s="2059"/>
      <c r="W17" s="2059"/>
      <c r="X17" s="2059"/>
      <c r="Y17" s="2059"/>
      <c r="Z17" s="2059"/>
      <c r="AA17" s="2060"/>
    </row>
    <row r="18" spans="1:27" ht="13.5" customHeight="1" x14ac:dyDescent="0.2">
      <c r="A18" s="85" t="s">
        <v>551</v>
      </c>
      <c r="B18" s="76"/>
      <c r="C18" s="72"/>
      <c r="D18" s="76"/>
      <c r="E18" s="76"/>
      <c r="F18" s="76"/>
      <c r="G18" s="76"/>
      <c r="H18" s="56"/>
      <c r="I18" s="2026" t="s">
        <v>697</v>
      </c>
      <c r="J18" s="1977"/>
      <c r="K18" s="1977"/>
      <c r="L18" s="1977"/>
      <c r="M18" s="1977"/>
      <c r="N18" s="1977"/>
      <c r="O18" s="1977"/>
      <c r="P18" s="1977"/>
      <c r="Q18" s="1977"/>
      <c r="R18" s="1977"/>
      <c r="S18" s="1978"/>
      <c r="T18" s="85" t="s">
        <v>735</v>
      </c>
      <c r="U18" s="51"/>
      <c r="V18" s="72"/>
      <c r="W18" s="50"/>
      <c r="X18" s="85" t="s">
        <v>284</v>
      </c>
      <c r="Y18" s="81"/>
      <c r="Z18" s="159" t="s">
        <v>698</v>
      </c>
      <c r="AA18" s="46"/>
    </row>
    <row r="19" spans="1:27" ht="13.5" customHeight="1" x14ac:dyDescent="0.2">
      <c r="A19" s="2041" t="s">
        <v>2077</v>
      </c>
      <c r="B19" s="1987"/>
      <c r="C19" s="1987"/>
      <c r="D19" s="1987"/>
      <c r="E19" s="1987"/>
      <c r="F19" s="1987"/>
      <c r="G19" s="1987"/>
      <c r="H19" s="1967"/>
      <c r="I19" s="30"/>
      <c r="J19" s="99"/>
      <c r="K19" s="40"/>
      <c r="L19" s="38"/>
      <c r="M19" s="112" t="s">
        <v>333</v>
      </c>
      <c r="P19" s="27"/>
      <c r="Q19" s="27"/>
      <c r="R19" s="27"/>
      <c r="S19" s="31"/>
      <c r="T19" s="2041" t="s">
        <v>2084</v>
      </c>
      <c r="U19" s="1966"/>
      <c r="V19" s="1966"/>
      <c r="W19" s="1967"/>
      <c r="X19" s="2056" t="s">
        <v>2085</v>
      </c>
      <c r="Y19" s="2057"/>
      <c r="Z19" s="2054">
        <v>62220</v>
      </c>
      <c r="AA19" s="205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5" t="s">
        <v>2078</v>
      </c>
      <c r="B21" s="1966"/>
      <c r="C21" s="1966"/>
      <c r="D21" s="1966"/>
      <c r="E21" s="1966"/>
      <c r="F21" s="1966"/>
      <c r="G21" s="1966"/>
      <c r="H21" s="1967"/>
      <c r="I21" s="2021" t="s">
        <v>699</v>
      </c>
      <c r="J21" s="2016"/>
      <c r="K21" s="2016"/>
      <c r="L21" s="2016"/>
      <c r="M21" s="2016"/>
      <c r="N21" s="2016"/>
      <c r="O21" s="2016"/>
      <c r="P21" s="2016"/>
      <c r="Q21" s="2016"/>
      <c r="R21" s="2016"/>
      <c r="S21" s="2022"/>
      <c r="T21" s="2065" t="s">
        <v>2086</v>
      </c>
      <c r="U21" s="2066"/>
      <c r="V21" s="2066"/>
      <c r="W21" s="2066"/>
      <c r="X21" s="2071" t="s">
        <v>2087</v>
      </c>
      <c r="Y21" s="2072"/>
      <c r="Z21" s="2072"/>
      <c r="AA21" s="2073"/>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8" t="s">
        <v>2079</v>
      </c>
      <c r="B23" s="2019"/>
      <c r="C23" s="2019"/>
      <c r="D23" s="2019"/>
      <c r="E23" s="2019"/>
      <c r="F23" s="2019"/>
      <c r="G23" s="2019"/>
      <c r="H23" s="2020"/>
      <c r="T23" s="2001" t="s">
        <v>2194</v>
      </c>
      <c r="U23" s="2064"/>
      <c r="V23" s="2064"/>
      <c r="W23" s="2064"/>
      <c r="X23" s="2068">
        <v>44469</v>
      </c>
      <c r="Y23" s="2069"/>
      <c r="Z23" s="2069"/>
      <c r="AA23" s="2070"/>
    </row>
    <row r="24" spans="1:27" ht="14.1" customHeight="1" x14ac:dyDescent="0.2">
      <c r="A24" s="88" t="s">
        <v>698</v>
      </c>
      <c r="B24" s="49"/>
      <c r="C24" s="49"/>
      <c r="D24" s="49"/>
      <c r="E24" s="49"/>
      <c r="F24" s="49"/>
      <c r="G24" s="49"/>
      <c r="H24" s="61"/>
      <c r="J24" s="1988" t="str">
        <f>IF(B5="x",IF(AUDITCHECK!D29="AFR form Incomplete.","",IF(AUDITCHECK!D29="Deficit reduction plan is required.","School District must complete a deficit reduction plan in the 2018-2019 Budget",)),"")</f>
        <v/>
      </c>
      <c r="K24" s="1988"/>
      <c r="L24" s="1988"/>
      <c r="M24" s="1988"/>
      <c r="N24" s="1988"/>
      <c r="O24" s="1988"/>
      <c r="P24" s="1988"/>
      <c r="Q24" s="1988"/>
      <c r="R24" s="1988"/>
      <c r="S24" s="1989"/>
      <c r="T24" s="105" t="s">
        <v>552</v>
      </c>
      <c r="U24" s="106"/>
      <c r="V24" s="106"/>
      <c r="W24" s="106"/>
      <c r="X24" s="107"/>
      <c r="Y24" s="107"/>
      <c r="Z24" s="107"/>
      <c r="AA24" s="108"/>
    </row>
    <row r="25" spans="1:27" ht="14.1" customHeight="1" x14ac:dyDescent="0.2">
      <c r="A25" s="1965">
        <v>62221</v>
      </c>
      <c r="B25" s="1966"/>
      <c r="C25" s="1966"/>
      <c r="D25" s="1966"/>
      <c r="E25" s="1966"/>
      <c r="F25" s="1966"/>
      <c r="G25" s="1966"/>
      <c r="H25" s="1967"/>
      <c r="I25" s="113"/>
      <c r="J25" s="1990"/>
      <c r="K25" s="1990"/>
      <c r="L25" s="1990"/>
      <c r="M25" s="1990"/>
      <c r="N25" s="1990"/>
      <c r="O25" s="1990"/>
      <c r="P25" s="1990"/>
      <c r="Q25" s="1990"/>
      <c r="R25" s="1990"/>
      <c r="S25" s="1991"/>
      <c r="T25" s="2061" t="s">
        <v>2193</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6" t="s">
        <v>1591</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2075</v>
      </c>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2075</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1" t="s">
        <v>2080</v>
      </c>
      <c r="B38" s="2002"/>
      <c r="C38" s="2002"/>
      <c r="D38" s="2002"/>
      <c r="E38" s="2002"/>
      <c r="F38" s="1966"/>
      <c r="G38" s="1966"/>
      <c r="H38" s="1967"/>
      <c r="I38" s="1994"/>
      <c r="J38" s="1995"/>
      <c r="K38" s="1995"/>
      <c r="L38" s="1995"/>
      <c r="M38" s="1995"/>
      <c r="N38" s="1995"/>
      <c r="O38" s="1995"/>
      <c r="P38" s="1996"/>
      <c r="Q38" s="1996"/>
      <c r="R38" s="1996"/>
      <c r="S38" s="1997"/>
      <c r="T38" s="2051"/>
      <c r="U38" s="1995"/>
      <c r="V38" s="1995"/>
      <c r="W38" s="1995"/>
      <c r="X38" s="1996"/>
      <c r="Y38" s="1996"/>
      <c r="Z38" s="1996"/>
      <c r="AA38" s="1997"/>
    </row>
    <row r="39" spans="1:27" ht="12" customHeight="1" x14ac:dyDescent="0.2">
      <c r="A39" s="1971" t="s">
        <v>552</v>
      </c>
      <c r="B39" s="1972"/>
      <c r="C39" s="72"/>
      <c r="D39" s="69"/>
      <c r="E39" s="69"/>
      <c r="F39" s="79"/>
      <c r="G39" s="69"/>
      <c r="H39" s="56"/>
      <c r="I39" s="1971" t="s">
        <v>552</v>
      </c>
      <c r="J39" s="1972"/>
      <c r="K39" s="1972"/>
      <c r="L39" s="1972"/>
      <c r="M39" s="1972"/>
      <c r="N39" s="67"/>
      <c r="O39" s="72"/>
      <c r="P39" s="72"/>
      <c r="Q39" s="78"/>
      <c r="R39" s="72"/>
      <c r="S39" s="56"/>
      <c r="T39" s="72" t="s">
        <v>552</v>
      </c>
      <c r="U39" s="51"/>
      <c r="V39" s="72"/>
      <c r="W39" s="50"/>
      <c r="X39" s="78"/>
      <c r="Y39" s="45"/>
      <c r="Z39" s="45"/>
      <c r="AA39" s="46"/>
    </row>
    <row r="40" spans="1:27" ht="13.5" customHeight="1" x14ac:dyDescent="0.2">
      <c r="A40" s="1979" t="s">
        <v>2079</v>
      </c>
      <c r="B40" s="1980"/>
      <c r="C40" s="1981"/>
      <c r="D40" s="1981"/>
      <c r="E40" s="1981"/>
      <c r="F40" s="1982"/>
      <c r="G40" s="1982"/>
      <c r="H40" s="1983"/>
      <c r="I40" s="2004"/>
      <c r="J40" s="2005"/>
      <c r="K40" s="2005"/>
      <c r="L40" s="2005"/>
      <c r="M40" s="2005"/>
      <c r="N40" s="2005"/>
      <c r="O40" s="2005"/>
      <c r="P40" s="2005"/>
      <c r="Q40" s="2005"/>
      <c r="R40" s="2005"/>
      <c r="S40" s="2006"/>
      <c r="T40" s="2004"/>
      <c r="U40" s="2067"/>
      <c r="V40" s="2005"/>
      <c r="W40" s="2005"/>
      <c r="X40" s="2005"/>
      <c r="Y40" s="2005"/>
      <c r="Z40" s="2005"/>
      <c r="AA40" s="200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3" t="s">
        <v>2191</v>
      </c>
      <c r="B42" s="1985"/>
      <c r="C42" s="1986"/>
      <c r="D42" s="1984" t="s">
        <v>2192</v>
      </c>
      <c r="E42" s="1985"/>
      <c r="F42" s="1985"/>
      <c r="G42" s="1985"/>
      <c r="H42" s="1986"/>
      <c r="I42" s="1968"/>
      <c r="J42" s="1969"/>
      <c r="K42" s="1969"/>
      <c r="L42" s="1969"/>
      <c r="M42" s="1969"/>
      <c r="N42" s="1969"/>
      <c r="O42" s="1970"/>
      <c r="P42" s="2003"/>
      <c r="Q42" s="1969"/>
      <c r="R42" s="1969"/>
      <c r="S42" s="1970"/>
      <c r="T42" s="1968"/>
      <c r="U42" s="1969"/>
      <c r="V42" s="1969"/>
      <c r="W42" s="1970"/>
      <c r="X42" s="2003"/>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3" sqref="A23:H2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7" t="s">
        <v>1903</v>
      </c>
      <c r="B2" s="1550" t="s">
        <v>2033</v>
      </c>
      <c r="C2" s="715" t="s">
        <v>1908</v>
      </c>
      <c r="D2" s="715" t="s">
        <v>1909</v>
      </c>
      <c r="E2" s="715" t="s">
        <v>1910</v>
      </c>
      <c r="F2" s="715" t="s">
        <v>1911</v>
      </c>
    </row>
    <row r="3" spans="1:6" ht="12" customHeight="1" x14ac:dyDescent="0.2">
      <c r="A3" s="2208"/>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1" colorId="8" zoomScale="110" zoomScaleNormal="110" workbookViewId="0">
      <selection activeCell="A23" sqref="A23:H2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27"/>
      <c r="C1" s="722"/>
    </row>
    <row r="2" spans="1:7" ht="33.75" x14ac:dyDescent="0.2">
      <c r="A2" s="2234" t="s">
        <v>1903</v>
      </c>
      <c r="B2" s="2235"/>
      <c r="C2" s="1909" t="s">
        <v>2034</v>
      </c>
      <c r="D2" s="724" t="s">
        <v>2041</v>
      </c>
      <c r="E2" s="724" t="s">
        <v>2042</v>
      </c>
      <c r="F2" s="1909" t="s">
        <v>2035</v>
      </c>
    </row>
    <row r="3" spans="1:7" ht="15.75" customHeight="1" x14ac:dyDescent="0.2">
      <c r="A3" s="2236" t="s">
        <v>1176</v>
      </c>
      <c r="B3" s="2237"/>
      <c r="C3" s="2230"/>
      <c r="D3" s="2231"/>
      <c r="E3" s="2231"/>
      <c r="F3" s="2232"/>
    </row>
    <row r="4" spans="1:7" ht="12.75" customHeight="1" thickBot="1" x14ac:dyDescent="0.25">
      <c r="A4" s="2224" t="s">
        <v>651</v>
      </c>
      <c r="B4" s="2225"/>
      <c r="C4" s="581"/>
      <c r="D4" s="581"/>
      <c r="E4" s="581"/>
      <c r="F4" s="1777">
        <f>SUM(C4+D4)-E4</f>
        <v>0</v>
      </c>
    </row>
    <row r="5" spans="1:7" ht="15.75" customHeight="1" thickTop="1" x14ac:dyDescent="0.2">
      <c r="A5" s="2228" t="s">
        <v>1172</v>
      </c>
      <c r="B5" s="2223"/>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0" t="s">
        <v>652</v>
      </c>
      <c r="B15" s="2221"/>
      <c r="C15" s="1777">
        <f>SUM(C6:C14)</f>
        <v>0</v>
      </c>
      <c r="D15" s="1777">
        <f>SUM(D6:D14)</f>
        <v>0</v>
      </c>
      <c r="E15" s="1777">
        <f>SUM(E6:E14)</f>
        <v>0</v>
      </c>
      <c r="F15" s="1777">
        <f>SUM(F6:F14)</f>
        <v>0</v>
      </c>
      <c r="G15" s="552"/>
    </row>
    <row r="16" spans="1:7" s="202" customFormat="1" ht="15.75" customHeight="1" thickTop="1" x14ac:dyDescent="0.2">
      <c r="A16" s="2233" t="s">
        <v>1173</v>
      </c>
      <c r="B16" s="2223"/>
      <c r="C16" s="2217"/>
      <c r="D16" s="2218"/>
      <c r="E16" s="2218"/>
      <c r="F16" s="2219"/>
    </row>
    <row r="17" spans="1:11" ht="12.75" customHeight="1" thickBot="1" x14ac:dyDescent="0.25">
      <c r="A17" s="2215" t="s">
        <v>66</v>
      </c>
      <c r="B17" s="2216"/>
      <c r="C17" s="727"/>
      <c r="D17" s="585"/>
      <c r="E17" s="727"/>
      <c r="F17" s="1777">
        <f>SUM(C17+D17)-E17</f>
        <v>0</v>
      </c>
    </row>
    <row r="18" spans="1:11" ht="12.75" customHeight="1" thickTop="1" thickBot="1" x14ac:dyDescent="0.25">
      <c r="A18" s="2215" t="s">
        <v>6</v>
      </c>
      <c r="B18" s="2216"/>
      <c r="C18" s="727"/>
      <c r="D18" s="585"/>
      <c r="E18" s="727"/>
      <c r="F18" s="1777">
        <f>SUM(C18+D18)-E18</f>
        <v>0</v>
      </c>
    </row>
    <row r="19" spans="1:11" ht="12.75" customHeight="1" thickTop="1" thickBot="1" x14ac:dyDescent="0.25">
      <c r="A19" s="2215" t="s">
        <v>406</v>
      </c>
      <c r="B19" s="2216"/>
      <c r="C19" s="727"/>
      <c r="D19" s="585"/>
      <c r="E19" s="727"/>
      <c r="F19" s="1777">
        <f>SUM(C19+D19)-E19</f>
        <v>0</v>
      </c>
    </row>
    <row r="20" spans="1:11" ht="12.75" customHeight="1" thickTop="1" thickBot="1" x14ac:dyDescent="0.25">
      <c r="A20" s="2215" t="s">
        <v>468</v>
      </c>
      <c r="B20" s="2216"/>
      <c r="C20" s="727"/>
      <c r="D20" s="585"/>
      <c r="E20" s="727"/>
      <c r="F20" s="1777">
        <f>SUM(C20+D20)-E20</f>
        <v>0</v>
      </c>
    </row>
    <row r="21" spans="1:11" ht="14.25" thickTop="1" thickBot="1" x14ac:dyDescent="0.25">
      <c r="A21" s="2220" t="s">
        <v>653</v>
      </c>
      <c r="B21" s="2221"/>
      <c r="C21" s="1777">
        <f>SUM(C17:C20)</f>
        <v>0</v>
      </c>
      <c r="D21" s="1777">
        <f>SUM(D17:D20)</f>
        <v>0</v>
      </c>
      <c r="E21" s="1777">
        <f>SUM(E17:E20)</f>
        <v>0</v>
      </c>
      <c r="F21" s="1777">
        <f>SUM(F17:F20)</f>
        <v>0</v>
      </c>
      <c r="G21" s="552"/>
    </row>
    <row r="22" spans="1:11" ht="15.75" customHeight="1" thickTop="1" x14ac:dyDescent="0.2">
      <c r="A22" s="2222" t="s">
        <v>1174</v>
      </c>
      <c r="B22" s="2223"/>
      <c r="C22" s="2217"/>
      <c r="D22" s="2218"/>
      <c r="E22" s="2218"/>
      <c r="F22" s="2219"/>
    </row>
    <row r="23" spans="1:11" ht="13.5" thickBot="1" x14ac:dyDescent="0.25">
      <c r="A23" s="2224" t="s">
        <v>654</v>
      </c>
      <c r="B23" s="2225"/>
      <c r="C23" s="581"/>
      <c r="D23" s="581"/>
      <c r="E23" s="581"/>
      <c r="F23" s="1777">
        <f>SUM(C23+D23)-E23</f>
        <v>0</v>
      </c>
      <c r="G23" s="552"/>
    </row>
    <row r="24" spans="1:11" ht="15.75" customHeight="1" thickTop="1" x14ac:dyDescent="0.2">
      <c r="A24" s="2222" t="s">
        <v>1175</v>
      </c>
      <c r="B24" s="2223"/>
      <c r="C24" s="2217"/>
      <c r="D24" s="2218"/>
      <c r="E24" s="2218"/>
      <c r="F24" s="2219"/>
    </row>
    <row r="25" spans="1:11" ht="13.5" thickBot="1" x14ac:dyDescent="0.25">
      <c r="A25" s="2224" t="s">
        <v>655</v>
      </c>
      <c r="B25" s="2225"/>
      <c r="C25" s="581"/>
      <c r="D25" s="581"/>
      <c r="E25" s="581"/>
      <c r="F25" s="1777">
        <f>SUM(C25+D25)-E25</f>
        <v>0</v>
      </c>
      <c r="G25" s="552"/>
    </row>
    <row r="26" spans="1:11" ht="15.75" customHeight="1" thickTop="1" x14ac:dyDescent="0.2">
      <c r="A26" s="2228" t="s">
        <v>678</v>
      </c>
      <c r="B26" s="2223"/>
      <c r="C26" s="728"/>
      <c r="D26" s="728"/>
      <c r="E26" s="728"/>
      <c r="F26" s="729"/>
    </row>
    <row r="27" spans="1:11" ht="13.5" thickBot="1" x14ac:dyDescent="0.25">
      <c r="A27" s="2220" t="s">
        <v>1130</v>
      </c>
      <c r="B27" s="2221"/>
      <c r="C27" s="585">
        <v>28423</v>
      </c>
      <c r="D27" s="585"/>
      <c r="E27" s="585">
        <v>7093</v>
      </c>
      <c r="F27" s="1777">
        <f>SUM(C27+D27)-E27</f>
        <v>21330</v>
      </c>
      <c r="G27" s="552"/>
    </row>
    <row r="28" spans="1:11" ht="7.5" customHeight="1" thickTop="1" x14ac:dyDescent="0.2">
      <c r="A28" s="594"/>
    </row>
    <row r="29" spans="1:11" ht="23.25" customHeight="1" x14ac:dyDescent="0.2">
      <c r="A29" s="2226" t="s">
        <v>603</v>
      </c>
      <c r="B29" s="2227"/>
      <c r="C29" s="730"/>
      <c r="D29" s="730"/>
      <c r="E29" s="730"/>
      <c r="F29" s="730"/>
      <c r="G29" s="730"/>
      <c r="H29" s="730"/>
      <c r="I29" s="730"/>
      <c r="J29" s="730"/>
    </row>
    <row r="30" spans="1:11" ht="33.75" x14ac:dyDescent="0.2">
      <c r="A30" s="1551" t="s">
        <v>1131</v>
      </c>
      <c r="B30" s="731" t="s">
        <v>1186</v>
      </c>
      <c r="C30" s="1910" t="s">
        <v>604</v>
      </c>
      <c r="D30" s="1910" t="s">
        <v>1772</v>
      </c>
      <c r="E30" s="1910" t="s">
        <v>2036</v>
      </c>
      <c r="F30" s="1910" t="s">
        <v>2037</v>
      </c>
      <c r="G30" s="1910" t="s">
        <v>2040</v>
      </c>
      <c r="H30" s="1910" t="s">
        <v>2038</v>
      </c>
      <c r="I30" s="1910" t="s">
        <v>2039</v>
      </c>
      <c r="J30" s="1911" t="s">
        <v>2</v>
      </c>
      <c r="K30" s="732"/>
    </row>
    <row r="31" spans="1:11" ht="12" customHeight="1" x14ac:dyDescent="0.2">
      <c r="A31" s="733" t="s">
        <v>2088</v>
      </c>
      <c r="B31" s="734">
        <v>41557</v>
      </c>
      <c r="C31" s="735">
        <v>3</v>
      </c>
      <c r="D31" s="736">
        <v>2155000</v>
      </c>
      <c r="E31" s="735">
        <v>1580000</v>
      </c>
      <c r="F31" s="735"/>
      <c r="G31" s="735"/>
      <c r="H31" s="735">
        <v>300000</v>
      </c>
      <c r="I31" s="1778">
        <f>((E31+F31)-H31)+G31</f>
        <v>1280000</v>
      </c>
      <c r="J31" s="735">
        <f>1280000-53496</f>
        <v>1226504</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v>
      </c>
      <c r="D49" s="746"/>
      <c r="E49" s="1778">
        <f t="shared" ref="E49:J49" si="2">SUM(E31:E48)</f>
        <v>1580000</v>
      </c>
      <c r="F49" s="1778">
        <f t="shared" si="2"/>
        <v>0</v>
      </c>
      <c r="G49" s="1778">
        <f t="shared" si="2"/>
        <v>0</v>
      </c>
      <c r="H49" s="1778">
        <f t="shared" si="2"/>
        <v>300000</v>
      </c>
      <c r="I49" s="1778">
        <f t="shared" si="2"/>
        <v>1280000</v>
      </c>
      <c r="J49" s="1778">
        <f t="shared" si="2"/>
        <v>1226504</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09" t="s">
        <v>605</v>
      </c>
      <c r="C52" s="2210"/>
      <c r="D52" s="2210"/>
      <c r="E52" s="750" t="s">
        <v>900</v>
      </c>
      <c r="F52" s="2211"/>
      <c r="G52" s="2212"/>
      <c r="H52" s="737"/>
      <c r="I52" s="737"/>
      <c r="J52" s="747"/>
    </row>
    <row r="53" spans="1:11" ht="11.25" customHeight="1" x14ac:dyDescent="0.2">
      <c r="A53" s="751" t="s">
        <v>969</v>
      </c>
      <c r="B53" s="752" t="s">
        <v>1008</v>
      </c>
      <c r="C53" s="747"/>
      <c r="D53" s="738"/>
      <c r="E53" s="750" t="s">
        <v>518</v>
      </c>
      <c r="F53" s="2213"/>
      <c r="G53" s="2214"/>
      <c r="H53" s="737"/>
      <c r="I53" s="737"/>
      <c r="J53" s="747"/>
    </row>
    <row r="54" spans="1:11" ht="11.25" customHeight="1" x14ac:dyDescent="0.2">
      <c r="A54" s="753" t="s">
        <v>970</v>
      </c>
      <c r="B54" s="748" t="s">
        <v>1009</v>
      </c>
      <c r="C54" s="747"/>
      <c r="D54" s="738"/>
      <c r="E54" s="750" t="s">
        <v>519</v>
      </c>
      <c r="F54" s="2213"/>
      <c r="G54" s="221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23" sqref="A23:H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911</v>
      </c>
      <c r="B1" s="2239"/>
      <c r="C1" s="2239"/>
      <c r="D1" s="2239"/>
      <c r="E1" s="2239"/>
      <c r="F1" s="2239"/>
      <c r="G1" s="2240"/>
      <c r="H1" s="1552"/>
      <c r="I1" s="761"/>
      <c r="J1" s="433"/>
    </row>
    <row r="2" spans="1:11" ht="26.25" x14ac:dyDescent="0.2">
      <c r="A2" s="2257" t="s">
        <v>1776</v>
      </c>
      <c r="B2" s="2258"/>
      <c r="C2" s="2258"/>
      <c r="D2" s="2258"/>
      <c r="E2" s="2259"/>
      <c r="F2" s="762" t="s">
        <v>960</v>
      </c>
      <c r="G2" s="763" t="s">
        <v>1773</v>
      </c>
      <c r="H2" s="763" t="s">
        <v>430</v>
      </c>
      <c r="I2" s="763" t="s">
        <v>1220</v>
      </c>
      <c r="J2" s="763" t="s">
        <v>1917</v>
      </c>
      <c r="K2" s="763" t="s">
        <v>140</v>
      </c>
    </row>
    <row r="3" spans="1:11" x14ac:dyDescent="0.2">
      <c r="A3" s="2260" t="s">
        <v>1698</v>
      </c>
      <c r="B3" s="2261"/>
      <c r="C3" s="2261"/>
      <c r="D3" s="2261"/>
      <c r="E3" s="2262"/>
      <c r="F3" s="764"/>
      <c r="G3" s="765"/>
      <c r="H3" s="765"/>
      <c r="I3" s="765"/>
      <c r="J3" s="766"/>
      <c r="K3" s="766"/>
    </row>
    <row r="4" spans="1:11" x14ac:dyDescent="0.2">
      <c r="A4" s="2263" t="s">
        <v>387</v>
      </c>
      <c r="B4" s="2264"/>
      <c r="C4" s="2264"/>
      <c r="D4" s="2264"/>
      <c r="E4" s="2210"/>
      <c r="F4" s="767"/>
      <c r="G4" s="768"/>
      <c r="H4" s="769"/>
      <c r="I4" s="768"/>
      <c r="J4" s="770"/>
      <c r="K4" s="770"/>
    </row>
    <row r="5" spans="1:11" x14ac:dyDescent="0.2">
      <c r="A5" s="2241" t="s">
        <v>1129</v>
      </c>
      <c r="B5" s="2242"/>
      <c r="C5" s="2242"/>
      <c r="D5" s="2242"/>
      <c r="E5" s="2243"/>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1" t="s">
        <v>1918</v>
      </c>
      <c r="B10" s="2242"/>
      <c r="C10" s="2242"/>
      <c r="D10" s="2242"/>
      <c r="E10" s="2244"/>
      <c r="F10" s="784" t="s">
        <v>917</v>
      </c>
      <c r="G10" s="783"/>
      <c r="H10" s="785"/>
      <c r="I10" s="765"/>
      <c r="J10" s="766"/>
      <c r="K10" s="766"/>
    </row>
    <row r="11" spans="1:11" x14ac:dyDescent="0.2">
      <c r="A11" s="2241" t="s">
        <v>162</v>
      </c>
      <c r="B11" s="2242"/>
      <c r="C11" s="2242"/>
      <c r="D11" s="2242"/>
      <c r="E11" s="2243"/>
      <c r="F11" s="771" t="s">
        <v>907</v>
      </c>
      <c r="G11" s="772"/>
      <c r="H11" s="765"/>
      <c r="I11" s="765"/>
      <c r="J11" s="766"/>
      <c r="K11" s="774"/>
    </row>
    <row r="12" spans="1:11" ht="13.5" thickBot="1" x14ac:dyDescent="0.25">
      <c r="A12" s="2268" t="s">
        <v>961</v>
      </c>
      <c r="B12" s="2269"/>
      <c r="C12" s="2269"/>
      <c r="D12" s="2269"/>
      <c r="E12" s="2270"/>
      <c r="F12" s="1779"/>
      <c r="G12" s="1780">
        <f>SUM(G5:G11)</f>
        <v>0</v>
      </c>
      <c r="H12" s="1780">
        <f>SUM(H5:H11)</f>
        <v>0</v>
      </c>
      <c r="I12" s="1780">
        <f>SUM(I5:I11)</f>
        <v>0</v>
      </c>
      <c r="J12" s="1780">
        <f>SUM(J5:J11)</f>
        <v>0</v>
      </c>
      <c r="K12" s="1780">
        <f>SUM(K5:K11)</f>
        <v>0</v>
      </c>
    </row>
    <row r="13" spans="1:11" ht="13.5" thickTop="1" x14ac:dyDescent="0.2">
      <c r="A13" s="2265" t="s">
        <v>388</v>
      </c>
      <c r="B13" s="2266"/>
      <c r="C13" s="2266"/>
      <c r="D13" s="2266"/>
      <c r="E13" s="2267"/>
      <c r="F13" s="786"/>
      <c r="G13" s="787"/>
      <c r="H13" s="788"/>
      <c r="I13" s="789"/>
      <c r="J13" s="789"/>
      <c r="K13" s="789"/>
    </row>
    <row r="14" spans="1:11" x14ac:dyDescent="0.2">
      <c r="A14" s="2248" t="s">
        <v>476</v>
      </c>
      <c r="B14" s="2248"/>
      <c r="C14" s="2248"/>
      <c r="D14" s="2248"/>
      <c r="E14" s="2249"/>
      <c r="F14" s="790" t="s">
        <v>909</v>
      </c>
      <c r="G14" s="783"/>
      <c r="H14" s="765"/>
      <c r="I14" s="772"/>
      <c r="J14" s="774"/>
      <c r="K14" s="766"/>
    </row>
    <row r="15" spans="1:11" x14ac:dyDescent="0.2">
      <c r="A15" s="2242" t="s">
        <v>4</v>
      </c>
      <c r="B15" s="2242"/>
      <c r="C15" s="2242"/>
      <c r="D15" s="2242"/>
      <c r="E15" s="2243"/>
      <c r="F15" s="790" t="s">
        <v>910</v>
      </c>
      <c r="G15" s="772"/>
      <c r="H15" s="765"/>
      <c r="I15" s="765"/>
      <c r="J15" s="766"/>
      <c r="K15" s="766"/>
    </row>
    <row r="16" spans="1:11" x14ac:dyDescent="0.2">
      <c r="A16" s="2242" t="s">
        <v>316</v>
      </c>
      <c r="B16" s="2242"/>
      <c r="C16" s="2242"/>
      <c r="D16" s="2242"/>
      <c r="E16" s="2243"/>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50" t="s">
        <v>1914</v>
      </c>
      <c r="B19" s="2250"/>
      <c r="C19" s="2250"/>
      <c r="D19" s="2250"/>
      <c r="E19" s="2251"/>
      <c r="F19" s="790" t="s">
        <v>990</v>
      </c>
      <c r="G19" s="783"/>
      <c r="H19" s="783"/>
      <c r="I19" s="783"/>
      <c r="J19" s="766"/>
      <c r="K19" s="796"/>
    </row>
    <row r="20" spans="1:11" x14ac:dyDescent="0.2">
      <c r="A20" s="2252" t="s">
        <v>1919</v>
      </c>
      <c r="B20" s="2253"/>
      <c r="C20" s="2253"/>
      <c r="D20" s="2253"/>
      <c r="E20" s="2254"/>
      <c r="F20" s="790" t="s">
        <v>991</v>
      </c>
      <c r="G20" s="783"/>
      <c r="H20" s="783"/>
      <c r="I20" s="783"/>
      <c r="J20" s="766"/>
      <c r="K20" s="796"/>
    </row>
    <row r="21" spans="1:11" ht="13.5" thickBot="1" x14ac:dyDescent="0.25">
      <c r="A21" s="2271" t="s">
        <v>659</v>
      </c>
      <c r="B21" s="2271"/>
      <c r="C21" s="2271"/>
      <c r="D21" s="2271"/>
      <c r="E21" s="2271"/>
      <c r="F21" s="1781"/>
      <c r="G21" s="793"/>
      <c r="H21" s="797"/>
      <c r="I21" s="797"/>
      <c r="J21" s="1782">
        <f>SUM(J18:J20)</f>
        <v>0</v>
      </c>
      <c r="K21" s="794"/>
    </row>
    <row r="22" spans="1:11" ht="13.5" thickTop="1" x14ac:dyDescent="0.2">
      <c r="A22" s="2242" t="s">
        <v>1920</v>
      </c>
      <c r="B22" s="2242"/>
      <c r="C22" s="2242"/>
      <c r="D22" s="2242"/>
      <c r="E22" s="2243"/>
      <c r="F22" s="790" t="s">
        <v>917</v>
      </c>
      <c r="G22" s="783"/>
      <c r="H22" s="765"/>
      <c r="I22" s="765"/>
      <c r="J22" s="798"/>
      <c r="K22" s="766"/>
    </row>
    <row r="23" spans="1:11" ht="13.5" thickBot="1" x14ac:dyDescent="0.25">
      <c r="A23" s="2272" t="s">
        <v>962</v>
      </c>
      <c r="B23" s="2271"/>
      <c r="C23" s="2271"/>
      <c r="D23" s="2271"/>
      <c r="E23" s="2271"/>
      <c r="F23" s="1783"/>
      <c r="G23" s="1780">
        <f>SUM(G14:G16,G21,G22)</f>
        <v>0</v>
      </c>
      <c r="H23" s="1780">
        <f>SUM(H14:H16,H21,H22)</f>
        <v>0</v>
      </c>
      <c r="I23" s="1780">
        <f>SUM(I14:I16,I21,I22)</f>
        <v>0</v>
      </c>
      <c r="J23" s="1780">
        <f>SUM(J14:J16,J21,J22)</f>
        <v>0</v>
      </c>
      <c r="K23" s="1780">
        <f>SUM(K14:K16,K21,K22)</f>
        <v>0</v>
      </c>
    </row>
    <row r="24" spans="1:11" ht="14.25" thickTop="1" thickBot="1" x14ac:dyDescent="0.25">
      <c r="A24" s="2272" t="s">
        <v>2022</v>
      </c>
      <c r="B24" s="2271"/>
      <c r="C24" s="2271"/>
      <c r="D24" s="2271"/>
      <c r="E24" s="227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2075</v>
      </c>
      <c r="E30" s="809" t="s">
        <v>792</v>
      </c>
      <c r="F30" s="202"/>
      <c r="G30" s="806"/>
    </row>
    <row r="31" spans="1:11" x14ac:dyDescent="0.2">
      <c r="A31" s="810"/>
      <c r="D31" s="237"/>
      <c r="E31" s="811" t="s">
        <v>793</v>
      </c>
      <c r="F31" s="812" t="s">
        <v>560</v>
      </c>
      <c r="G31" s="765"/>
      <c r="H31" s="2245"/>
      <c r="I31" s="2246"/>
      <c r="J31" s="2246"/>
      <c r="K31" s="2246"/>
    </row>
    <row r="32" spans="1:11" x14ac:dyDescent="0.2">
      <c r="A32" s="810"/>
      <c r="B32" s="237"/>
      <c r="C32" s="237"/>
      <c r="D32" s="237"/>
      <c r="E32" s="806"/>
      <c r="F32" s="812" t="s">
        <v>561</v>
      </c>
      <c r="G32" s="765"/>
      <c r="H32" s="2247"/>
      <c r="I32" s="2246"/>
      <c r="J32" s="2246"/>
      <c r="K32" s="2246"/>
    </row>
    <row r="33" spans="1:11" ht="1.5" customHeight="1" x14ac:dyDescent="0.2">
      <c r="A33" s="813" t="s">
        <v>1231</v>
      </c>
      <c r="B33" s="364"/>
      <c r="C33" s="364"/>
      <c r="D33" s="364"/>
      <c r="E33" s="364"/>
      <c r="F33" s="364"/>
      <c r="G33" s="814"/>
      <c r="H33" s="2247"/>
      <c r="I33" s="2246"/>
      <c r="J33" s="2246"/>
      <c r="K33" s="2246"/>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2" t="s">
        <v>562</v>
      </c>
      <c r="B41" s="2255"/>
      <c r="C41" s="2255"/>
      <c r="D41" s="2255"/>
      <c r="E41" s="2255"/>
      <c r="F41" s="225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23" sqref="A23:H2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2031</v>
      </c>
      <c r="B1" s="2278"/>
      <c r="C1" s="2279"/>
      <c r="D1" s="827"/>
      <c r="E1" s="828"/>
      <c r="F1" s="828"/>
      <c r="G1" s="829"/>
      <c r="H1" s="830"/>
      <c r="I1" s="831"/>
      <c r="J1" s="2275"/>
      <c r="K1" s="2276"/>
      <c r="L1" s="2276"/>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806287</v>
      </c>
      <c r="D5" s="842"/>
      <c r="E5" s="842"/>
      <c r="F5" s="1782">
        <f>(C5+D5)-E5</f>
        <v>806287</v>
      </c>
      <c r="G5" s="838"/>
      <c r="H5" s="843"/>
      <c r="I5" s="843"/>
      <c r="J5" s="843"/>
      <c r="K5" s="794"/>
      <c r="L5" s="1791">
        <f>F5-K5</f>
        <v>806287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7528302</v>
      </c>
      <c r="D8" s="845"/>
      <c r="E8" s="845"/>
      <c r="F8" s="1782">
        <f>(C8+D8)-E8</f>
        <v>7528302</v>
      </c>
      <c r="G8" s="844">
        <v>50</v>
      </c>
      <c r="H8" s="766">
        <v>2196196</v>
      </c>
      <c r="I8" s="766">
        <v>151858</v>
      </c>
      <c r="J8" s="766"/>
      <c r="K8" s="1791">
        <f>(H8+I8)-J8</f>
        <v>2348054</v>
      </c>
      <c r="L8" s="1791">
        <f>F8-K8</f>
        <v>5180248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v>1554387</v>
      </c>
      <c r="D13" s="845">
        <v>19421</v>
      </c>
      <c r="E13" s="845"/>
      <c r="F13" s="1782">
        <f>(C13+D13)-E13</f>
        <v>1573808</v>
      </c>
      <c r="G13" s="844">
        <v>5</v>
      </c>
      <c r="H13" s="766">
        <v>1551236</v>
      </c>
      <c r="I13" s="766">
        <v>13744</v>
      </c>
      <c r="J13" s="766"/>
      <c r="K13" s="1791">
        <f>(H13+I13)-J13</f>
        <v>1564980</v>
      </c>
      <c r="L13" s="1791">
        <f>F13-K13</f>
        <v>8828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9888976</v>
      </c>
      <c r="D16" s="1782">
        <f>SUM(D3,D5:D6,D8:D10,D12:D15)</f>
        <v>19421</v>
      </c>
      <c r="E16" s="1782">
        <f>SUM(E3,E5:E6,E8:E10,E12:E15)</f>
        <v>0</v>
      </c>
      <c r="F16" s="1782">
        <f>SUM(F3,F5:F6,F8:F10,F12:F15)</f>
        <v>9908397</v>
      </c>
      <c r="G16" s="844"/>
      <c r="H16" s="1782">
        <f>SUM(H3,H6,H8:H10,H12:H14,)</f>
        <v>3747432</v>
      </c>
      <c r="I16" s="1782">
        <f>SUM(I3,I6,I8:I10,I12:I14,)</f>
        <v>165602</v>
      </c>
      <c r="J16" s="1782">
        <f>SUM(J3,J6,J8:J10,J12:J14,)</f>
        <v>0</v>
      </c>
      <c r="K16" s="1782">
        <f>(H16+I16)-J16</f>
        <v>3913034</v>
      </c>
      <c r="L16" s="1782">
        <f>F16-K16</f>
        <v>5995363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92184</v>
      </c>
      <c r="G17" s="838">
        <v>10</v>
      </c>
      <c r="H17" s="770"/>
      <c r="I17" s="1791">
        <f>F17/G17</f>
        <v>9218.4</v>
      </c>
      <c r="J17" s="770"/>
      <c r="K17" s="796"/>
      <c r="L17" s="796"/>
    </row>
    <row r="18" spans="1:12" ht="14.25" thickTop="1" thickBot="1" x14ac:dyDescent="0.25">
      <c r="A18" s="1789" t="s">
        <v>706</v>
      </c>
      <c r="B18" s="1790"/>
      <c r="C18" s="772"/>
      <c r="D18" s="772"/>
      <c r="E18" s="772"/>
      <c r="F18" s="851"/>
      <c r="G18" s="852"/>
      <c r="H18" s="774"/>
      <c r="I18" s="1782">
        <f>SUM(I16,I17)</f>
        <v>174820.4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A23" sqref="A23:H23"/>
      <selection pane="bottomLeft" activeCell="A23" sqref="A23:H2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18007184</v>
      </c>
      <c r="G8" s="866"/>
    </row>
    <row r="9" spans="1:7" x14ac:dyDescent="0.2">
      <c r="A9" s="870" t="s">
        <v>480</v>
      </c>
      <c r="B9" s="871" t="s">
        <v>1986</v>
      </c>
      <c r="C9" s="872"/>
      <c r="D9" s="870" t="s">
        <v>522</v>
      </c>
      <c r="E9" s="869"/>
      <c r="F9" s="1935">
        <f>'Expenditures 15-22'!K151</f>
        <v>0</v>
      </c>
      <c r="G9" s="873"/>
    </row>
    <row r="10" spans="1:7" x14ac:dyDescent="0.2">
      <c r="A10" s="870" t="s">
        <v>520</v>
      </c>
      <c r="B10" s="871" t="s">
        <v>1987</v>
      </c>
      <c r="C10" s="872"/>
      <c r="D10" s="870" t="s">
        <v>522</v>
      </c>
      <c r="E10" s="869"/>
      <c r="F10" s="1935">
        <f>'Expenditures 15-22'!K174</f>
        <v>343934</v>
      </c>
      <c r="G10" s="873"/>
    </row>
    <row r="11" spans="1:7" x14ac:dyDescent="0.2">
      <c r="A11" s="870" t="s">
        <v>481</v>
      </c>
      <c r="B11" s="871" t="s">
        <v>1988</v>
      </c>
      <c r="C11" s="872"/>
      <c r="D11" s="870" t="s">
        <v>522</v>
      </c>
      <c r="E11" s="869"/>
      <c r="F11" s="1935">
        <f>'Expenditures 15-22'!K210</f>
        <v>0</v>
      </c>
      <c r="G11" s="873"/>
    </row>
    <row r="12" spans="1:7" x14ac:dyDescent="0.2">
      <c r="A12" s="870" t="s">
        <v>482</v>
      </c>
      <c r="B12" s="871" t="s">
        <v>1989</v>
      </c>
      <c r="C12" s="872"/>
      <c r="D12" s="870" t="s">
        <v>522</v>
      </c>
      <c r="E12" s="869"/>
      <c r="F12" s="1935">
        <f>'Expenditures 15-22'!K295</f>
        <v>0</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18351118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29893</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1510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5781908</v>
      </c>
      <c r="G53" s="866"/>
    </row>
    <row r="54" spans="1:7" x14ac:dyDescent="0.2">
      <c r="A54" s="870" t="s">
        <v>479</v>
      </c>
      <c r="B54" s="870" t="s">
        <v>1552</v>
      </c>
      <c r="C54" s="890" t="s">
        <v>1039</v>
      </c>
      <c r="D54" s="886" t="s">
        <v>1157</v>
      </c>
      <c r="E54" s="869"/>
      <c r="F54" s="1939">
        <f>'Expenditures 15-22'!G114</f>
        <v>19421</v>
      </c>
      <c r="G54" s="866"/>
    </row>
    <row r="55" spans="1:7" x14ac:dyDescent="0.2">
      <c r="A55" s="870" t="s">
        <v>479</v>
      </c>
      <c r="B55" s="870" t="s">
        <v>1553</v>
      </c>
      <c r="C55" s="890" t="s">
        <v>1039</v>
      </c>
      <c r="D55" s="886" t="s">
        <v>309</v>
      </c>
      <c r="E55" s="869"/>
      <c r="F55" s="1939">
        <f>'Expenditures 15-22'!I114</f>
        <v>92184</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0</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300000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6224916</v>
      </c>
      <c r="G76" s="866"/>
    </row>
    <row r="77" spans="1:8" s="894" customFormat="1" ht="12" customHeight="1" thickTop="1" thickBot="1" x14ac:dyDescent="0.25">
      <c r="A77" s="1801"/>
      <c r="B77" s="1798"/>
      <c r="C77" s="1794"/>
      <c r="D77" s="1799" t="s">
        <v>2009</v>
      </c>
      <c r="E77" s="1796"/>
      <c r="F77" s="1802">
        <f>(F14-F76)</f>
        <v>12126202</v>
      </c>
      <c r="G77" s="870"/>
    </row>
    <row r="78" spans="1:8" s="894" customFormat="1" ht="12" customHeight="1" thickTop="1" x14ac:dyDescent="0.2">
      <c r="A78" s="1803"/>
      <c r="B78" s="1798"/>
      <c r="C78" s="1794"/>
      <c r="D78" s="1799" t="s">
        <v>2055</v>
      </c>
      <c r="E78" s="1796"/>
      <c r="F78" s="899">
        <v>0</v>
      </c>
      <c r="G78" s="900"/>
      <c r="H78" s="870"/>
    </row>
    <row r="79" spans="1:8" s="894" customFormat="1" ht="12" customHeight="1" thickBot="1" x14ac:dyDescent="0.25">
      <c r="A79" s="1804"/>
      <c r="B79" s="1798"/>
      <c r="C79" s="1794"/>
      <c r="D79" s="1799" t="s">
        <v>2010</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3742</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153022</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1858220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344872</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308932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892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75206</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1352507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98671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403434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685</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4599498</v>
      </c>
    </row>
    <row r="179" spans="1:7" ht="12" customHeight="1" x14ac:dyDescent="0.2">
      <c r="A179" s="1792"/>
      <c r="B179" s="1806"/>
      <c r="C179" s="1807"/>
      <c r="D179" s="1808" t="s">
        <v>2012</v>
      </c>
      <c r="E179" s="1809"/>
      <c r="F179" s="1811">
        <f>'PCTC-OEPP 27-28'!F77-F178</f>
        <v>7526704</v>
      </c>
    </row>
    <row r="180" spans="1:7" ht="12" customHeight="1" x14ac:dyDescent="0.2">
      <c r="A180" s="1792"/>
      <c r="B180" s="1806"/>
      <c r="C180" s="1807"/>
      <c r="D180" s="1808" t="s">
        <v>1922</v>
      </c>
      <c r="E180" s="1809"/>
      <c r="F180" s="1811">
        <f>'Cap Outlay Deprec 26'!I18</f>
        <v>174820.4</v>
      </c>
    </row>
    <row r="181" spans="1:7" ht="12" customHeight="1" x14ac:dyDescent="0.2">
      <c r="A181" s="1792"/>
      <c r="B181" s="1806"/>
      <c r="C181" s="1807"/>
      <c r="D181" s="1808" t="s">
        <v>2013</v>
      </c>
      <c r="E181" s="1809"/>
      <c r="F181" s="1811">
        <f>F179+F180</f>
        <v>7701524.4000000004</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2014</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6" activePane="bottomLeft" state="frozen"/>
      <selection activeCell="A23" sqref="A23:H23"/>
      <selection pane="bottomLeft" activeCell="A23" sqref="A23:H23"/>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4" t="s">
        <v>1923</v>
      </c>
      <c r="B4" s="2295"/>
      <c r="C4" s="2295"/>
      <c r="D4" s="2295"/>
      <c r="E4" s="2295"/>
      <c r="F4" s="2295"/>
      <c r="G4" s="2296"/>
    </row>
    <row r="5" spans="1:7" x14ac:dyDescent="0.25">
      <c r="A5" s="2297"/>
      <c r="B5" s="2298"/>
      <c r="C5" s="2298"/>
      <c r="D5" s="2298"/>
      <c r="E5" s="2298"/>
      <c r="F5" s="2298"/>
      <c r="G5" s="2299"/>
    </row>
    <row r="6" spans="1:7" ht="18.75" x14ac:dyDescent="0.25">
      <c r="A6" s="1556" t="s">
        <v>1924</v>
      </c>
      <c r="B6" s="1557"/>
      <c r="C6" s="1557"/>
      <c r="D6" s="1557"/>
      <c r="E6" s="1557"/>
      <c r="F6" s="1557"/>
      <c r="G6" s="1558"/>
    </row>
    <row r="7" spans="1:7" ht="30.75" customHeight="1" x14ac:dyDescent="0.25">
      <c r="A7" s="2300" t="s">
        <v>2071</v>
      </c>
      <c r="B7" s="2301"/>
      <c r="C7" s="2301"/>
      <c r="D7" s="2301"/>
      <c r="E7" s="2301"/>
      <c r="F7" s="2301"/>
      <c r="G7" s="2302"/>
    </row>
    <row r="8" spans="1:7" ht="15.75" customHeight="1" x14ac:dyDescent="0.25">
      <c r="A8" s="2303" t="s">
        <v>2020</v>
      </c>
      <c r="B8" s="2304"/>
      <c r="C8" s="2304"/>
      <c r="D8" s="2304"/>
      <c r="E8" s="2304"/>
      <c r="F8" s="2304"/>
      <c r="G8" s="2305"/>
    </row>
    <row r="9" spans="1:7" ht="35.25" customHeight="1" x14ac:dyDescent="0.25">
      <c r="A9" s="2300" t="s">
        <v>2074</v>
      </c>
      <c r="B9" s="2301"/>
      <c r="C9" s="2301"/>
      <c r="D9" s="2301"/>
      <c r="E9" s="2301"/>
      <c r="F9" s="2301"/>
      <c r="G9" s="2302"/>
    </row>
    <row r="10" spans="1:7" ht="15" customHeight="1" x14ac:dyDescent="0.25">
      <c r="A10" s="1559" t="s">
        <v>1925</v>
      </c>
      <c r="B10" s="1560"/>
      <c r="C10" s="1560"/>
      <c r="D10" s="1560"/>
      <c r="E10" s="1560"/>
      <c r="F10" s="1560"/>
      <c r="G10" s="1561"/>
    </row>
    <row r="11" spans="1:7" ht="17.25" customHeight="1" x14ac:dyDescent="0.25">
      <c r="A11" s="2300" t="s">
        <v>2073</v>
      </c>
      <c r="B11" s="2301"/>
      <c r="C11" s="2301"/>
      <c r="D11" s="2301"/>
      <c r="E11" s="2301"/>
      <c r="F11" s="2301"/>
      <c r="G11" s="2302"/>
    </row>
    <row r="12" spans="1:7" ht="15" customHeight="1" x14ac:dyDescent="0.25">
      <c r="A12" s="1559" t="s">
        <v>1930</v>
      </c>
      <c r="B12" s="1560"/>
      <c r="C12" s="1560"/>
      <c r="D12" s="1560"/>
      <c r="E12" s="1560"/>
      <c r="F12" s="1560"/>
      <c r="G12" s="1561"/>
    </row>
    <row r="13" spans="1:7" ht="32.25" customHeight="1" x14ac:dyDescent="0.25">
      <c r="A13" s="2291" t="s">
        <v>1931</v>
      </c>
      <c r="B13" s="2292"/>
      <c r="C13" s="2292"/>
      <c r="D13" s="2292"/>
      <c r="E13" s="2292"/>
      <c r="F13" s="2292"/>
      <c r="G13" s="2293"/>
    </row>
    <row r="14" spans="1:7" x14ac:dyDescent="0.25">
      <c r="A14" s="1683" t="s">
        <v>1939</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1940</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956" t="s">
        <v>2209</v>
      </c>
      <c r="B26" s="1964" t="s">
        <v>2210</v>
      </c>
      <c r="C26" s="1962" t="s">
        <v>2081</v>
      </c>
      <c r="D26" s="1867">
        <f>6525+6525+975+975</f>
        <v>15000</v>
      </c>
      <c r="E26" s="1562">
        <f t="shared" si="2"/>
        <v>15000</v>
      </c>
      <c r="F26" s="1815">
        <f t="shared" si="3"/>
        <v>15000</v>
      </c>
      <c r="G26" s="1816">
        <f t="shared" si="4"/>
        <v>0</v>
      </c>
    </row>
    <row r="27" spans="1:8" x14ac:dyDescent="0.25">
      <c r="A27" s="1675"/>
      <c r="B27" s="1869"/>
      <c r="C27" s="1962" t="s">
        <v>1231</v>
      </c>
      <c r="D27" s="1963" t="s">
        <v>1231</v>
      </c>
      <c r="E27" s="1562">
        <f t="shared" si="2"/>
        <v>25000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15000</v>
      </c>
      <c r="E141" s="1563">
        <f t="shared" si="1"/>
        <v>15000</v>
      </c>
      <c r="F141" s="1817">
        <f>SUM(F17:F140)</f>
        <v>15000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23" sqref="A23:H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4528</v>
      </c>
      <c r="F10" s="975"/>
      <c r="G10" s="976"/>
      <c r="H10" s="162"/>
      <c r="I10" s="162"/>
    </row>
    <row r="11" spans="1:9" s="669" customFormat="1" ht="22.5" customHeight="1" x14ac:dyDescent="0.2">
      <c r="A11" s="2311" t="s">
        <v>1942</v>
      </c>
      <c r="B11" s="2312"/>
      <c r="C11" s="2312"/>
      <c r="D11" s="2313"/>
      <c r="E11" s="978">
        <v>6189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6131340</v>
      </c>
      <c r="F19" s="1822"/>
      <c r="G19" s="1824">
        <f>'Expenditures 15-22'!K33-SUM('Expenditures 15-22'!G33,'Expenditures 15-22'!I33)+'Expenditures 15-22'!D229</f>
        <v>6131340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3105207</v>
      </c>
      <c r="F21" s="1825"/>
      <c r="G21" s="1828">
        <f>'Expenditures 15-22'!K42-SUM('Expenditures 15-22'!G42,'Expenditures 15-22'!I42)+'Expenditures 15-22'!K120-SUM('Expenditures 15-22'!G120,'Expenditures 15-22'!I120)+'Expenditures 15-22'!K180-SUM('Expenditures 15-22'!G180,'Expenditures 15-22'!I180)+'Expenditures 15-22'!D238</f>
        <v>3105207</v>
      </c>
      <c r="H21" s="988"/>
      <c r="I21" s="162"/>
    </row>
    <row r="22" spans="1:9" s="669" customFormat="1" ht="12" customHeight="1" x14ac:dyDescent="0.2">
      <c r="A22" s="995" t="s">
        <v>585</v>
      </c>
      <c r="B22" s="996"/>
      <c r="C22" s="994">
        <v>2200</v>
      </c>
      <c r="D22" s="1825"/>
      <c r="E22" s="1827">
        <f>'Expenditures 15-22'!K47-SUM('Expenditures 15-22'!G47,'Expenditures 15-22'!I47)+'Expenditures 15-22'!D243</f>
        <v>579115</v>
      </c>
      <c r="F22" s="1825"/>
      <c r="G22" s="1828">
        <f>'Expenditures 15-22'!K47-SUM('Expenditures 15-22'!G47,'Expenditures 15-22'!I47)+'Expenditures 15-22'!D243</f>
        <v>579115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549816</v>
      </c>
      <c r="F23" s="1825"/>
      <c r="G23" s="1827">
        <f>'Expenditures 15-22'!K53-SUM('Expenditures 15-22'!G53,'Expenditures 15-22'!I53)+'Expenditures 15-22'!D257+'Expenditures 15-22'!K330-SUM('Expenditures 15-22'!G330,'Expenditures 15-22'!I330)</f>
        <v>549816</v>
      </c>
      <c r="H23" s="988"/>
      <c r="I23" s="162"/>
    </row>
    <row r="24" spans="1:9" s="669" customFormat="1" ht="12" customHeight="1" x14ac:dyDescent="0.2">
      <c r="A24" s="995" t="s">
        <v>587</v>
      </c>
      <c r="B24" s="996"/>
      <c r="C24" s="994">
        <v>2400</v>
      </c>
      <c r="D24" s="1825"/>
      <c r="E24" s="1827">
        <f>'Expenditures 15-22'!K57-SUM('Expenditures 15-22'!G57,'Expenditures 15-22'!I57)+'Expenditures 15-22'!D261</f>
        <v>244900</v>
      </c>
      <c r="F24" s="1825"/>
      <c r="G24" s="1828">
        <f>'Expenditures 15-22'!K57-SUM('Expenditures 15-22'!G57,'Expenditures 15-22'!I57)+'Expenditures 15-22'!D261</f>
        <v>244900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111282</v>
      </c>
      <c r="E26" s="1827">
        <f>'Expenditures 15-22'!K122-SUM('Expenditures 15-22'!G122,'Expenditures 15-22'!I122)+E7</f>
        <v>0</v>
      </c>
      <c r="F26" s="1827">
        <f>'Expenditures 15-22'!K59-SUM('Expenditures 15-22'!G59,'Expenditures 15-22'!I59)+'Expenditures 15-22'!D263-E7</f>
        <v>111282</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177823</v>
      </c>
      <c r="E27" s="1827">
        <f>E8</f>
        <v>0</v>
      </c>
      <c r="F27" s="1827">
        <f>'Expenditures 15-22'!K60-SUM('Expenditures 15-22'!G60,'Expenditures 15-22'!I60)+'Expenditures 15-22'!D264-E8</f>
        <v>177823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1083677</v>
      </c>
      <c r="F28" s="1829">
        <f>'Expenditures 15-22'!K61-SUM('Expenditures 15-22'!G61,'Expenditures 15-22'!I61)+'Expenditures 15-22'!K124-SUM('Expenditures 15-22'!G124,'Expenditures 15-22'!I124)+'Expenditures 15-22'!D266-E9</f>
        <v>1083677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32980</v>
      </c>
      <c r="F30" s="1825"/>
      <c r="G30" s="1827">
        <f>'Expenditures 15-22'!K63-SUM('Expenditures 15-22'!G63,'Expenditures 15-22'!I63)+'Expenditures 15-22'!D268-E10</f>
        <v>32980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1767</v>
      </c>
      <c r="F35" s="1825"/>
      <c r="G35" s="1827">
        <f>'Expenditures 15-22'!K69-SUM('Expenditures 15-22'!G69,'Expenditures 15-22'!I69)+'Expenditures 15-22'!D274</f>
        <v>1767</v>
      </c>
    </row>
    <row r="36" spans="1:7" ht="12" customHeight="1" x14ac:dyDescent="0.2">
      <c r="A36" s="995" t="s">
        <v>423</v>
      </c>
      <c r="B36" s="998"/>
      <c r="C36" s="994">
        <v>2640</v>
      </c>
      <c r="D36" s="1827">
        <f>'Expenditures 15-22'!K70-SUM('Expenditures 15-22'!G70,'Expenditures 15-22'!I70)+'Expenditures 15-22'!D275-E13</f>
        <v>2495</v>
      </c>
      <c r="E36" s="1827">
        <f>E13</f>
        <v>0</v>
      </c>
      <c r="F36" s="1827">
        <f>'Expenditures 15-22'!K70-SUM('Expenditures 15-22'!G70,'Expenditures 15-22'!I70)+'Expenditures 15-22'!D275-E13</f>
        <v>2495</v>
      </c>
      <c r="G36" s="1827">
        <f>E13</f>
        <v>0</v>
      </c>
    </row>
    <row r="37" spans="1:7" ht="12" customHeight="1" x14ac:dyDescent="0.2">
      <c r="A37" s="995" t="s">
        <v>424</v>
      </c>
      <c r="B37" s="998"/>
      <c r="C37" s="994">
        <v>2660</v>
      </c>
      <c r="D37" s="1827">
        <f>'Expenditures 15-22'!K71-SUM('Expenditures 15-22'!G71,'Expenditures 15-22'!I71)+'Expenditures 15-22'!D276-E14</f>
        <v>88741</v>
      </c>
      <c r="E37" s="1827">
        <f>E14</f>
        <v>0</v>
      </c>
      <c r="F37" s="1827">
        <f>'Expenditures 15-22'!K71-SUM('Expenditures 15-22'!G71,'Expenditures 15-22'!I71)+'Expenditures 15-22'!D276-E14</f>
        <v>88741</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380341</v>
      </c>
      <c r="E41" s="1829">
        <f>SUM(E19:E40)</f>
        <v>11728802</v>
      </c>
      <c r="F41" s="1829">
        <f>SUM(F19:F39)</f>
        <v>1464018</v>
      </c>
      <c r="G41" s="1829">
        <f>SUM(G19:G40)</f>
        <v>10645125</v>
      </c>
    </row>
    <row r="42" spans="1:7" x14ac:dyDescent="0.2">
      <c r="A42" s="988"/>
      <c r="B42" s="162"/>
      <c r="C42" s="1002"/>
      <c r="D42" s="2309" t="s">
        <v>543</v>
      </c>
      <c r="E42" s="2310"/>
      <c r="F42" s="1003" t="s">
        <v>544</v>
      </c>
      <c r="G42" s="1004"/>
    </row>
    <row r="43" spans="1:7" ht="12" customHeight="1" x14ac:dyDescent="0.2">
      <c r="A43" s="988"/>
      <c r="B43" s="162"/>
      <c r="C43" s="1002"/>
      <c r="D43" s="1830" t="s">
        <v>493</v>
      </c>
      <c r="E43" s="1831">
        <f>D41</f>
        <v>380341</v>
      </c>
      <c r="F43" s="1830" t="s">
        <v>495</v>
      </c>
      <c r="G43" s="1831">
        <f>F41</f>
        <v>1464018</v>
      </c>
    </row>
    <row r="44" spans="1:7" ht="12" customHeight="1" x14ac:dyDescent="0.2">
      <c r="A44" s="988"/>
      <c r="B44" s="162"/>
      <c r="C44" s="1002"/>
      <c r="D44" s="1830" t="s">
        <v>494</v>
      </c>
      <c r="E44" s="1831">
        <f>E41</f>
        <v>11728802</v>
      </c>
      <c r="F44" s="1830" t="s">
        <v>494</v>
      </c>
      <c r="G44" s="1831">
        <f>G41</f>
        <v>10645125</v>
      </c>
    </row>
    <row r="45" spans="1:7" ht="12" customHeight="1" x14ac:dyDescent="0.2">
      <c r="A45" s="988"/>
      <c r="B45" s="162"/>
      <c r="C45" s="162"/>
      <c r="D45" s="1832" t="s">
        <v>1063</v>
      </c>
      <c r="E45" s="1833">
        <f>(E43/E44)</f>
        <v>3.2427949589395405E-2</v>
      </c>
      <c r="F45" s="1832" t="s">
        <v>1063</v>
      </c>
      <c r="G45" s="1833">
        <f>(G43/G44)</f>
        <v>0.13752943248670166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23" sqref="A23:H23"/>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8" t="s">
        <v>1446</v>
      </c>
      <c r="B1" s="2328"/>
      <c r="C1" s="2328"/>
      <c r="D1" s="2328"/>
      <c r="E1" s="2328"/>
      <c r="F1" s="2328"/>
    </row>
    <row r="2" spans="1:10" x14ac:dyDescent="0.2">
      <c r="A2" s="1912" t="s">
        <v>2044</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9" t="s">
        <v>1627</v>
      </c>
      <c r="B5" s="2330"/>
      <c r="C5" s="2331"/>
      <c r="D5" s="2331"/>
      <c r="E5" s="2331"/>
      <c r="F5" s="2331"/>
    </row>
    <row r="6" spans="1:10" ht="12" customHeight="1" x14ac:dyDescent="0.25">
      <c r="A6" s="1875"/>
      <c r="B6" s="1876"/>
      <c r="C6" s="2332" t="str">
        <f>COVER!A17</f>
        <v>Belleville Area Special Services Coop</v>
      </c>
      <c r="D6" s="2332"/>
      <c r="E6" s="2332"/>
      <c r="F6" s="1877"/>
    </row>
    <row r="7" spans="1:10" ht="11.25" customHeight="1" thickBot="1" x14ac:dyDescent="0.3">
      <c r="A7" s="1875"/>
      <c r="B7" s="1876"/>
      <c r="C7" s="2333">
        <f>COVER!A13</f>
        <v>50082801060</v>
      </c>
      <c r="D7" s="2333"/>
      <c r="E7" s="2333"/>
      <c r="F7" s="1877"/>
    </row>
    <row r="8" spans="1:10" ht="25.5" customHeight="1" thickBot="1" x14ac:dyDescent="0.25">
      <c r="A8" s="1918" t="s">
        <v>2021</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2089</v>
      </c>
      <c r="D16" s="1890" t="s">
        <v>2089</v>
      </c>
      <c r="E16" s="1893"/>
      <c r="F16" s="1892" t="s">
        <v>2090</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4"/>
      <c r="B43" s="2315"/>
      <c r="C43" s="2315"/>
      <c r="D43" s="2315"/>
      <c r="E43" s="2315"/>
      <c r="F43" s="2316"/>
      <c r="H43" s="1904"/>
      <c r="I43" s="1904"/>
      <c r="J43" s="1904"/>
      <c r="K43" s="1904"/>
    </row>
    <row r="44" spans="1:11" s="1895" customFormat="1" ht="12" hidden="1" customHeight="1" x14ac:dyDescent="0.25">
      <c r="A44" s="2314"/>
      <c r="B44" s="2315"/>
      <c r="C44" s="2315"/>
      <c r="D44" s="2315"/>
      <c r="E44" s="2315"/>
      <c r="F44" s="2316"/>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23" sqref="A23:H2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1" t="str">
        <f>COVER!A17</f>
        <v>Belleville Area Special Services Coop</v>
      </c>
      <c r="J6" s="2342"/>
      <c r="Q6" s="1686"/>
    </row>
    <row r="7" spans="1:17" x14ac:dyDescent="0.2">
      <c r="A7" s="2343" t="s">
        <v>924</v>
      </c>
      <c r="B7" s="2344"/>
      <c r="C7" s="2344"/>
      <c r="D7" s="2344"/>
      <c r="E7" s="2345"/>
      <c r="F7" s="1018"/>
      <c r="G7" s="1010"/>
      <c r="H7" s="1017" t="s">
        <v>390</v>
      </c>
      <c r="I7" s="2346">
        <f>COVER!A13</f>
        <v>50082801060</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371439</v>
      </c>
      <c r="F13" s="1040"/>
      <c r="G13" s="1834">
        <f t="shared" si="0"/>
        <v>371439</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111282</v>
      </c>
      <c r="F15" s="1834">
        <f>'Expenditures 15-22'!K122</f>
        <v>0</v>
      </c>
      <c r="G15" s="1834">
        <f t="shared" si="0"/>
        <v>111282</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482721</v>
      </c>
      <c r="F19" s="1836">
        <f t="shared" si="2"/>
        <v>0</v>
      </c>
      <c r="G19" s="1836">
        <f t="shared" si="2"/>
        <v>482721</v>
      </c>
      <c r="H19" s="1836">
        <f t="shared" si="2"/>
        <v>0</v>
      </c>
      <c r="I19" s="1836">
        <f t="shared" si="2"/>
        <v>0</v>
      </c>
      <c r="J19" s="1836">
        <f t="shared" si="2"/>
        <v>0</v>
      </c>
    </row>
    <row r="20" spans="1:10" ht="13.5" thickTop="1" x14ac:dyDescent="0.2">
      <c r="A20" s="1036">
        <v>9</v>
      </c>
      <c r="B20" s="2353" t="s">
        <v>1703</v>
      </c>
      <c r="C20" s="2353"/>
      <c r="D20" s="2354"/>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1941</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3" sqref="A23:H2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Belleville Area Special Services Coop</v>
      </c>
    </row>
    <row r="65" spans="2:2" x14ac:dyDescent="0.2">
      <c r="B65" s="1071">
        <f>COVER!A13</f>
        <v>50082801060</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election activeCell="A23" sqref="A23:H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23" sqref="A23:H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0" t="s">
        <v>1784</v>
      </c>
      <c r="B18" s="2360"/>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3</xdr:row>
                <xdr:rowOff>0</xdr:rowOff>
              </from>
              <to>
                <xdr:col>1</xdr:col>
                <xdr:colOff>914400</xdr:colOff>
                <xdr:row>6</xdr:row>
                <xdr:rowOff>161925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autoPict="0" r:id="rId7">
            <anchor moveWithCells="1">
              <from>
                <xdr:col>1</xdr:col>
                <xdr:colOff>1333500</xdr:colOff>
                <xdr:row>2</xdr:row>
                <xdr:rowOff>142875</xdr:rowOff>
              </from>
              <to>
                <xdr:col>1</xdr:col>
                <xdr:colOff>2228850</xdr:colOff>
                <xdr:row>6</xdr:row>
                <xdr:rowOff>133350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autoPict="0" r:id="rId9">
            <anchor moveWithCells="1">
              <from>
                <xdr:col>1</xdr:col>
                <xdr:colOff>2619375</xdr:colOff>
                <xdr:row>2</xdr:row>
                <xdr:rowOff>133350</xdr:rowOff>
              </from>
              <to>
                <xdr:col>1</xdr:col>
                <xdr:colOff>3514725</xdr:colOff>
                <xdr:row>6</xdr:row>
                <xdr:rowOff>123825</xdr:rowOff>
              </to>
            </anchor>
          </objectPr>
        </oleObject>
      </mc:Choice>
      <mc:Fallback>
        <oleObject progId="Acrobat Document" dvAspect="DVASPECT_ICON" shapeId="3789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3" sqref="A23:H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5"/>
      <c r="H2" s="1075"/>
    </row>
    <row r="3" spans="1:8" ht="57" customHeight="1" x14ac:dyDescent="0.2">
      <c r="A3" s="2374" t="s">
        <v>1786</v>
      </c>
      <c r="B3" s="2375"/>
      <c r="C3" s="2375"/>
      <c r="D3" s="2375"/>
      <c r="E3" s="2375"/>
      <c r="F3" s="2376"/>
      <c r="G3" s="1075"/>
      <c r="H3" s="1075"/>
    </row>
    <row r="4" spans="1:8" ht="14.25" customHeight="1" x14ac:dyDescent="0.2">
      <c r="A4" s="2380" t="s">
        <v>2052</v>
      </c>
      <c r="B4" s="2381"/>
      <c r="C4" s="2381"/>
      <c r="D4" s="2381"/>
      <c r="E4" s="2381"/>
      <c r="F4" s="2382"/>
      <c r="G4" s="1075"/>
      <c r="H4" s="1075"/>
    </row>
    <row r="5" spans="1:8" ht="14.25" customHeight="1" x14ac:dyDescent="0.2">
      <c r="A5" s="2383" t="s">
        <v>2053</v>
      </c>
      <c r="B5" s="2384"/>
      <c r="C5" s="2384"/>
      <c r="D5" s="2384"/>
      <c r="E5" s="2384"/>
      <c r="F5" s="2385"/>
      <c r="G5" s="1075"/>
      <c r="H5" s="1075"/>
    </row>
    <row r="6" spans="1:8" s="1076" customFormat="1" ht="41.25" customHeight="1" x14ac:dyDescent="0.2">
      <c r="A6" s="2377" t="s">
        <v>1792</v>
      </c>
      <c r="B6" s="2378"/>
      <c r="C6" s="2378"/>
      <c r="D6" s="2378"/>
      <c r="E6" s="2378"/>
      <c r="F6" s="237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18507384</v>
      </c>
      <c r="C8" s="1838">
        <f>'Acct Summary 7-8'!D8</f>
        <v>0</v>
      </c>
      <c r="D8" s="1838">
        <f>'Acct Summary 7-8'!F8</f>
        <v>0</v>
      </c>
      <c r="E8" s="1838">
        <f>'Acct Summary 7-8'!I8</f>
        <v>0</v>
      </c>
      <c r="F8" s="1838">
        <f>SUM(B8:E8)</f>
        <v>18507384</v>
      </c>
    </row>
    <row r="9" spans="1:8" s="1080" customFormat="1" ht="14.25" customHeight="1" thickBot="1" x14ac:dyDescent="0.25">
      <c r="A9" s="1079" t="s">
        <v>1436</v>
      </c>
      <c r="B9" s="1839">
        <f>'Acct Summary 7-8'!C17</f>
        <v>18007184</v>
      </c>
      <c r="C9" s="1839">
        <f>'Acct Summary 7-8'!D17</f>
        <v>0</v>
      </c>
      <c r="D9" s="1839">
        <f>'Acct Summary 7-8'!F17</f>
        <v>0</v>
      </c>
      <c r="E9" s="1838"/>
      <c r="F9" s="1838">
        <f>SUM(B9:E9)</f>
        <v>18007184</v>
      </c>
    </row>
    <row r="10" spans="1:8" s="1080" customFormat="1" ht="14.25" thickTop="1" thickBot="1" x14ac:dyDescent="0.25">
      <c r="A10" s="1081" t="s">
        <v>1437</v>
      </c>
      <c r="B10" s="1840">
        <f>(B8-B9)</f>
        <v>500200</v>
      </c>
      <c r="C10" s="1840">
        <f>(C8-C9)</f>
        <v>0</v>
      </c>
      <c r="D10" s="1840">
        <f>(D8-D9)</f>
        <v>0</v>
      </c>
      <c r="E10" s="1839">
        <f>(E8-E9)</f>
        <v>0</v>
      </c>
      <c r="F10" s="1841">
        <f>SUM(F8-F9)</f>
        <v>500200</v>
      </c>
    </row>
    <row r="11" spans="1:8" s="1080" customFormat="1" ht="14.25" thickTop="1" thickBot="1" x14ac:dyDescent="0.25">
      <c r="A11" s="1082" t="s">
        <v>1785</v>
      </c>
      <c r="B11" s="1842">
        <f>'Acct Summary 7-8'!C81</f>
        <v>4758952</v>
      </c>
      <c r="C11" s="1842">
        <f>'Acct Summary 7-8'!D81</f>
        <v>0</v>
      </c>
      <c r="D11" s="1842">
        <f>'Acct Summary 7-8'!F81</f>
        <v>0</v>
      </c>
      <c r="E11" s="1842">
        <f>'Acct Summary 7-8'!I81</f>
        <v>0</v>
      </c>
      <c r="F11" s="1843">
        <f>SUM(B11:E11)</f>
        <v>4758952</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1787</v>
      </c>
      <c r="B16" s="2364"/>
      <c r="C16" s="2364"/>
      <c r="D16" s="2364"/>
      <c r="E16" s="236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6" t="s">
        <v>686</v>
      </c>
      <c r="B3" s="2387"/>
      <c r="C3" s="2387"/>
      <c r="D3" s="2388"/>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7" t="s">
        <v>1584</v>
      </c>
      <c r="D7" s="2398"/>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1" t="s">
        <v>332</v>
      </c>
      <c r="D21" s="2402"/>
    </row>
    <row r="22" spans="1:10" ht="12.75" x14ac:dyDescent="0.2">
      <c r="A22" s="1140"/>
      <c r="B22" s="1141">
        <v>2</v>
      </c>
      <c r="C22" s="2399" t="s">
        <v>1605</v>
      </c>
      <c r="D22" s="2400"/>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3" t="s">
        <v>557</v>
      </c>
      <c r="D43" s="240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5" t="s">
        <v>817</v>
      </c>
      <c r="D56" s="239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95" t="s">
        <v>1797</v>
      </c>
      <c r="D70" s="239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50082801060</v>
      </c>
    </row>
    <row r="3" spans="1:2" x14ac:dyDescent="0.2">
      <c r="A3" t="s">
        <v>1013</v>
      </c>
      <c r="B3" s="138" t="str">
        <f>COVER!A15</f>
        <v>St. Clair</v>
      </c>
    </row>
    <row r="4" spans="1:2" x14ac:dyDescent="0.2">
      <c r="A4" t="s">
        <v>1064</v>
      </c>
      <c r="B4" s="138" t="str">
        <f>COVER!A17</f>
        <v>Belleville Area Special Services Coop</v>
      </c>
    </row>
    <row r="5" spans="1:2" x14ac:dyDescent="0.2">
      <c r="A5" t="s">
        <v>728</v>
      </c>
      <c r="B5" s="138" t="str">
        <f>COVER!A38</f>
        <v>Brian Arteberry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065-026956</v>
      </c>
    </row>
    <row r="16" spans="1:2" x14ac:dyDescent="0.2">
      <c r="A16" t="s">
        <v>442</v>
      </c>
      <c r="B16" s="138" t="str">
        <f>COVER!T13</f>
        <v>Scheffel Boyle</v>
      </c>
    </row>
    <row r="17" spans="1:2" x14ac:dyDescent="0.2">
      <c r="A17" t="s">
        <v>939</v>
      </c>
      <c r="B17" s="138" t="str">
        <f>COVER!T15</f>
        <v>Dale Holtmann</v>
      </c>
    </row>
    <row r="18" spans="1:2" x14ac:dyDescent="0.2">
      <c r="A18" t="s">
        <v>1212</v>
      </c>
      <c r="B18" s="138" t="str">
        <f>COVER!T17</f>
        <v>222 East Main St</v>
      </c>
    </row>
    <row r="19" spans="1:2" x14ac:dyDescent="0.2">
      <c r="A19" t="s">
        <v>941</v>
      </c>
      <c r="B19" s="138" t="str">
        <f>COVER!T25</f>
        <v>dale.holtmann@scheffelboyle.com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618-233-2641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8671826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606248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3912874</v>
      </c>
      <c r="C91" s="2" t="s">
        <v>594</v>
      </c>
      <c r="D91" s="2" t="str">
        <f t="shared" si="0"/>
        <v>Error?</v>
      </c>
    </row>
    <row r="92" spans="1:4" x14ac:dyDescent="0.2">
      <c r="A92" s="5">
        <v>31</v>
      </c>
      <c r="B92" s="138">
        <f>'Assets-Liab 5-6'!C39</f>
        <v>4758952</v>
      </c>
      <c r="D92" s="2" t="str">
        <f t="shared" si="0"/>
        <v>Error?</v>
      </c>
    </row>
    <row r="93" spans="1:4" x14ac:dyDescent="0.2">
      <c r="A93" s="5">
        <v>32</v>
      </c>
      <c r="B93" s="138">
        <f>'Assets-Liab 5-6'!C41</f>
        <v>8671826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53496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53496</v>
      </c>
      <c r="D140" s="2" t="str">
        <f t="shared" si="1"/>
        <v>Error?</v>
      </c>
    </row>
    <row r="141" spans="1:4" x14ac:dyDescent="0.2">
      <c r="A141" s="5">
        <v>80</v>
      </c>
      <c r="B141" s="138">
        <f>'Assets-Liab 5-6'!E41</f>
        <v>53496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806287</v>
      </c>
      <c r="D273" s="2" t="str">
        <f t="shared" si="3"/>
        <v>Error?</v>
      </c>
    </row>
    <row r="274" spans="1:4" x14ac:dyDescent="0.2">
      <c r="A274" s="5">
        <v>213</v>
      </c>
      <c r="B274" s="138">
        <f>'Assets-Liab 5-6'!M17</f>
        <v>5180248</v>
      </c>
      <c r="D274" s="2" t="str">
        <f t="shared" si="3"/>
        <v>Error?</v>
      </c>
    </row>
    <row r="275" spans="1:4" x14ac:dyDescent="0.2">
      <c r="A275" s="5">
        <v>214</v>
      </c>
      <c r="B275" s="138">
        <f>'Assets-Liab 5-6'!M18</f>
        <v>0</v>
      </c>
      <c r="D275" s="2" t="str">
        <f t="shared" si="3"/>
        <v>Error?</v>
      </c>
    </row>
    <row r="276" spans="1:4" x14ac:dyDescent="0.2">
      <c r="A276" s="5">
        <v>215</v>
      </c>
      <c r="B276" s="138">
        <f>'Assets-Liab 5-6'!M19</f>
        <v>8828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5995363</v>
      </c>
      <c r="C279" s="2" t="s">
        <v>594</v>
      </c>
      <c r="D279" s="2" t="str">
        <f t="shared" si="3"/>
        <v>Error?</v>
      </c>
    </row>
    <row r="280" spans="1:4" x14ac:dyDescent="0.2">
      <c r="A280" s="5">
        <v>219</v>
      </c>
      <c r="B280" s="138">
        <f>'Assets-Liab 5-6'!M40</f>
        <v>5995363</v>
      </c>
      <c r="D280" s="2" t="str">
        <f t="shared" si="3"/>
        <v>Error?</v>
      </c>
    </row>
    <row r="281" spans="1:4" x14ac:dyDescent="0.2">
      <c r="A281" s="5">
        <v>220</v>
      </c>
      <c r="B281" s="138">
        <f>'Assets-Liab 5-6'!M41</f>
        <v>5995363</v>
      </c>
      <c r="C281" s="2" t="s">
        <v>594</v>
      </c>
      <c r="D281" s="2" t="str">
        <f t="shared" si="3"/>
        <v>Error?</v>
      </c>
    </row>
    <row r="282" spans="1:4" x14ac:dyDescent="0.2">
      <c r="A282" s="5">
        <v>221</v>
      </c>
      <c r="B282" s="138">
        <f>'Assets-Liab 5-6'!N21</f>
        <v>53496</v>
      </c>
      <c r="D282" s="2" t="str">
        <f t="shared" si="3"/>
        <v>Error?</v>
      </c>
    </row>
    <row r="283" spans="1:4" x14ac:dyDescent="0.2">
      <c r="A283" s="5">
        <v>222</v>
      </c>
      <c r="B283" s="138">
        <f>'Assets-Liab 5-6'!N22</f>
        <v>1226504</v>
      </c>
      <c r="D283" s="2" t="str">
        <f t="shared" si="3"/>
        <v>Error?</v>
      </c>
    </row>
    <row r="284" spans="1:4" x14ac:dyDescent="0.2">
      <c r="A284" s="5">
        <v>223</v>
      </c>
      <c r="B284" s="138">
        <f>'Assets-Liab 5-6'!N23</f>
        <v>1280000</v>
      </c>
      <c r="C284" s="2" t="s">
        <v>594</v>
      </c>
      <c r="D284" s="2" t="str">
        <f t="shared" si="3"/>
        <v>Error?</v>
      </c>
    </row>
    <row r="285" spans="1:4" x14ac:dyDescent="0.2">
      <c r="A285" s="5">
        <v>224</v>
      </c>
      <c r="B285" s="138">
        <f>'Assets-Liab 5-6'!N36</f>
        <v>1280000</v>
      </c>
      <c r="D285" s="2" t="str">
        <f t="shared" si="3"/>
        <v>Error?</v>
      </c>
    </row>
    <row r="286" spans="1:4" x14ac:dyDescent="0.2">
      <c r="A286" s="10">
        <v>225</v>
      </c>
      <c r="D286" s="2" t="str">
        <f t="shared" si="3"/>
        <v>OK</v>
      </c>
    </row>
    <row r="287" spans="1:4" x14ac:dyDescent="0.2">
      <c r="A287" s="5">
        <v>226</v>
      </c>
      <c r="B287" s="138">
        <f>'Assets-Liab 5-6'!N37</f>
        <v>1280000</v>
      </c>
      <c r="C287" s="2" t="s">
        <v>594</v>
      </c>
      <c r="D287" s="2" t="str">
        <f t="shared" si="3"/>
        <v>Error?</v>
      </c>
    </row>
    <row r="288" spans="1:4" x14ac:dyDescent="0.2">
      <c r="A288" s="5">
        <v>227</v>
      </c>
      <c r="B288" s="138">
        <f>'Assets-Liab 5-6'!N41</f>
        <v>1280000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1337</v>
      </c>
      <c r="D719" s="2" t="str">
        <f t="shared" si="10"/>
        <v>Error?</v>
      </c>
    </row>
    <row r="720" spans="1:4" x14ac:dyDescent="0.2">
      <c r="A720" s="5">
        <v>659</v>
      </c>
      <c r="B720" s="138">
        <f>'Expenditures 15-22'!C33</f>
        <v>3967036</v>
      </c>
      <c r="C720" s="2" t="s">
        <v>594</v>
      </c>
      <c r="D720" s="2" t="str">
        <f t="shared" si="10"/>
        <v>Error?</v>
      </c>
    </row>
    <row r="721" spans="1:4" x14ac:dyDescent="0.2">
      <c r="A721" s="5">
        <v>660</v>
      </c>
      <c r="B721" s="138">
        <f>'Expenditures 15-22'!C36</f>
        <v>323691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403951</v>
      </c>
      <c r="D723" s="2" t="str">
        <f t="shared" si="10"/>
        <v>Error?</v>
      </c>
    </row>
    <row r="724" spans="1:4" x14ac:dyDescent="0.2">
      <c r="A724" s="5">
        <v>663</v>
      </c>
      <c r="B724" s="138">
        <f>'Expenditures 15-22'!C39</f>
        <v>960138</v>
      </c>
      <c r="D724" s="2" t="str">
        <f t="shared" si="10"/>
        <v>Error?</v>
      </c>
    </row>
    <row r="725" spans="1:4" x14ac:dyDescent="0.2">
      <c r="A725" s="5">
        <v>664</v>
      </c>
      <c r="B725" s="138">
        <f>'Expenditures 15-22'!C40</f>
        <v>491862</v>
      </c>
      <c r="D725" s="2" t="str">
        <f t="shared" si="10"/>
        <v>Error?</v>
      </c>
    </row>
    <row r="726" spans="1:4" x14ac:dyDescent="0.2">
      <c r="A726" s="5">
        <v>665</v>
      </c>
      <c r="B726" s="138">
        <f>'Expenditures 15-22'!C41</f>
        <v>103804</v>
      </c>
      <c r="D726" s="2" t="str">
        <f t="shared" si="10"/>
        <v>Error?</v>
      </c>
    </row>
    <row r="727" spans="1:4" x14ac:dyDescent="0.2">
      <c r="A727" s="5">
        <v>666</v>
      </c>
      <c r="B727" s="138">
        <f>'Expenditures 15-22'!C42</f>
        <v>2283446</v>
      </c>
      <c r="C727" s="2" t="s">
        <v>594</v>
      </c>
      <c r="D727" s="2" t="str">
        <f t="shared" si="10"/>
        <v>Error?</v>
      </c>
    </row>
    <row r="728" spans="1:4" x14ac:dyDescent="0.2">
      <c r="A728" s="5">
        <v>667</v>
      </c>
      <c r="B728" s="138">
        <f>'Expenditures 15-22'!C44</f>
        <v>396669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396669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198196</v>
      </c>
      <c r="C734" s="2" t="s">
        <v>594</v>
      </c>
      <c r="D734" s="2" t="str">
        <f t="shared" si="10"/>
        <v>Error?</v>
      </c>
    </row>
    <row r="735" spans="1:4" x14ac:dyDescent="0.2">
      <c r="A735" s="5">
        <v>674</v>
      </c>
      <c r="B735" s="138">
        <f>'Expenditures 15-22'!C55</f>
        <v>172446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172446</v>
      </c>
      <c r="C737" s="2" t="s">
        <v>594</v>
      </c>
      <c r="D737" s="2" t="str">
        <f t="shared" si="10"/>
        <v>Error?</v>
      </c>
    </row>
    <row r="738" spans="1:4" x14ac:dyDescent="0.2">
      <c r="A738" s="5">
        <v>677</v>
      </c>
      <c r="B738" s="138">
        <f>'Expenditures 15-22'!C59</f>
        <v>82665</v>
      </c>
      <c r="D738" s="2" t="str">
        <f t="shared" si="10"/>
        <v>Error?</v>
      </c>
    </row>
    <row r="739" spans="1:4" x14ac:dyDescent="0.2">
      <c r="A739" s="5">
        <v>678</v>
      </c>
      <c r="B739" s="138">
        <f>'Expenditures 15-22'!C60</f>
        <v>122933</v>
      </c>
      <c r="D739" s="2" t="str">
        <f t="shared" si="10"/>
        <v>Error?</v>
      </c>
    </row>
    <row r="740" spans="1:4" x14ac:dyDescent="0.2">
      <c r="A740" s="5">
        <v>679</v>
      </c>
      <c r="B740" s="138">
        <f>'Expenditures 15-22'!C61</f>
        <v>139423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22245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367266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3418023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7385059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173</v>
      </c>
      <c r="D777" s="2" t="str">
        <f t="shared" si="11"/>
        <v>Error?</v>
      </c>
    </row>
    <row r="778" spans="1:4" x14ac:dyDescent="0.2">
      <c r="A778" s="5">
        <v>717</v>
      </c>
      <c r="B778" s="138">
        <f>'Expenditures 15-22'!D33</f>
        <v>2001212</v>
      </c>
      <c r="C778" s="2" t="s">
        <v>594</v>
      </c>
      <c r="D778" s="2" t="str">
        <f t="shared" si="11"/>
        <v>Error?</v>
      </c>
    </row>
    <row r="779" spans="1:4" x14ac:dyDescent="0.2">
      <c r="A779" s="5">
        <v>718</v>
      </c>
      <c r="B779" s="138">
        <f>'Expenditures 15-22'!D36</f>
        <v>73147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174462</v>
      </c>
      <c r="D781" s="2" t="str">
        <f t="shared" si="11"/>
        <v>Error?</v>
      </c>
    </row>
    <row r="782" spans="1:4" x14ac:dyDescent="0.2">
      <c r="A782" s="5">
        <v>721</v>
      </c>
      <c r="B782" s="138">
        <f>'Expenditures 15-22'!D39</f>
        <v>251574</v>
      </c>
      <c r="D782" s="2" t="str">
        <f t="shared" si="11"/>
        <v>Error?</v>
      </c>
    </row>
    <row r="783" spans="1:4" x14ac:dyDescent="0.2">
      <c r="A783" s="5">
        <v>722</v>
      </c>
      <c r="B783" s="138">
        <f>'Expenditures 15-22'!D40</f>
        <v>161802</v>
      </c>
      <c r="D783" s="2" t="str">
        <f t="shared" si="11"/>
        <v>Error?</v>
      </c>
    </row>
    <row r="784" spans="1:4" x14ac:dyDescent="0.2">
      <c r="A784" s="5">
        <v>723</v>
      </c>
      <c r="B784" s="138">
        <f>'Expenditures 15-22'!D41</f>
        <v>40441</v>
      </c>
      <c r="D784" s="2" t="str">
        <f t="shared" si="11"/>
        <v>Error?</v>
      </c>
    </row>
    <row r="785" spans="1:4" x14ac:dyDescent="0.2">
      <c r="A785" s="5">
        <v>724</v>
      </c>
      <c r="B785" s="138">
        <f>'Expenditures 15-22'!D42</f>
        <v>701426</v>
      </c>
      <c r="C785" s="2" t="s">
        <v>594</v>
      </c>
      <c r="D785" s="2" t="str">
        <f t="shared" si="11"/>
        <v>Error?</v>
      </c>
    </row>
    <row r="786" spans="1:4" x14ac:dyDescent="0.2">
      <c r="A786" s="5">
        <v>725</v>
      </c>
      <c r="B786" s="138">
        <f>'Expenditures 15-22'!D44</f>
        <v>137899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137899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45994</v>
      </c>
      <c r="C792" s="2" t="s">
        <v>594</v>
      </c>
      <c r="D792" s="2" t="str">
        <f t="shared" si="11"/>
        <v>Error?</v>
      </c>
    </row>
    <row r="793" spans="1:4" x14ac:dyDescent="0.2">
      <c r="A793" s="5">
        <v>732</v>
      </c>
      <c r="B793" s="138">
        <f>'Expenditures 15-22'!D55</f>
        <v>71733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71733</v>
      </c>
      <c r="C795" s="2" t="s">
        <v>594</v>
      </c>
      <c r="D795" s="2" t="str">
        <f t="shared" si="11"/>
        <v>Error?</v>
      </c>
    </row>
    <row r="796" spans="1:4" x14ac:dyDescent="0.2">
      <c r="A796" s="5">
        <v>735</v>
      </c>
      <c r="B796" s="138">
        <f>'Expenditures 15-22'!D59</f>
        <v>27554</v>
      </c>
      <c r="D796" s="2" t="str">
        <f t="shared" si="11"/>
        <v>Error?</v>
      </c>
    </row>
    <row r="797" spans="1:4" x14ac:dyDescent="0.2">
      <c r="A797" s="5">
        <v>736</v>
      </c>
      <c r="B797" s="138">
        <f>'Expenditures 15-22'!D60</f>
        <v>53319</v>
      </c>
      <c r="D797" s="2" t="str">
        <f t="shared" si="11"/>
        <v>Error?</v>
      </c>
    </row>
    <row r="798" spans="1:4" x14ac:dyDescent="0.2">
      <c r="A798" s="5">
        <v>737</v>
      </c>
      <c r="B798" s="138">
        <f>'Expenditures 15-22'!D61</f>
        <v>74344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10735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165952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1123004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3124216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94700</v>
      </c>
      <c r="C836" s="2" t="s">
        <v>594</v>
      </c>
      <c r="D836" s="2" t="str">
        <f t="shared" si="12"/>
        <v>Error?</v>
      </c>
    </row>
    <row r="837" spans="1:4" x14ac:dyDescent="0.2">
      <c r="A837" s="5">
        <v>776</v>
      </c>
      <c r="B837" s="138">
        <f>'Expenditures 15-22'!E36</f>
        <v>3408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32584</v>
      </c>
      <c r="D839" s="2" t="str">
        <f t="shared" si="12"/>
        <v>Error?</v>
      </c>
    </row>
    <row r="840" spans="1:4" x14ac:dyDescent="0.2">
      <c r="A840" s="5">
        <v>779</v>
      </c>
      <c r="B840" s="138">
        <f>'Expenditures 15-22'!E39</f>
        <v>14910</v>
      </c>
      <c r="D840" s="2" t="str">
        <f t="shared" si="12"/>
        <v>Error?</v>
      </c>
    </row>
    <row r="841" spans="1:4" x14ac:dyDescent="0.2">
      <c r="A841" s="5">
        <v>780</v>
      </c>
      <c r="B841" s="138">
        <f>'Expenditures 15-22'!E40</f>
        <v>34505</v>
      </c>
      <c r="D841" s="2" t="str">
        <f t="shared" si="12"/>
        <v>Error?</v>
      </c>
    </row>
    <row r="842" spans="1:4" x14ac:dyDescent="0.2">
      <c r="A842" s="5">
        <v>781</v>
      </c>
      <c r="B842" s="138">
        <f>'Expenditures 15-22'!E41</f>
        <v>3792</v>
      </c>
      <c r="D842" s="2" t="str">
        <f t="shared" si="12"/>
        <v>Error?</v>
      </c>
    </row>
    <row r="843" spans="1:4" x14ac:dyDescent="0.2">
      <c r="A843" s="5">
        <v>782</v>
      </c>
      <c r="B843" s="138">
        <f>'Expenditures 15-22'!E42</f>
        <v>89199</v>
      </c>
      <c r="C843" s="2" t="s">
        <v>594</v>
      </c>
      <c r="D843" s="2" t="str">
        <f t="shared" si="12"/>
        <v>Error?</v>
      </c>
    </row>
    <row r="844" spans="1:4" x14ac:dyDescent="0.2">
      <c r="A844" s="5">
        <v>783</v>
      </c>
      <c r="B844" s="138">
        <f>'Expenditures 15-22'!E44</f>
        <v>30186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30186</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282126</v>
      </c>
      <c r="C850" s="2" t="s">
        <v>594</v>
      </c>
      <c r="D850" s="2" t="str">
        <f t="shared" si="12"/>
        <v>Error?</v>
      </c>
    </row>
    <row r="851" spans="1:4" x14ac:dyDescent="0.2">
      <c r="A851" s="5">
        <v>790</v>
      </c>
      <c r="B851" s="138">
        <f>'Expenditures 15-22'!E55</f>
        <v>721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721</v>
      </c>
      <c r="C853" s="2" t="s">
        <v>594</v>
      </c>
      <c r="D853" s="2" t="str">
        <f t="shared" si="12"/>
        <v>Error?</v>
      </c>
    </row>
    <row r="854" spans="1:4" x14ac:dyDescent="0.2">
      <c r="A854" s="5">
        <v>793</v>
      </c>
      <c r="B854" s="138">
        <f>'Expenditures 15-22'!E59</f>
        <v>1053</v>
      </c>
      <c r="D854" s="2" t="str">
        <f t="shared" si="12"/>
        <v>Error?</v>
      </c>
    </row>
    <row r="855" spans="1:4" x14ac:dyDescent="0.2">
      <c r="A855" s="5">
        <v>794</v>
      </c>
      <c r="B855" s="138">
        <f>'Expenditures 15-22'!E60</f>
        <v>0</v>
      </c>
      <c r="D855" s="2" t="str">
        <f t="shared" si="12"/>
        <v>Error?</v>
      </c>
    </row>
    <row r="856" spans="1:4" x14ac:dyDescent="0.2">
      <c r="A856" s="5">
        <v>795</v>
      </c>
      <c r="B856" s="138">
        <f>'Expenditures 15-22'!E61</f>
        <v>784955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786082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1767</v>
      </c>
      <c r="D864" s="2" t="str">
        <f t="shared" si="12"/>
        <v>Error?</v>
      </c>
    </row>
    <row r="865" spans="1:4" x14ac:dyDescent="0.2">
      <c r="A865" s="5">
        <v>804</v>
      </c>
      <c r="B865" s="138">
        <f>'Expenditures 15-22'!E70</f>
        <v>2495</v>
      </c>
      <c r="D865" s="2" t="str">
        <f t="shared" si="12"/>
        <v>Error?</v>
      </c>
    </row>
    <row r="866" spans="1:4" x14ac:dyDescent="0.2">
      <c r="A866" s="10">
        <v>805</v>
      </c>
      <c r="D866" s="2" t="str">
        <f t="shared" si="12"/>
        <v>OK</v>
      </c>
    </row>
    <row r="867" spans="1:4" x14ac:dyDescent="0.2">
      <c r="A867" s="5">
        <v>806</v>
      </c>
      <c r="B867" s="138">
        <f>'Expenditures 15-22'!E71</f>
        <v>85503</v>
      </c>
      <c r="D867" s="2" t="str">
        <f t="shared" si="12"/>
        <v>Error?</v>
      </c>
    </row>
    <row r="868" spans="1:4" x14ac:dyDescent="0.2">
      <c r="A868" s="10">
        <v>807</v>
      </c>
      <c r="D868" s="2" t="str">
        <f t="shared" si="12"/>
        <v>OK</v>
      </c>
    </row>
    <row r="869" spans="1:4" x14ac:dyDescent="0.2">
      <c r="A869" s="5">
        <v>808</v>
      </c>
      <c r="B869" s="138">
        <f>'Expenditures 15-22'!E72</f>
        <v>89765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1278079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1430933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68392</v>
      </c>
      <c r="C894" s="2" t="s">
        <v>594</v>
      </c>
      <c r="D894" s="2" t="str">
        <f t="shared" si="12"/>
        <v>Error?</v>
      </c>
    </row>
    <row r="895" spans="1:4" x14ac:dyDescent="0.2">
      <c r="A895" s="5">
        <v>834</v>
      </c>
      <c r="B895" s="138">
        <f>'Expenditures 15-22'!F36</f>
        <v>18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6949</v>
      </c>
      <c r="D897" s="2" t="str">
        <f t="shared" si="13"/>
        <v>Error?</v>
      </c>
    </row>
    <row r="898" spans="1:4" x14ac:dyDescent="0.2">
      <c r="A898" s="5">
        <v>837</v>
      </c>
      <c r="B898" s="138">
        <f>'Expenditures 15-22'!F39</f>
        <v>14958</v>
      </c>
      <c r="D898" s="2" t="str">
        <f t="shared" si="13"/>
        <v>Error?</v>
      </c>
    </row>
    <row r="899" spans="1:4" x14ac:dyDescent="0.2">
      <c r="A899" s="5">
        <v>838</v>
      </c>
      <c r="B899" s="138">
        <f>'Expenditures 15-22'!F40</f>
        <v>8912</v>
      </c>
      <c r="D899" s="2" t="str">
        <f t="shared" si="13"/>
        <v>Error?</v>
      </c>
    </row>
    <row r="900" spans="1:4" x14ac:dyDescent="0.2">
      <c r="A900" s="5">
        <v>839</v>
      </c>
      <c r="B900" s="138">
        <f>'Expenditures 15-22'!F41</f>
        <v>299</v>
      </c>
      <c r="D900" s="2" t="str">
        <f t="shared" si="13"/>
        <v>Error?</v>
      </c>
    </row>
    <row r="901" spans="1:4" x14ac:dyDescent="0.2">
      <c r="A901" s="5">
        <v>840</v>
      </c>
      <c r="B901" s="138">
        <f>'Expenditures 15-22'!F42</f>
        <v>31136</v>
      </c>
      <c r="C901" s="2" t="s">
        <v>594</v>
      </c>
      <c r="D901" s="2" t="str">
        <f t="shared" si="13"/>
        <v>Error?</v>
      </c>
    </row>
    <row r="902" spans="1:4" x14ac:dyDescent="0.2">
      <c r="A902" s="5">
        <v>841</v>
      </c>
      <c r="B902" s="138">
        <f>'Expenditures 15-22'!F44</f>
        <v>14361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14361</v>
      </c>
      <c r="C905" s="2" t="s">
        <v>594</v>
      </c>
      <c r="D905" s="2" t="str">
        <f t="shared" si="13"/>
        <v>Error?</v>
      </c>
    </row>
    <row r="906" spans="1:4" x14ac:dyDescent="0.2">
      <c r="A906" s="5">
        <v>845</v>
      </c>
      <c r="B906" s="138">
        <f>'Expenditures 15-22'!F49</f>
        <v>55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21576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10</v>
      </c>
      <c r="D912" s="2" t="str">
        <f t="shared" si="13"/>
        <v>Error?</v>
      </c>
    </row>
    <row r="913" spans="1:4" x14ac:dyDescent="0.2">
      <c r="A913" s="5">
        <v>852</v>
      </c>
      <c r="B913" s="138">
        <f>'Expenditures 15-22'!F60</f>
        <v>1571</v>
      </c>
      <c r="D913" s="2" t="str">
        <f t="shared" si="13"/>
        <v>Error?</v>
      </c>
    </row>
    <row r="914" spans="1:4" x14ac:dyDescent="0.2">
      <c r="A914" s="5">
        <v>853</v>
      </c>
      <c r="B914" s="138">
        <f>'Expenditures 15-22'!F61</f>
        <v>84955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4454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90990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3238</v>
      </c>
      <c r="D925" s="2" t="str">
        <f t="shared" si="13"/>
        <v>Error?</v>
      </c>
    </row>
    <row r="926" spans="1:4" x14ac:dyDescent="0.2">
      <c r="A926" s="10">
        <v>865</v>
      </c>
      <c r="D926" s="2" t="str">
        <f t="shared" si="13"/>
        <v>OK</v>
      </c>
    </row>
    <row r="927" spans="1:4" x14ac:dyDescent="0.2">
      <c r="A927" s="5">
        <v>866</v>
      </c>
      <c r="B927" s="138">
        <f>'Expenditures 15-22'!F72</f>
        <v>3238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161301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229693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19421</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19421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19421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1924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1924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5723754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5725678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1510</v>
      </c>
      <c r="C1107" s="2" t="s">
        <v>594</v>
      </c>
      <c r="D1107" s="2" t="str">
        <f t="shared" si="16"/>
        <v>Error?</v>
      </c>
    </row>
    <row r="1108" spans="1:4" x14ac:dyDescent="0.2">
      <c r="A1108" s="5">
        <v>1047</v>
      </c>
      <c r="B1108" s="138">
        <f>'Expenditures 15-22'!K33</f>
        <v>6154640</v>
      </c>
      <c r="C1108" s="2" t="s">
        <v>594</v>
      </c>
      <c r="D1108" s="2" t="str">
        <f t="shared" si="16"/>
        <v>Error?</v>
      </c>
    </row>
    <row r="1109" spans="1:4" x14ac:dyDescent="0.2">
      <c r="A1109" s="5">
        <v>1048</v>
      </c>
      <c r="B1109" s="138">
        <f>'Expenditures 15-22'!K36</f>
        <v>400264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630097</v>
      </c>
      <c r="C1111" s="2" t="s">
        <v>594</v>
      </c>
      <c r="D1111" s="2" t="str">
        <f t="shared" si="16"/>
        <v>Error?</v>
      </c>
    </row>
    <row r="1112" spans="1:4" x14ac:dyDescent="0.2">
      <c r="A1112" s="5">
        <v>1051</v>
      </c>
      <c r="B1112" s="138">
        <f>'Expenditures 15-22'!K39</f>
        <v>1241580</v>
      </c>
      <c r="C1112" s="2" t="s">
        <v>594</v>
      </c>
      <c r="D1112" s="2" t="str">
        <f t="shared" si="16"/>
        <v>Error?</v>
      </c>
    </row>
    <row r="1113" spans="1:4" x14ac:dyDescent="0.2">
      <c r="A1113" s="5">
        <v>1052</v>
      </c>
      <c r="B1113" s="138">
        <f>'Expenditures 15-22'!K40</f>
        <v>737533</v>
      </c>
      <c r="C1113" s="2" t="s">
        <v>594</v>
      </c>
      <c r="D1113" s="2" t="str">
        <f t="shared" si="16"/>
        <v>Error?</v>
      </c>
    </row>
    <row r="1114" spans="1:4" x14ac:dyDescent="0.2">
      <c r="A1114" s="5">
        <v>1053</v>
      </c>
      <c r="B1114" s="138">
        <f>'Expenditures 15-22'!K41</f>
        <v>148336</v>
      </c>
      <c r="C1114" s="2" t="s">
        <v>594</v>
      </c>
      <c r="D1114" s="2" t="str">
        <f t="shared" si="16"/>
        <v>Error?</v>
      </c>
    </row>
    <row r="1115" spans="1:4" x14ac:dyDescent="0.2">
      <c r="A1115" s="5">
        <v>1054</v>
      </c>
      <c r="B1115" s="138">
        <f>'Expenditures 15-22'!K42</f>
        <v>3157810</v>
      </c>
      <c r="C1115" s="2" t="s">
        <v>594</v>
      </c>
      <c r="D1115" s="2" t="str">
        <f t="shared" si="16"/>
        <v>Error?</v>
      </c>
    </row>
    <row r="1116" spans="1:4" x14ac:dyDescent="0.2">
      <c r="A1116" s="5">
        <v>1055</v>
      </c>
      <c r="B1116" s="138">
        <f>'Expenditures 15-22'!K44</f>
        <v>579115</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579115</v>
      </c>
      <c r="C1119" s="2" t="s">
        <v>594</v>
      </c>
      <c r="D1119" s="2" t="str">
        <f t="shared" si="16"/>
        <v>Error?</v>
      </c>
    </row>
    <row r="1120" spans="1:4" x14ac:dyDescent="0.2">
      <c r="A1120" s="5">
        <v>1059</v>
      </c>
      <c r="B1120" s="138">
        <f>'Expenditures 15-22'!K49</f>
        <v>55</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569237</v>
      </c>
      <c r="C1122" s="2" t="s">
        <v>594</v>
      </c>
      <c r="D1122" s="2" t="str">
        <f t="shared" si="16"/>
        <v>Error?</v>
      </c>
    </row>
    <row r="1123" spans="1:4" x14ac:dyDescent="0.2">
      <c r="A1123" s="5">
        <v>1062</v>
      </c>
      <c r="B1123" s="138">
        <f>'Expenditures 15-22'!K55</f>
        <v>244900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244900</v>
      </c>
      <c r="C1125" s="2" t="s">
        <v>594</v>
      </c>
      <c r="D1125" s="2" t="str">
        <f t="shared" si="16"/>
        <v>Error?</v>
      </c>
    </row>
    <row r="1126" spans="1:4" x14ac:dyDescent="0.2">
      <c r="A1126" s="5">
        <v>1065</v>
      </c>
      <c r="B1126" s="138">
        <f>'Expenditures 15-22'!K59</f>
        <v>111282</v>
      </c>
      <c r="C1126" s="2" t="s">
        <v>594</v>
      </c>
      <c r="D1126" s="2" t="str">
        <f t="shared" si="16"/>
        <v>Error?</v>
      </c>
    </row>
    <row r="1127" spans="1:4" x14ac:dyDescent="0.2">
      <c r="A1127" s="5">
        <v>1066</v>
      </c>
      <c r="B1127" s="138">
        <f>'Expenditures 15-22'!K60</f>
        <v>177823</v>
      </c>
      <c r="C1127" s="2" t="s">
        <v>594</v>
      </c>
      <c r="D1127" s="2" t="str">
        <f t="shared" si="16"/>
        <v>Error?</v>
      </c>
    </row>
    <row r="1128" spans="1:4" x14ac:dyDescent="0.2">
      <c r="A1128" s="5">
        <v>1067</v>
      </c>
      <c r="B1128" s="138">
        <f>'Expenditures 15-22'!K61</f>
        <v>1094688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37508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1421301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1767</v>
      </c>
      <c r="C1136" s="2" t="s">
        <v>594</v>
      </c>
      <c r="D1136" s="2" t="str">
        <f t="shared" si="16"/>
        <v>Error?</v>
      </c>
    </row>
    <row r="1137" spans="1:4" x14ac:dyDescent="0.2">
      <c r="A1137" s="5">
        <v>1076</v>
      </c>
      <c r="B1137" s="138">
        <f>'Expenditures 15-22'!K70</f>
        <v>2495</v>
      </c>
      <c r="C1137" s="2" t="s">
        <v>594</v>
      </c>
      <c r="D1137" s="2" t="str">
        <f t="shared" si="16"/>
        <v>Error?</v>
      </c>
    </row>
    <row r="1138" spans="1:4" x14ac:dyDescent="0.2">
      <c r="A1138" s="10">
        <v>1077</v>
      </c>
      <c r="D1138" s="2" t="str">
        <f t="shared" si="16"/>
        <v>OK</v>
      </c>
    </row>
    <row r="1139" spans="1:4" x14ac:dyDescent="0.2">
      <c r="A1139" s="5">
        <v>1078</v>
      </c>
      <c r="B1139" s="138">
        <f>'Expenditures 15-22'!K71</f>
        <v>94011</v>
      </c>
      <c r="C1139" s="2" t="s">
        <v>594</v>
      </c>
      <c r="D1139" s="2" t="str">
        <f t="shared" si="16"/>
        <v>Error?</v>
      </c>
    </row>
    <row r="1140" spans="1:4" x14ac:dyDescent="0.2">
      <c r="A1140" s="10">
        <v>1079</v>
      </c>
      <c r="D1140" s="2" t="str">
        <f t="shared" si="16"/>
        <v>OK</v>
      </c>
    </row>
    <row r="1141" spans="1:4" x14ac:dyDescent="0.2">
      <c r="A1141" s="5">
        <v>1080</v>
      </c>
      <c r="B1141" s="138">
        <f>'Expenditures 15-22'!K72</f>
        <v>98273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6070636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5781908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18007184</v>
      </c>
      <c r="C1152" s="2" t="s">
        <v>594</v>
      </c>
      <c r="D1152" s="2" t="str">
        <f t="shared" si="17"/>
        <v>Error?</v>
      </c>
    </row>
    <row r="1153" spans="1:4" x14ac:dyDescent="0.2">
      <c r="A1153" s="5">
        <v>1092</v>
      </c>
      <c r="B1153" s="138">
        <f>'Expenditures 15-22'!K115</f>
        <v>500200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43934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343934</v>
      </c>
      <c r="C1317" s="2" t="s">
        <v>594</v>
      </c>
      <c r="D1317" s="2" t="str">
        <f t="shared" si="19"/>
        <v>Error?</v>
      </c>
    </row>
    <row r="1318" spans="1:4" x14ac:dyDescent="0.2">
      <c r="A1318" s="5">
        <v>1257</v>
      </c>
      <c r="B1318" s="138">
        <f>'Expenditures 15-22'!H174</f>
        <v>343934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43934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300000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343934</v>
      </c>
      <c r="C1331" s="2" t="s">
        <v>594</v>
      </c>
      <c r="D1331" s="2" t="str">
        <f t="shared" si="19"/>
        <v>Error?</v>
      </c>
    </row>
    <row r="1332" spans="1:4" x14ac:dyDescent="0.2">
      <c r="A1332" s="5">
        <v>1271</v>
      </c>
      <c r="B1332" s="138">
        <f>'Expenditures 15-22'!K174</f>
        <v>343934</v>
      </c>
      <c r="C1332" s="2" t="s">
        <v>594</v>
      </c>
      <c r="D1332" s="2" t="str">
        <f t="shared" si="19"/>
        <v>Error?</v>
      </c>
    </row>
    <row r="1333" spans="1:4" x14ac:dyDescent="0.2">
      <c r="A1333" s="5">
        <v>1272</v>
      </c>
      <c r="B1333" s="138">
        <f>'Expenditures 15-22'!K175</f>
        <v>938</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4258752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4758952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52558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53496</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1580000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806287</v>
      </c>
      <c r="D2008" s="2" t="str">
        <f t="shared" si="30"/>
        <v>Error?</v>
      </c>
    </row>
    <row r="2009" spans="1:4" x14ac:dyDescent="0.2">
      <c r="A2009" s="5">
        <v>1948</v>
      </c>
      <c r="B2009" s="138">
        <f>'Cap Outlay Deprec 26'!C8</f>
        <v>7528302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1554387</v>
      </c>
      <c r="D2012" s="2" t="str">
        <f t="shared" si="30"/>
        <v>Error?</v>
      </c>
    </row>
    <row r="2013" spans="1:4" x14ac:dyDescent="0.2">
      <c r="A2013" s="5">
        <v>1952</v>
      </c>
      <c r="B2013" s="138">
        <f>'Cap Outlay Deprec 26'!C16</f>
        <v>9888976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19421</v>
      </c>
      <c r="D2018" s="2" t="str">
        <f t="shared" si="30"/>
        <v>Error?</v>
      </c>
    </row>
    <row r="2019" spans="1:4" x14ac:dyDescent="0.2">
      <c r="A2019" s="5">
        <v>1958</v>
      </c>
      <c r="B2019" s="138">
        <f>'Cap Outlay Deprec 26'!D16</f>
        <v>19421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806287</v>
      </c>
      <c r="C2026" s="2" t="s">
        <v>594</v>
      </c>
      <c r="D2026" s="2" t="str">
        <f t="shared" si="30"/>
        <v>Error?</v>
      </c>
    </row>
    <row r="2027" spans="1:4" x14ac:dyDescent="0.2">
      <c r="A2027" s="5">
        <v>1966</v>
      </c>
      <c r="B2027" s="138">
        <f>'Cap Outlay Deprec 26'!F8</f>
        <v>7528302</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1573808</v>
      </c>
      <c r="C2030" s="2" t="s">
        <v>594</v>
      </c>
      <c r="D2030" s="2" t="str">
        <f t="shared" si="30"/>
        <v>Error?</v>
      </c>
    </row>
    <row r="2031" spans="1:4" x14ac:dyDescent="0.2">
      <c r="A2031" s="5">
        <v>1970</v>
      </c>
      <c r="B2031" s="138">
        <f>'Cap Outlay Deprec 26'!F16</f>
        <v>9908397</v>
      </c>
      <c r="C2031" s="2" t="s">
        <v>594</v>
      </c>
      <c r="D2031" s="2" t="str">
        <f t="shared" si="30"/>
        <v>Error?</v>
      </c>
    </row>
    <row r="2032" spans="1:4" x14ac:dyDescent="0.2">
      <c r="A2032" s="10">
        <v>1971</v>
      </c>
      <c r="D2032" s="2" t="str">
        <f t="shared" si="30"/>
        <v>OK</v>
      </c>
    </row>
    <row r="2033" spans="1:4" x14ac:dyDescent="0.2">
      <c r="A2033" s="5">
        <v>1972</v>
      </c>
      <c r="B2033" s="138">
        <f>'Cap Outlay Deprec 26'!H8</f>
        <v>2196196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1551236</v>
      </c>
      <c r="D2036" s="2" t="str">
        <f t="shared" si="30"/>
        <v>Error?</v>
      </c>
    </row>
    <row r="2037" spans="1:4" x14ac:dyDescent="0.2">
      <c r="A2037" s="5">
        <v>1976</v>
      </c>
      <c r="B2037" s="138">
        <f>'Cap Outlay Deprec 26'!H16</f>
        <v>3747432</v>
      </c>
      <c r="C2037" s="2" t="s">
        <v>594</v>
      </c>
      <c r="D2037" s="2" t="str">
        <f t="shared" si="30"/>
        <v>Error?</v>
      </c>
    </row>
    <row r="2038" spans="1:4" x14ac:dyDescent="0.2">
      <c r="A2038" s="10">
        <v>1977</v>
      </c>
      <c r="D2038" s="2" t="str">
        <f t="shared" si="30"/>
        <v>OK</v>
      </c>
    </row>
    <row r="2039" spans="1:4" x14ac:dyDescent="0.2">
      <c r="A2039" s="5">
        <v>1978</v>
      </c>
      <c r="B2039" s="138">
        <f>'Cap Outlay Deprec 26'!I8</f>
        <v>151858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13744</v>
      </c>
      <c r="D2042" s="2" t="str">
        <f t="shared" si="30"/>
        <v>Error?</v>
      </c>
    </row>
    <row r="2043" spans="1:4" x14ac:dyDescent="0.2">
      <c r="A2043" s="5">
        <v>1982</v>
      </c>
      <c r="B2043" s="138">
        <f>'Cap Outlay Deprec 26'!I16</f>
        <v>165602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2348054</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1564980</v>
      </c>
      <c r="C2054" s="2" t="s">
        <v>594</v>
      </c>
      <c r="D2054" s="2" t="str">
        <f t="shared" si="31"/>
        <v>Error?</v>
      </c>
    </row>
    <row r="2055" spans="1:4" x14ac:dyDescent="0.2">
      <c r="A2055" s="5">
        <v>1994</v>
      </c>
      <c r="B2055" s="138">
        <f>'Cap Outlay Deprec 26'!K16</f>
        <v>3913034</v>
      </c>
      <c r="C2055" s="2" t="s">
        <v>594</v>
      </c>
      <c r="D2055" s="2" t="str">
        <f t="shared" si="31"/>
        <v>Error?</v>
      </c>
    </row>
    <row r="2056" spans="1:4" x14ac:dyDescent="0.2">
      <c r="A2056" s="5">
        <v>1995</v>
      </c>
      <c r="B2056" s="138">
        <f>'Cap Outlay Deprec 26'!L5</f>
        <v>806287</v>
      </c>
      <c r="C2056" s="2" t="s">
        <v>594</v>
      </c>
      <c r="D2056" s="2" t="str">
        <f t="shared" si="31"/>
        <v>Error?</v>
      </c>
    </row>
    <row r="2057" spans="1:4" x14ac:dyDescent="0.2">
      <c r="A2057" s="5">
        <v>1996</v>
      </c>
      <c r="B2057" s="138">
        <f>'Cap Outlay Deprec 26'!L8</f>
        <v>5180248</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8828</v>
      </c>
      <c r="C2060" s="2" t="s">
        <v>594</v>
      </c>
      <c r="D2060" s="2" t="str">
        <f t="shared" si="31"/>
        <v>Error?</v>
      </c>
    </row>
    <row r="2061" spans="1:4" x14ac:dyDescent="0.2">
      <c r="A2061" s="5">
        <v>2000</v>
      </c>
      <c r="B2061" s="138">
        <f>'Cap Outlay Deprec 26'!L16</f>
        <v>5995363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5134617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5192771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9601608</v>
      </c>
      <c r="C2551" s="2" t="s">
        <v>594</v>
      </c>
      <c r="D2551" s="2" t="str">
        <f t="shared" si="38"/>
        <v>Error?</v>
      </c>
    </row>
    <row r="2552" spans="1:4" x14ac:dyDescent="0.2">
      <c r="A2552" s="10">
        <v>2491</v>
      </c>
      <c r="D2552" s="2" t="str">
        <f t="shared" si="38"/>
        <v>OK</v>
      </c>
    </row>
    <row r="2553" spans="1:4" x14ac:dyDescent="0.2">
      <c r="A2553" s="5">
        <v>2492</v>
      </c>
      <c r="B2553" s="138">
        <f>'Acct Summary 7-8'!C6</f>
        <v>1545553</v>
      </c>
      <c r="C2553" s="2" t="s">
        <v>594</v>
      </c>
      <c r="D2553" s="2" t="str">
        <f t="shared" si="38"/>
        <v>Error?</v>
      </c>
    </row>
    <row r="2554" spans="1:4" x14ac:dyDescent="0.2">
      <c r="A2554" s="5">
        <v>2493</v>
      </c>
      <c r="B2554" s="138">
        <f>'Acct Summary 7-8'!C7</f>
        <v>2228687</v>
      </c>
      <c r="C2554" s="2" t="s">
        <v>594</v>
      </c>
      <c r="D2554" s="2" t="str">
        <f t="shared" si="38"/>
        <v>Error?</v>
      </c>
    </row>
    <row r="2555" spans="1:4" x14ac:dyDescent="0.2">
      <c r="A2555" s="5">
        <v>2494</v>
      </c>
      <c r="B2555" s="138">
        <f>'Acct Summary 7-8'!C8</f>
        <v>18507384</v>
      </c>
      <c r="C2555" s="2" t="s">
        <v>594</v>
      </c>
      <c r="D2555" s="2" t="str">
        <f t="shared" si="38"/>
        <v>Error?</v>
      </c>
    </row>
    <row r="2556" spans="1:4" x14ac:dyDescent="0.2">
      <c r="A2556" s="5">
        <v>2495</v>
      </c>
      <c r="B2556" s="138">
        <f>'Acct Summary 7-8'!C12</f>
        <v>6154640</v>
      </c>
      <c r="C2556" s="2" t="s">
        <v>594</v>
      </c>
      <c r="D2556" s="2" t="str">
        <f t="shared" si="38"/>
        <v>Error?</v>
      </c>
    </row>
    <row r="2557" spans="1:4" x14ac:dyDescent="0.2">
      <c r="A2557" s="5">
        <v>2496</v>
      </c>
      <c r="B2557" s="138">
        <f>'Acct Summary 7-8'!C13</f>
        <v>6070636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5781908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18007184</v>
      </c>
      <c r="C2561" s="2" t="s">
        <v>594</v>
      </c>
      <c r="D2561" s="2" t="str">
        <f t="shared" si="39"/>
        <v>Error?</v>
      </c>
    </row>
    <row r="2562" spans="1:4" x14ac:dyDescent="0.2">
      <c r="A2562" s="5">
        <v>2501</v>
      </c>
      <c r="B2562" s="138">
        <f>'Acct Summary 7-8'!C20</f>
        <v>500200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344872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344872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343934</v>
      </c>
      <c r="C2634" s="2" t="s">
        <v>594</v>
      </c>
      <c r="D2634" s="2" t="str">
        <f t="shared" si="40"/>
        <v>Error?</v>
      </c>
    </row>
    <row r="2635" spans="1:4" x14ac:dyDescent="0.2">
      <c r="A2635" s="5">
        <v>2574</v>
      </c>
      <c r="B2635" s="138">
        <f>'Acct Summary 7-8'!E17</f>
        <v>343934</v>
      </c>
      <c r="C2635" s="2" t="s">
        <v>594</v>
      </c>
      <c r="D2635" s="2" t="str">
        <f t="shared" si="40"/>
        <v>Error?</v>
      </c>
    </row>
    <row r="2636" spans="1:4" x14ac:dyDescent="0.2">
      <c r="A2636" s="5">
        <v>2575</v>
      </c>
      <c r="B2636" s="138">
        <f>'Acct Summary 7-8'!E20</f>
        <v>938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198196</v>
      </c>
      <c r="D2718" s="2" t="str">
        <f t="shared" si="41"/>
        <v>Error?</v>
      </c>
    </row>
    <row r="2719" spans="1:4" x14ac:dyDescent="0.2">
      <c r="A2719" s="5">
        <v>2658</v>
      </c>
      <c r="B2719" s="138">
        <f>'Expenditures 15-22'!D51</f>
        <v>45994</v>
      </c>
      <c r="D2719" s="2" t="str">
        <f t="shared" si="41"/>
        <v>Error?</v>
      </c>
    </row>
    <row r="2720" spans="1:4" x14ac:dyDescent="0.2">
      <c r="A2720" s="5">
        <v>2659</v>
      </c>
      <c r="B2720" s="138">
        <f>'Expenditures 15-22'!E51</f>
        <v>84383</v>
      </c>
      <c r="D2720" s="2" t="str">
        <f t="shared" si="41"/>
        <v>Error?</v>
      </c>
    </row>
    <row r="2721" spans="1:4" x14ac:dyDescent="0.2">
      <c r="A2721" s="5">
        <v>2660</v>
      </c>
      <c r="B2721" s="138">
        <f>'Expenditures 15-22'!F51</f>
        <v>21521</v>
      </c>
      <c r="D2721" s="2" t="str">
        <f t="shared" si="41"/>
        <v>Error?</v>
      </c>
    </row>
    <row r="2722" spans="1:4" x14ac:dyDescent="0.2">
      <c r="A2722" s="5">
        <v>2661</v>
      </c>
      <c r="B2722" s="138">
        <f>'Expenditures 15-22'!G51</f>
        <v>19421</v>
      </c>
      <c r="D2722" s="2" t="str">
        <f t="shared" si="41"/>
        <v>Error?</v>
      </c>
    </row>
    <row r="2723" spans="1:4" x14ac:dyDescent="0.2">
      <c r="A2723" s="5">
        <v>2662</v>
      </c>
      <c r="B2723" s="138">
        <f>'Expenditures 15-22'!H51</f>
        <v>1924</v>
      </c>
      <c r="D2723" s="2" t="str">
        <f t="shared" si="41"/>
        <v>Error?</v>
      </c>
    </row>
    <row r="2724" spans="1:4" x14ac:dyDescent="0.2">
      <c r="A2724" s="5">
        <v>2663</v>
      </c>
      <c r="B2724" s="138">
        <f>'Expenditures 15-22'!K51</f>
        <v>371439</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58154</v>
      </c>
      <c r="C2789" s="2" t="s">
        <v>594</v>
      </c>
      <c r="D2789" s="2" t="str">
        <f t="shared" si="42"/>
        <v>Error?</v>
      </c>
    </row>
    <row r="2790" spans="1:4" x14ac:dyDescent="0.2">
      <c r="A2790" s="5">
        <v>2729</v>
      </c>
      <c r="B2790" s="138">
        <f>'Expenditures 15-22'!E102</f>
        <v>58154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15046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15046</v>
      </c>
      <c r="D2914" s="2" t="str">
        <f t="shared" si="44"/>
        <v>Error?</v>
      </c>
    </row>
    <row r="2915" spans="1:4" x14ac:dyDescent="0.2">
      <c r="A2915" s="10">
        <v>2854</v>
      </c>
      <c r="D2915" s="2" t="str">
        <f t="shared" si="44"/>
        <v>OK</v>
      </c>
    </row>
    <row r="2916" spans="1:4" x14ac:dyDescent="0.2">
      <c r="A2916" s="5">
        <v>2855</v>
      </c>
      <c r="B2916" s="138">
        <f>'Assets-Liab 5-6'!L34</f>
        <v>15046</v>
      </c>
      <c r="C2916" s="2" t="s">
        <v>594</v>
      </c>
      <c r="D2916" s="2" t="str">
        <f t="shared" si="44"/>
        <v>Error?</v>
      </c>
    </row>
    <row r="2917" spans="1:4" x14ac:dyDescent="0.2">
      <c r="A2917" s="5">
        <v>2856</v>
      </c>
      <c r="B2917" s="138">
        <f>'Assets-Liab 5-6'!L41</f>
        <v>15046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58154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5134617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5192771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500200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938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3950443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1986402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94700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68392</v>
      </c>
      <c r="D3372" s="2" t="str">
        <f t="shared" si="51"/>
        <v>Error?</v>
      </c>
    </row>
    <row r="3373" spans="1:4" x14ac:dyDescent="0.2">
      <c r="A3373" s="5">
        <v>3312</v>
      </c>
      <c r="B3373" s="138">
        <f>'Expenditures 15-22'!F19</f>
        <v>0</v>
      </c>
      <c r="D3373" s="2" t="str">
        <f t="shared" si="51"/>
        <v>Error?</v>
      </c>
    </row>
    <row r="3374" spans="1:4" x14ac:dyDescent="0.2">
      <c r="A3374" s="5">
        <v>3313</v>
      </c>
      <c r="B3374" s="138" t="str">
        <f>'Expenditures 15-22'!G8</f>
        <v xml:space="preserve"> </v>
      </c>
      <c r="D3374" s="2" t="e">
        <f t="shared" si="51"/>
        <v>#VALUE!</v>
      </c>
    </row>
    <row r="3375" spans="1:4" x14ac:dyDescent="0.2">
      <c r="A3375" s="5">
        <v>3314</v>
      </c>
      <c r="B3375" s="138">
        <f>'Expenditures 15-22'!G19</f>
        <v>0</v>
      </c>
      <c r="D3375" s="2" t="str">
        <f t="shared" si="51"/>
        <v>Error?</v>
      </c>
    </row>
    <row r="3376" spans="1:4" x14ac:dyDescent="0.2">
      <c r="A3376" s="5">
        <v>3315</v>
      </c>
      <c r="B3376" s="138" t="str">
        <f>'Expenditures 15-22'!H8</f>
        <v xml:space="preserve"> </v>
      </c>
      <c r="D3376" s="2" t="e">
        <f t="shared" si="51"/>
        <v>#VALUE!</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6123237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5131536</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5918640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53496</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15046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4528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3812508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22319892</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344872</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3812508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21819692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343934</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1280000</v>
      </c>
      <c r="C4171" s="2" t="s">
        <v>594</v>
      </c>
      <c r="D4171" s="2" t="str">
        <f t="shared" si="64"/>
        <v>Error?</v>
      </c>
    </row>
    <row r="4172" spans="1:4" x14ac:dyDescent="0.2">
      <c r="A4172" s="5">
        <v>4111</v>
      </c>
      <c r="B4172" s="138">
        <f>'Short-Term Long-Term Debt 24'!J49</f>
        <v>1226504</v>
      </c>
      <c r="C4172" s="2" t="s">
        <v>594</v>
      </c>
      <c r="D4172" s="2" t="str">
        <f t="shared" si="64"/>
        <v>Error?</v>
      </c>
    </row>
    <row r="4173" spans="1:4" x14ac:dyDescent="0.2">
      <c r="A4173" s="5">
        <v>4112</v>
      </c>
      <c r="B4173" s="138">
        <f>'Short-Term Long-Term Debt 24'!H49</f>
        <v>300000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4758952</v>
      </c>
      <c r="C4269" s="2" t="s">
        <v>594</v>
      </c>
      <c r="D4269" s="2" t="str">
        <f t="shared" si="65"/>
        <v>Error?</v>
      </c>
    </row>
    <row r="4270" spans="1:5" x14ac:dyDescent="0.2">
      <c r="A4270" s="12">
        <v>4209</v>
      </c>
      <c r="B4270" s="138">
        <f>'FP Info 3'!D24</f>
        <v>21330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98671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403434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1280000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7578338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7578338</v>
      </c>
      <c r="C5087" s="2" t="s">
        <v>594</v>
      </c>
      <c r="D5087" s="2" t="str">
        <f t="shared" si="78"/>
        <v>Error?</v>
      </c>
    </row>
    <row r="5088" spans="1:4" x14ac:dyDescent="0.2">
      <c r="A5088" s="5">
        <v>5027</v>
      </c>
      <c r="B5088" s="138">
        <f>'Revenues 9-14'!C65</f>
        <v>1419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1419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849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3742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153022</v>
      </c>
      <c r="D5113" s="2" t="str">
        <f t="shared" si="78"/>
        <v>Error?</v>
      </c>
    </row>
    <row r="5114" spans="1:4" x14ac:dyDescent="0.2">
      <c r="A5114" s="5">
        <v>5053</v>
      </c>
      <c r="B5114" s="138">
        <f>'Revenues 9-14'!C96</f>
        <v>6867</v>
      </c>
      <c r="D5114" s="2" t="str">
        <f t="shared" si="78"/>
        <v>Error?</v>
      </c>
    </row>
    <row r="5115" spans="1:4" x14ac:dyDescent="0.2">
      <c r="A5115" s="5">
        <v>5054</v>
      </c>
      <c r="B5115" s="138">
        <f>'Revenues 9-14'!C98</f>
        <v>1858220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2018109</v>
      </c>
      <c r="C5120" s="2" t="s">
        <v>594</v>
      </c>
      <c r="D5120" s="2" t="str">
        <f t="shared" si="79"/>
        <v>Error?</v>
      </c>
    </row>
    <row r="5121" spans="1:4" x14ac:dyDescent="0.2">
      <c r="A5121" s="5">
        <v>5060</v>
      </c>
      <c r="B5121" s="138">
        <f>'Revenues 9-14'!C109</f>
        <v>9601608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5131536</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5131536</v>
      </c>
      <c r="C5125" s="2" t="s">
        <v>594</v>
      </c>
      <c r="D5125" s="2" t="str">
        <f t="shared" si="79"/>
        <v>Error?</v>
      </c>
    </row>
    <row r="5126" spans="1:4" x14ac:dyDescent="0.2">
      <c r="A5126" s="5">
        <v>5065</v>
      </c>
      <c r="B5126" s="138">
        <f>'Revenues 9-14'!C117</f>
        <v>1235729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1235729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308932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308932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892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309824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1545553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45863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29343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75206</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298869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1352507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1651376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2228687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2228687</v>
      </c>
      <c r="C5326" s="2" t="s">
        <v>594</v>
      </c>
      <c r="D5326" s="2" t="str">
        <f t="shared" si="82"/>
        <v>Error?</v>
      </c>
    </row>
    <row r="5327" spans="1:4" x14ac:dyDescent="0.2">
      <c r="A5327" s="5">
        <v>5266</v>
      </c>
      <c r="B5327" s="138">
        <f>'Revenues 9-14'!C275</f>
        <v>18507384</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344872</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344872</v>
      </c>
      <c r="C5526" s="2" t="s">
        <v>594</v>
      </c>
      <c r="D5526" s="2" t="str">
        <f t="shared" si="85"/>
        <v>Error?</v>
      </c>
    </row>
    <row r="5527" spans="1:4" x14ac:dyDescent="0.2">
      <c r="A5527" s="5">
        <v>5466</v>
      </c>
      <c r="B5527" s="138">
        <f>'Revenues 9-14'!E109</f>
        <v>344872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344872</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2893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6189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28423</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7093</v>
      </c>
      <c r="D6078" s="2" t="str">
        <f t="shared" si="93"/>
        <v>Error?</v>
      </c>
      <c r="E6078" s="2" t="s">
        <v>987</v>
      </c>
    </row>
    <row r="6079" spans="1:5" x14ac:dyDescent="0.2">
      <c r="A6079">
        <v>6018</v>
      </c>
      <c r="B6079" s="138">
        <f>'Short-Term Long-Term Debt 24'!F27</f>
        <v>21330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1016651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1736535</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2518430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788196</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500200</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938</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0.10510717485698531</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f>'Acct Summary 7-8'!E83</f>
        <v>1.7534021235232542E-2</v>
      </c>
      <c r="D6278" s="2" t="str">
        <f t="shared" si="97"/>
        <v>Error?</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23300</v>
      </c>
      <c r="D6849" s="2" t="str">
        <f t="shared" si="106"/>
        <v>Error?</v>
      </c>
    </row>
    <row r="6850" spans="1:4" x14ac:dyDescent="0.2">
      <c r="A6850">
        <v>6789</v>
      </c>
      <c r="B6850" s="138" t="str">
        <f>'Expenditures 15-22'!J8</f>
        <v xml:space="preserve"> </v>
      </c>
      <c r="D6850" s="2" t="e">
        <f t="shared" si="106"/>
        <v>#VALUE!</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29893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23300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12151</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40452</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52603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197743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197743</v>
      </c>
      <c r="D6940" s="2" t="str">
        <f t="shared" si="107"/>
        <v>Error?</v>
      </c>
    </row>
    <row r="6941" spans="1:4" x14ac:dyDescent="0.2">
      <c r="A6941">
        <v>6880</v>
      </c>
      <c r="B6941" s="138">
        <f>'Expenditures 15-22'!L52</f>
        <v>179983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11011</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11011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5270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5270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68884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589137</v>
      </c>
      <c r="D7006" s="2" t="str">
        <f t="shared" si="108"/>
        <v>Error?</v>
      </c>
    </row>
    <row r="7007" spans="1:4" x14ac:dyDescent="0.2">
      <c r="A7007">
        <v>6946</v>
      </c>
      <c r="B7007" s="138">
        <f>'Expenditures 15-22'!K98</f>
        <v>589137</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589137</v>
      </c>
      <c r="D7012" s="2" t="str">
        <f t="shared" si="108"/>
        <v>Error?</v>
      </c>
    </row>
    <row r="7013" spans="1:4" x14ac:dyDescent="0.2">
      <c r="A7013">
        <v>6952</v>
      </c>
      <c r="B7013" s="138">
        <f>'Expenditures 15-22'!K100</f>
        <v>589137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92184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15256</v>
      </c>
      <c r="D7251" s="2" t="str">
        <f t="shared" si="112"/>
        <v>Error?</v>
      </c>
    </row>
    <row r="7252" spans="1:4" x14ac:dyDescent="0.2">
      <c r="A7252">
        <f t="shared" si="113"/>
        <v>7191</v>
      </c>
      <c r="B7252" s="138">
        <f>'Expenditures 15-22'!D9</f>
        <v>14637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92184</v>
      </c>
      <c r="D7624" s="2" t="str">
        <f t="shared" si="124"/>
        <v>Error?</v>
      </c>
      <c r="E7624" s="2" t="s">
        <v>19</v>
      </c>
    </row>
    <row r="7625" spans="1:5" x14ac:dyDescent="0.2">
      <c r="A7625">
        <f t="shared" si="123"/>
        <v>7564</v>
      </c>
      <c r="B7625" s="138">
        <f>'Cap Outlay Deprec 26'!I17</f>
        <v>9218.4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174820.4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15000</v>
      </c>
      <c r="D7797" s="2" t="str">
        <f t="shared" si="127"/>
        <v>Error?</v>
      </c>
      <c r="E7797" s="4" t="s">
        <v>2017</v>
      </c>
    </row>
    <row r="7798" spans="1:5" x14ac:dyDescent="0.2">
      <c r="A7798">
        <v>7737</v>
      </c>
      <c r="B7798" s="138">
        <f>'Contracts Paid in CY 29'!F141</f>
        <v>15000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23" sqref="A23:H2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8" t="s">
        <v>1253</v>
      </c>
      <c r="B2" s="2428"/>
      <c r="C2" s="2428"/>
      <c r="D2" s="2428"/>
      <c r="E2" s="2428"/>
      <c r="F2" s="2428"/>
      <c r="G2" s="2428"/>
      <c r="H2" s="2428"/>
      <c r="I2" s="2428"/>
      <c r="J2" s="2428"/>
      <c r="K2" s="2428"/>
      <c r="L2" s="2428"/>
    </row>
    <row r="3" spans="1:29" ht="13.5" customHeight="1" x14ac:dyDescent="0.2">
      <c r="A3" s="2414" t="s">
        <v>1252</v>
      </c>
      <c r="B3" s="2414"/>
      <c r="C3" s="2414"/>
      <c r="D3" s="2414"/>
      <c r="E3" s="2414"/>
      <c r="F3" s="2414"/>
      <c r="G3" s="2414"/>
      <c r="H3" s="2414"/>
      <c r="I3" s="2414"/>
      <c r="J3" s="2414"/>
      <c r="K3" s="2414"/>
      <c r="L3" s="2414"/>
    </row>
    <row r="4" spans="1:29" ht="13.5" customHeight="1" x14ac:dyDescent="0.2">
      <c r="A4" s="2428" t="s">
        <v>1799</v>
      </c>
      <c r="B4" s="2445"/>
      <c r="C4" s="2445"/>
      <c r="D4" s="2445"/>
      <c r="E4" s="2445"/>
      <c r="F4" s="2445"/>
      <c r="G4" s="2445"/>
      <c r="H4" s="2445"/>
      <c r="I4" s="2445"/>
      <c r="J4" s="2445"/>
      <c r="K4" s="2445"/>
      <c r="L4" s="244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8" t="str">
        <f>COVER!A17</f>
        <v>Belleville Area Special Services Coop</v>
      </c>
      <c r="B7" s="2409"/>
      <c r="C7" s="2409"/>
      <c r="D7" s="2446"/>
      <c r="E7" s="2447">
        <f>COVER!A13</f>
        <v>50082801060</v>
      </c>
      <c r="F7" s="2448"/>
      <c r="G7" s="2415" t="str">
        <f>COVER!T23</f>
        <v>065-026956</v>
      </c>
      <c r="H7" s="2416"/>
      <c r="I7" s="2416"/>
      <c r="J7" s="2416"/>
      <c r="K7" s="2416"/>
      <c r="L7" s="241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8"/>
      <c r="B9" s="2419"/>
      <c r="C9" s="2419"/>
      <c r="D9" s="2419"/>
      <c r="E9" s="2419"/>
      <c r="F9" s="2420"/>
      <c r="G9" s="2421" t="str">
        <f>COVER!T13</f>
        <v>Scheffel Boyle</v>
      </c>
      <c r="H9" s="2422"/>
      <c r="I9" s="2422"/>
      <c r="J9" s="2422"/>
      <c r="K9" s="2422"/>
      <c r="L9" s="2423"/>
    </row>
    <row r="10" spans="1:29" ht="13.5" customHeight="1" x14ac:dyDescent="0.2">
      <c r="A10" s="2405" t="str">
        <f>COVER!A38</f>
        <v>Brian Arteberry</v>
      </c>
      <c r="B10" s="2406"/>
      <c r="C10" s="2406"/>
      <c r="D10" s="2406"/>
      <c r="E10" s="2406"/>
      <c r="F10" s="2407"/>
      <c r="G10" s="2421" t="str">
        <f>COVER!T17</f>
        <v>222 East Main St</v>
      </c>
      <c r="H10" s="2434"/>
      <c r="I10" s="2434"/>
      <c r="J10" s="2434"/>
      <c r="K10" s="2434"/>
      <c r="L10" s="2435"/>
    </row>
    <row r="11" spans="1:29" ht="13.5" customHeight="1" x14ac:dyDescent="0.2">
      <c r="A11" s="1185" t="s">
        <v>1599</v>
      </c>
      <c r="B11" s="1186"/>
      <c r="C11" s="1187"/>
      <c r="D11" s="1192"/>
      <c r="E11" s="1187"/>
      <c r="F11" s="1191"/>
      <c r="G11" s="2421" t="str">
        <f>COVER!T19</f>
        <v>Belleville</v>
      </c>
      <c r="H11" s="2434"/>
      <c r="I11" s="2434"/>
      <c r="J11" s="2434"/>
      <c r="K11" s="2434"/>
      <c r="L11" s="2435"/>
    </row>
    <row r="12" spans="1:29" ht="13.5" customHeight="1" x14ac:dyDescent="0.2">
      <c r="A12" s="2439" t="s">
        <v>1598</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1600</v>
      </c>
      <c r="H13" s="2430"/>
      <c r="I13" s="2442" t="str">
        <f>COVER!T25</f>
        <v>dale.holtmann@scheffelboyle.com</v>
      </c>
      <c r="J13" s="2443"/>
      <c r="K13" s="2443"/>
      <c r="L13" s="2444"/>
    </row>
    <row r="14" spans="1:29" ht="13.5" customHeight="1" x14ac:dyDescent="0.2">
      <c r="A14" s="2421" t="str">
        <f>COVER!A19</f>
        <v>2411 Pathways Crossing</v>
      </c>
      <c r="B14" s="2434"/>
      <c r="C14" s="2434"/>
      <c r="D14" s="2434"/>
      <c r="E14" s="2434"/>
      <c r="F14" s="2435"/>
      <c r="G14" s="1196" t="s">
        <v>1247</v>
      </c>
      <c r="H14" s="1194"/>
      <c r="I14" s="1194"/>
      <c r="J14" s="1194"/>
      <c r="K14" s="1194"/>
      <c r="L14" s="1195"/>
    </row>
    <row r="15" spans="1:29" ht="13.5" customHeight="1" x14ac:dyDescent="0.2">
      <c r="A15" s="2421" t="str">
        <f>COVER!A21</f>
        <v xml:space="preserve">Belleville  </v>
      </c>
      <c r="B15" s="2434"/>
      <c r="C15" s="2434"/>
      <c r="D15" s="2434"/>
      <c r="E15" s="2434"/>
      <c r="F15" s="2435"/>
      <c r="G15" s="2431" t="str">
        <f>COVER!T15</f>
        <v>Dale Holtmann</v>
      </c>
      <c r="H15" s="2432"/>
      <c r="I15" s="2432"/>
      <c r="J15" s="2432"/>
      <c r="K15" s="2432"/>
      <c r="L15" s="2433"/>
    </row>
    <row r="16" spans="1:29" ht="12.2" customHeight="1" x14ac:dyDescent="0.2">
      <c r="A16" s="2411">
        <f>COVER!A25</f>
        <v>62221</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6" t="s">
        <v>1246</v>
      </c>
      <c r="H17" s="1194"/>
      <c r="I17" s="1194"/>
      <c r="J17" s="1194"/>
      <c r="K17" s="1198" t="s">
        <v>1245</v>
      </c>
      <c r="L17" s="1191"/>
      <c r="M17" s="1184"/>
    </row>
    <row r="18" spans="1:13" ht="12.2" customHeight="1" x14ac:dyDescent="0.2">
      <c r="A18" s="2405"/>
      <c r="B18" s="2406"/>
      <c r="C18" s="2406"/>
      <c r="D18" s="2406"/>
      <c r="E18" s="2406"/>
      <c r="F18" s="2407"/>
      <c r="G18" s="2408" t="str">
        <f>COVER!T21</f>
        <v>618-233-2641</v>
      </c>
      <c r="H18" s="2409"/>
      <c r="I18" s="2409"/>
      <c r="J18" s="2409"/>
      <c r="K18" s="2408" t="str">
        <f>COVER!X21</f>
        <v>618-233-6334</v>
      </c>
      <c r="L18" s="241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23" sqref="A23:H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Belleville Area Special Services Coop</v>
      </c>
      <c r="B1" s="2445"/>
      <c r="C1" s="2445"/>
      <c r="D1" s="2445"/>
    </row>
    <row r="2" spans="1:11" s="1215" customFormat="1" ht="12.75" x14ac:dyDescent="0.2">
      <c r="A2" s="2450">
        <f>'Single Audit Cover'!E7</f>
        <v>50082801060</v>
      </c>
      <c r="B2" s="2451"/>
      <c r="C2" s="2451"/>
      <c r="D2" s="2451"/>
    </row>
    <row r="3" spans="1:11" s="1215" customFormat="1" ht="12.75" x14ac:dyDescent="0.2">
      <c r="A3" s="2449" t="s">
        <v>1593</v>
      </c>
      <c r="B3" s="2445"/>
      <c r="C3" s="2445"/>
      <c r="D3" s="244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Belleville Area Special Services Coop</v>
      </c>
      <c r="B1" s="2453"/>
      <c r="C1" s="2453"/>
      <c r="D1" s="2453"/>
      <c r="E1" s="2453"/>
    </row>
    <row r="2" spans="1:5" x14ac:dyDescent="0.2">
      <c r="A2" s="2454">
        <f>'Single Audit Cover'!E7</f>
        <v>50082801060</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2228687</v>
      </c>
    </row>
    <row r="11" spans="1:5" ht="18" customHeight="1" x14ac:dyDescent="0.2">
      <c r="A11" s="1261" t="s">
        <v>1302</v>
      </c>
      <c r="B11" s="1262"/>
      <c r="C11" s="1262"/>
    </row>
    <row r="12" spans="1:5" x14ac:dyDescent="0.2">
      <c r="A12" s="1261" t="s">
        <v>1301</v>
      </c>
      <c r="B12" s="1262" t="s">
        <v>1300</v>
      </c>
      <c r="C12" s="1262"/>
      <c r="D12" s="1264">
        <f>SUM('Revenues 9-14'!C112:D112,'Revenues 9-14'!F112:G112)</f>
        <v>5131536</v>
      </c>
    </row>
    <row r="13" spans="1:5" x14ac:dyDescent="0.2">
      <c r="A13" s="1261" t="s">
        <v>1299</v>
      </c>
      <c r="B13" s="1262"/>
      <c r="C13" s="1262"/>
    </row>
    <row r="14" spans="1:5" x14ac:dyDescent="0.2">
      <c r="A14" s="1261" t="s">
        <v>1830</v>
      </c>
      <c r="B14" s="1262"/>
      <c r="C14" s="1262"/>
      <c r="D14" s="1264">
        <f>'ICR Computation 30'!E11</f>
        <v>6189</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-403434</v>
      </c>
    </row>
    <row r="19" spans="1:4" ht="13.5" thickBot="1" x14ac:dyDescent="0.25">
      <c r="A19" s="1265" t="s">
        <v>1297</v>
      </c>
      <c r="D19" s="1266">
        <f>SUM(D10:D17)</f>
        <v>6962978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6962978</v>
      </c>
    </row>
    <row r="33" spans="1:4" x14ac:dyDescent="0.2">
      <c r="D33" s="1269"/>
    </row>
    <row r="34" spans="1:4" x14ac:dyDescent="0.2">
      <c r="A34" s="317" t="s">
        <v>1294</v>
      </c>
    </row>
    <row r="35" spans="1:4" x14ac:dyDescent="0.2">
      <c r="A35" s="317" t="s">
        <v>1293</v>
      </c>
      <c r="B35" s="1258" t="s">
        <v>1292</v>
      </c>
      <c r="D35" s="1270">
        <v>6962978</v>
      </c>
    </row>
    <row r="37" spans="1:4" x14ac:dyDescent="0.2">
      <c r="A37" s="1260" t="s">
        <v>1291</v>
      </c>
    </row>
    <row r="39" spans="1:4" ht="13.35" customHeight="1" x14ac:dyDescent="0.2">
      <c r="A39" s="1267" t="s">
        <v>1290</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6962978</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23" sqref="A23:H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Belleville Area Special Services Coop</v>
      </c>
      <c r="C1" s="2457"/>
      <c r="D1" s="2457"/>
      <c r="E1" s="2457"/>
      <c r="F1" s="2457"/>
      <c r="G1" s="2457"/>
      <c r="H1" s="2457"/>
      <c r="I1" s="2457"/>
      <c r="J1" s="2457"/>
      <c r="K1" s="2457"/>
      <c r="L1" s="2457"/>
      <c r="M1" s="2457"/>
    </row>
    <row r="2" spans="2:14" ht="15" x14ac:dyDescent="0.2">
      <c r="B2" s="2458">
        <f>'Single Audit Cover'!E7</f>
        <v>50082801060</v>
      </c>
      <c r="C2" s="2458"/>
      <c r="D2" s="2458"/>
      <c r="E2" s="2458"/>
      <c r="F2" s="2458"/>
      <c r="G2" s="2458"/>
      <c r="H2" s="2458"/>
      <c r="I2" s="2458"/>
      <c r="J2" s="2458"/>
      <c r="K2" s="2458"/>
      <c r="L2" s="2458"/>
      <c r="M2" s="2458"/>
      <c r="N2" s="1302"/>
    </row>
    <row r="3" spans="2:14" ht="15" x14ac:dyDescent="0.2">
      <c r="B3" s="2459" t="s">
        <v>1281</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2197</v>
      </c>
      <c r="C11" s="1338"/>
      <c r="D11" s="1339"/>
      <c r="E11" s="1340"/>
      <c r="F11" s="1340"/>
      <c r="G11" s="1340"/>
      <c r="H11" s="1340"/>
      <c r="I11" s="1340"/>
      <c r="J11" s="1340"/>
      <c r="K11" s="1340"/>
      <c r="L11" s="1340" t="s">
        <v>1231</v>
      </c>
      <c r="M11" s="1340"/>
    </row>
    <row r="12" spans="2:14" ht="20.100000000000001" customHeight="1" x14ac:dyDescent="0.2">
      <c r="B12" s="1337" t="s">
        <v>2128</v>
      </c>
      <c r="C12" s="1341">
        <v>84.173000000000002</v>
      </c>
      <c r="D12" s="1342" t="s">
        <v>2130</v>
      </c>
      <c r="E12" s="1343"/>
      <c r="F12" s="1343">
        <v>292543</v>
      </c>
      <c r="G12" s="1343"/>
      <c r="H12" s="1343"/>
      <c r="I12" s="1343">
        <v>292543</v>
      </c>
      <c r="J12" s="1343">
        <v>1574</v>
      </c>
      <c r="K12" s="1343"/>
      <c r="L12" s="1340">
        <f t="shared" ref="L12:L22" si="0">+G12+I12+K12</f>
        <v>292543</v>
      </c>
      <c r="M12" s="1343">
        <v>375642</v>
      </c>
    </row>
    <row r="13" spans="2:14" ht="20.100000000000001" customHeight="1" x14ac:dyDescent="0.2">
      <c r="B13" s="1337" t="s">
        <v>2129</v>
      </c>
      <c r="C13" s="1341">
        <v>84.173000000000002</v>
      </c>
      <c r="D13" s="1342" t="s">
        <v>2131</v>
      </c>
      <c r="E13" s="1343">
        <v>310035</v>
      </c>
      <c r="F13" s="1343">
        <v>6326</v>
      </c>
      <c r="G13" s="1343">
        <v>310035</v>
      </c>
      <c r="H13" s="1343">
        <v>1835</v>
      </c>
      <c r="I13" s="1343">
        <v>6326</v>
      </c>
      <c r="J13" s="1343">
        <v>863</v>
      </c>
      <c r="K13" s="1343"/>
      <c r="L13" s="1340">
        <f t="shared" si="0"/>
        <v>316361</v>
      </c>
      <c r="M13" s="1343">
        <v>397844</v>
      </c>
    </row>
    <row r="14" spans="2:14" ht="20.100000000000001" customHeight="1" x14ac:dyDescent="0.2">
      <c r="B14" s="1337" t="s">
        <v>2198</v>
      </c>
      <c r="C14" s="1341">
        <v>84.027000000000001</v>
      </c>
      <c r="D14" s="1342" t="s">
        <v>2132</v>
      </c>
      <c r="E14" s="1343"/>
      <c r="F14" s="1343">
        <v>6160874</v>
      </c>
      <c r="G14" s="1343"/>
      <c r="H14" s="1343"/>
      <c r="I14" s="1343">
        <f>1315580+4845291+3</f>
        <v>6160874</v>
      </c>
      <c r="J14" s="1343">
        <v>4845291</v>
      </c>
      <c r="K14" s="1343"/>
      <c r="L14" s="1340">
        <f t="shared" si="0"/>
        <v>6160874</v>
      </c>
      <c r="M14" s="1343">
        <v>7315393</v>
      </c>
    </row>
    <row r="15" spans="2:14" ht="20.100000000000001" customHeight="1" x14ac:dyDescent="0.2">
      <c r="B15" s="1337" t="s">
        <v>2199</v>
      </c>
      <c r="C15" s="1341">
        <v>84.027000000000001</v>
      </c>
      <c r="D15" s="1342" t="s">
        <v>2133</v>
      </c>
      <c r="E15" s="1343">
        <v>5790184</v>
      </c>
      <c r="F15" s="1343">
        <v>323169</v>
      </c>
      <c r="G15" s="1343">
        <v>5790184</v>
      </c>
      <c r="H15" s="1343">
        <v>4609006</v>
      </c>
      <c r="I15" s="1343">
        <v>323169</v>
      </c>
      <c r="J15" s="1343">
        <v>286245</v>
      </c>
      <c r="K15" s="1343"/>
      <c r="L15" s="1340">
        <f t="shared" si="0"/>
        <v>6113353</v>
      </c>
      <c r="M15" s="1343">
        <v>7005152</v>
      </c>
    </row>
    <row r="16" spans="2:14" ht="20.100000000000001" customHeight="1" x14ac:dyDescent="0.2">
      <c r="B16" s="1337" t="s">
        <v>2200</v>
      </c>
      <c r="C16" s="1341"/>
      <c r="D16" s="1342"/>
      <c r="E16" s="1343">
        <f>+E12+E13+E14+E15</f>
        <v>6100219</v>
      </c>
      <c r="F16" s="1343">
        <f>+F12+F13+F14+F15</f>
        <v>6782912</v>
      </c>
      <c r="G16" s="1343">
        <f>+G12+G13+G14+G15</f>
        <v>6100219</v>
      </c>
      <c r="H16" s="1343">
        <f>+H12+H14+H13+H15</f>
        <v>4610841</v>
      </c>
      <c r="I16" s="1343">
        <f>+I12+I13+I14+I15</f>
        <v>6782912</v>
      </c>
      <c r="J16" s="1343">
        <f>+J12+J13+J14+J15</f>
        <v>5133973</v>
      </c>
      <c r="K16" s="1343"/>
      <c r="L16" s="1340">
        <f t="shared" si="0"/>
        <v>12883131</v>
      </c>
      <c r="M16" s="1343"/>
    </row>
    <row r="17" spans="2:14" ht="20.100000000000001" customHeight="1" x14ac:dyDescent="0.2">
      <c r="B17" s="1337"/>
      <c r="C17" s="1341"/>
      <c r="D17" s="1342"/>
      <c r="E17" s="1343"/>
      <c r="F17" s="1343"/>
      <c r="G17" s="1343"/>
      <c r="H17" s="1343"/>
      <c r="I17" s="1343"/>
      <c r="J17" s="1343"/>
      <c r="K17" s="1343"/>
      <c r="L17" s="1340" t="s">
        <v>1231</v>
      </c>
      <c r="M17" s="1343"/>
    </row>
    <row r="18" spans="2:14" ht="20.100000000000001" customHeight="1" x14ac:dyDescent="0.2">
      <c r="B18" s="1337" t="s">
        <v>2201</v>
      </c>
      <c r="C18" s="1341"/>
      <c r="D18" s="1342"/>
      <c r="E18" s="1343"/>
      <c r="F18" s="1343"/>
      <c r="G18" s="1343"/>
      <c r="H18" s="1343"/>
      <c r="I18" s="1343"/>
      <c r="J18" s="1343"/>
      <c r="K18" s="1343"/>
      <c r="L18" s="1340" t="s">
        <v>1231</v>
      </c>
      <c r="M18" s="1343"/>
    </row>
    <row r="19" spans="2:14" ht="20.100000000000001" customHeight="1" x14ac:dyDescent="0.2">
      <c r="B19" s="1337" t="s">
        <v>2134</v>
      </c>
      <c r="C19" s="1341">
        <v>10.555</v>
      </c>
      <c r="D19" s="1342" t="s">
        <v>2138</v>
      </c>
      <c r="E19" s="1343"/>
      <c r="F19" s="1343">
        <v>38754</v>
      </c>
      <c r="G19" s="1343"/>
      <c r="H19" s="1343"/>
      <c r="I19" s="1343">
        <v>38754</v>
      </c>
      <c r="J19" s="1343"/>
      <c r="K19" s="1343"/>
      <c r="L19" s="1340">
        <f t="shared" si="0"/>
        <v>38754</v>
      </c>
      <c r="M19" s="1343" t="s">
        <v>2142</v>
      </c>
    </row>
    <row r="20" spans="2:14" ht="20.100000000000001" customHeight="1" x14ac:dyDescent="0.2">
      <c r="B20" s="1337" t="s">
        <v>2135</v>
      </c>
      <c r="C20" s="1341">
        <v>10.555</v>
      </c>
      <c r="D20" s="1342" t="s">
        <v>2139</v>
      </c>
      <c r="E20" s="1343">
        <v>31586</v>
      </c>
      <c r="F20" s="1343">
        <v>7109</v>
      </c>
      <c r="G20" s="1343">
        <v>31586</v>
      </c>
      <c r="H20" s="1343"/>
      <c r="I20" s="1343">
        <v>7109</v>
      </c>
      <c r="J20" s="1343"/>
      <c r="K20" s="1343"/>
      <c r="L20" s="1340">
        <f t="shared" si="0"/>
        <v>38695</v>
      </c>
      <c r="M20" s="1343" t="s">
        <v>2142</v>
      </c>
    </row>
    <row r="21" spans="2:14" ht="20.100000000000001" customHeight="1" x14ac:dyDescent="0.2">
      <c r="B21" s="1337" t="s">
        <v>2136</v>
      </c>
      <c r="C21" s="1341">
        <v>10.553000000000001</v>
      </c>
      <c r="D21" s="1342" t="s">
        <v>2140</v>
      </c>
      <c r="E21" s="1343"/>
      <c r="F21" s="1343">
        <f>23913+744</f>
        <v>24657</v>
      </c>
      <c r="G21" s="1343"/>
      <c r="H21" s="1343"/>
      <c r="I21" s="1343">
        <v>24657</v>
      </c>
      <c r="J21" s="1343"/>
      <c r="K21" s="1343"/>
      <c r="L21" s="1340">
        <f t="shared" si="0"/>
        <v>24657</v>
      </c>
      <c r="M21" s="1343" t="s">
        <v>2142</v>
      </c>
    </row>
    <row r="22" spans="2:14" ht="20.100000000000001" customHeight="1" x14ac:dyDescent="0.2">
      <c r="B22" s="1337" t="s">
        <v>2137</v>
      </c>
      <c r="C22" s="1341">
        <v>10.553000000000001</v>
      </c>
      <c r="D22" s="1342" t="s">
        <v>2141</v>
      </c>
      <c r="E22" s="1343">
        <v>19678</v>
      </c>
      <c r="F22" s="1343">
        <f>5486-800</f>
        <v>4686</v>
      </c>
      <c r="G22" s="1343">
        <v>19678</v>
      </c>
      <c r="H22" s="1343"/>
      <c r="I22" s="1343">
        <v>4686</v>
      </c>
      <c r="J22" s="1343"/>
      <c r="K22" s="1343"/>
      <c r="L22" s="1340">
        <f t="shared" si="0"/>
        <v>24364</v>
      </c>
      <c r="M22" s="1343" t="s">
        <v>2142</v>
      </c>
    </row>
    <row r="23" spans="2:14" ht="20.100000000000001" customHeight="1" x14ac:dyDescent="0.2">
      <c r="B23" s="1337" t="s">
        <v>2202</v>
      </c>
      <c r="C23" s="1341"/>
      <c r="D23" s="1342"/>
      <c r="E23" s="1343">
        <f>+E19+E20+E21+E22</f>
        <v>51264</v>
      </c>
      <c r="F23" s="1343">
        <f>+F19+F20+F21+F22</f>
        <v>75206</v>
      </c>
      <c r="G23" s="1343">
        <f>+G19+G20+G21+G22</f>
        <v>51264</v>
      </c>
      <c r="H23" s="1343"/>
      <c r="I23" s="1343">
        <f>+I19+I20+I21+I22</f>
        <v>75206</v>
      </c>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 top="0.5" bottom="0.5" header="0.25" footer="0.25"/>
  <pageSetup scale="80" firstPageNumber="38" orientation="landscape" useFirstPageNumber="1" r:id="rId1"/>
  <headerFooter differentFirst="1"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23" sqref="A23:H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Belleville Area Special Services Coop</v>
      </c>
      <c r="C1" s="2457"/>
      <c r="D1" s="2457"/>
      <c r="E1" s="2457"/>
      <c r="F1" s="2457"/>
      <c r="G1" s="2457"/>
      <c r="H1" s="2457"/>
      <c r="I1" s="2457"/>
      <c r="J1" s="2457"/>
      <c r="K1" s="2457"/>
      <c r="L1" s="2457"/>
      <c r="M1" s="2457"/>
    </row>
    <row r="2" spans="2:14" ht="15" x14ac:dyDescent="0.2">
      <c r="B2" s="2458">
        <f>'Single Audit Cover'!E7</f>
        <v>50082801060</v>
      </c>
      <c r="C2" s="2458"/>
      <c r="D2" s="2458"/>
      <c r="E2" s="2458"/>
      <c r="F2" s="2458"/>
      <c r="G2" s="2458"/>
      <c r="H2" s="2458"/>
      <c r="I2" s="2458"/>
      <c r="J2" s="2458"/>
      <c r="K2" s="2458"/>
      <c r="L2" s="2458"/>
      <c r="M2" s="2458"/>
      <c r="N2" s="1302"/>
    </row>
    <row r="3" spans="2:14" ht="15" x14ac:dyDescent="0.2">
      <c r="B3" s="2459" t="s">
        <v>1281</v>
      </c>
      <c r="C3" s="2459"/>
      <c r="D3" s="2459"/>
      <c r="E3" s="2459"/>
      <c r="F3" s="2459"/>
      <c r="G3" s="2459"/>
      <c r="H3" s="2459"/>
      <c r="I3" s="2459"/>
      <c r="J3" s="2459"/>
      <c r="K3" s="2459"/>
      <c r="L3" s="2459"/>
      <c r="M3" s="2459"/>
      <c r="N3" s="1302"/>
    </row>
    <row r="4" spans="2:14" ht="15" x14ac:dyDescent="0.2">
      <c r="B4" s="2460" t="str">
        <f>'Single Audit Cover'!A4</f>
        <v>Year Ending June 30, 2018</v>
      </c>
      <c r="C4" s="2460"/>
      <c r="D4" s="2460"/>
      <c r="E4" s="2460"/>
      <c r="F4" s="2460"/>
      <c r="G4" s="2460"/>
      <c r="H4" s="2460"/>
      <c r="I4" s="2460"/>
      <c r="J4" s="2460"/>
      <c r="K4" s="2460"/>
      <c r="L4" s="2460"/>
      <c r="M4" s="2460"/>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1836</v>
      </c>
      <c r="D9" s="1314" t="s">
        <v>1837</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2203</v>
      </c>
      <c r="C11" s="1338"/>
      <c r="D11" s="1339"/>
      <c r="E11" s="1340"/>
      <c r="F11" s="1340"/>
      <c r="G11" s="1340"/>
      <c r="H11" s="1340"/>
      <c r="I11" s="1340"/>
      <c r="J11" s="1340"/>
      <c r="K11" s="1340"/>
      <c r="L11" s="1340" t="s">
        <v>1231</v>
      </c>
      <c r="M11" s="1340"/>
    </row>
    <row r="12" spans="2:14" ht="20.100000000000001" customHeight="1" x14ac:dyDescent="0.2">
      <c r="B12" s="1337" t="s">
        <v>2143</v>
      </c>
      <c r="C12" s="1341">
        <v>93.778000000000006</v>
      </c>
      <c r="D12" s="1342" t="s">
        <v>2144</v>
      </c>
      <c r="E12" s="1343"/>
      <c r="F12" s="1343">
        <v>98671</v>
      </c>
      <c r="G12" s="1343"/>
      <c r="H12" s="1343"/>
      <c r="I12" s="1343">
        <v>98671</v>
      </c>
      <c r="J12" s="1343"/>
      <c r="K12" s="1343"/>
      <c r="L12" s="1340">
        <f t="shared" ref="L12:L19" si="0">+G12+I12+K12</f>
        <v>98671</v>
      </c>
      <c r="M12" s="1343" t="s">
        <v>2142</v>
      </c>
    </row>
    <row r="13" spans="2:14" ht="20.100000000000001" customHeight="1" x14ac:dyDescent="0.2">
      <c r="B13" s="1337"/>
      <c r="C13" s="1341"/>
      <c r="D13" s="1342"/>
      <c r="E13" s="1343"/>
      <c r="F13" s="1343"/>
      <c r="G13" s="1343"/>
      <c r="H13" s="1343"/>
      <c r="I13" s="1343"/>
      <c r="J13" s="1343"/>
      <c r="K13" s="1343"/>
      <c r="L13" s="1340" t="s">
        <v>1231</v>
      </c>
      <c r="M13" s="1343"/>
    </row>
    <row r="14" spans="2:14" ht="20.100000000000001" customHeight="1" x14ac:dyDescent="0.2">
      <c r="B14" s="1337" t="s">
        <v>2145</v>
      </c>
      <c r="C14" s="1341"/>
      <c r="D14" s="1342"/>
      <c r="E14" s="1343"/>
      <c r="F14" s="1343">
        <f>+' SEFA (2)'!F16+' SEFA (2)'!F23+' SEFA'!F12</f>
        <v>6956789</v>
      </c>
      <c r="G14" s="1343"/>
      <c r="H14" s="1343"/>
      <c r="I14" s="1343">
        <f>+' SEFA (2)'!I16+' SEFA (2)'!I23+' SEFA'!I12</f>
        <v>6956789</v>
      </c>
      <c r="J14" s="1343"/>
      <c r="K14" s="1343"/>
      <c r="L14" s="1340" t="s">
        <v>1231</v>
      </c>
      <c r="M14" s="1343"/>
    </row>
    <row r="15" spans="2:14" ht="20.100000000000001" customHeight="1" x14ac:dyDescent="0.2">
      <c r="B15" s="1337" t="s">
        <v>1231</v>
      </c>
      <c r="C15" s="1341"/>
      <c r="D15" s="1342"/>
      <c r="E15" s="1343"/>
      <c r="F15" s="1343"/>
      <c r="G15" s="1343"/>
      <c r="H15" s="1343"/>
      <c r="I15" s="1343"/>
      <c r="J15" s="1343"/>
      <c r="K15" s="1343"/>
      <c r="L15" s="1340" t="s">
        <v>1231</v>
      </c>
      <c r="M15" s="1343"/>
    </row>
    <row r="16" spans="2:14" ht="20.100000000000001" customHeight="1" x14ac:dyDescent="0.2">
      <c r="B16" s="1337" t="s">
        <v>2146</v>
      </c>
      <c r="C16" s="1341"/>
      <c r="D16" s="1342"/>
      <c r="E16" s="1343"/>
      <c r="F16" s="1343"/>
      <c r="G16" s="1343"/>
      <c r="H16" s="1343"/>
      <c r="I16" s="1343"/>
      <c r="J16" s="1343"/>
      <c r="K16" s="1343"/>
      <c r="L16" s="1340" t="s">
        <v>1231</v>
      </c>
      <c r="M16" s="1343"/>
    </row>
    <row r="17" spans="2:14" ht="20.100000000000001" customHeight="1" x14ac:dyDescent="0.2">
      <c r="B17" s="1337" t="s">
        <v>2147</v>
      </c>
      <c r="C17" s="1341">
        <v>10.555</v>
      </c>
      <c r="D17" s="1342"/>
      <c r="E17" s="1343"/>
      <c r="F17" s="1343">
        <v>6189</v>
      </c>
      <c r="G17" s="1343"/>
      <c r="H17" s="1343"/>
      <c r="I17" s="1343">
        <v>6189</v>
      </c>
      <c r="J17" s="1343"/>
      <c r="K17" s="1343"/>
      <c r="L17" s="1340">
        <f t="shared" si="0"/>
        <v>6189</v>
      </c>
      <c r="M17" s="1343"/>
    </row>
    <row r="18" spans="2:14" ht="20.100000000000001" customHeight="1" x14ac:dyDescent="0.2">
      <c r="B18" s="1337"/>
      <c r="C18" s="1341"/>
      <c r="D18" s="1342"/>
      <c r="E18" s="1343"/>
      <c r="F18" s="1343"/>
      <c r="G18" s="1343"/>
      <c r="H18" s="1343"/>
      <c r="I18" s="1343"/>
      <c r="J18" s="1343"/>
      <c r="K18" s="1343"/>
      <c r="L18" s="1340" t="s">
        <v>1231</v>
      </c>
      <c r="M18" s="1343"/>
    </row>
    <row r="19" spans="2:14" ht="20.100000000000001" customHeight="1" x14ac:dyDescent="0.2">
      <c r="B19" s="1337" t="s">
        <v>2148</v>
      </c>
      <c r="C19" s="1341"/>
      <c r="D19" s="1342"/>
      <c r="E19" s="1343"/>
      <c r="F19" s="1343">
        <f>+F14+F17</f>
        <v>6962978</v>
      </c>
      <c r="G19" s="1343"/>
      <c r="H19" s="1343"/>
      <c r="I19" s="1343">
        <f>+I14+I17</f>
        <v>6962978</v>
      </c>
      <c r="J19" s="1343"/>
      <c r="K19" s="1343"/>
      <c r="L19" s="1340">
        <f t="shared" si="0"/>
        <v>6962978</v>
      </c>
      <c r="M19" s="1343"/>
    </row>
    <row r="20" spans="2:14" ht="20.100000000000001" customHeight="1" x14ac:dyDescent="0.2">
      <c r="B20" s="1337"/>
      <c r="C20" s="1341"/>
      <c r="D20" s="1342"/>
      <c r="E20" s="1343"/>
      <c r="F20" s="1343"/>
      <c r="G20" s="1343"/>
      <c r="H20" s="1343"/>
      <c r="I20" s="1343"/>
      <c r="J20" s="1343"/>
      <c r="K20" s="1343"/>
      <c r="L20" s="1340" t="s">
        <v>1231</v>
      </c>
      <c r="M20" s="1343"/>
    </row>
    <row r="21" spans="2:14" ht="20.100000000000001" customHeight="1" x14ac:dyDescent="0.2">
      <c r="B21" s="1337"/>
      <c r="C21" s="1341"/>
      <c r="D21" s="1342"/>
      <c r="E21" s="1343"/>
      <c r="F21" s="1343"/>
      <c r="G21" s="1343"/>
      <c r="H21" s="1343"/>
      <c r="I21" s="1343"/>
      <c r="J21" s="1343"/>
      <c r="K21" s="1343"/>
      <c r="L21" s="1340" t="s">
        <v>1231</v>
      </c>
      <c r="M21" s="1343"/>
    </row>
    <row r="22" spans="2:14" ht="20.100000000000001" customHeight="1" x14ac:dyDescent="0.2">
      <c r="B22" s="1337"/>
      <c r="C22" s="1341"/>
      <c r="D22" s="1342"/>
      <c r="E22" s="1343"/>
      <c r="F22" s="1343"/>
      <c r="G22" s="1343"/>
      <c r="H22" s="1343"/>
      <c r="I22" s="1343"/>
      <c r="J22" s="1343"/>
      <c r="K22" s="1343"/>
      <c r="L22" s="1340" t="s">
        <v>1231</v>
      </c>
      <c r="M22" s="1343"/>
    </row>
    <row r="23" spans="2:14" ht="20.100000000000001" customHeight="1" x14ac:dyDescent="0.2">
      <c r="B23" s="1337"/>
      <c r="C23" s="1341"/>
      <c r="D23" s="1342"/>
      <c r="E23" s="1343"/>
      <c r="F23" s="1343"/>
      <c r="G23" s="1343"/>
      <c r="H23" s="1343"/>
      <c r="I23" s="1343"/>
      <c r="J23" s="1343"/>
      <c r="K23" s="1343"/>
      <c r="L23" s="1340" t="s">
        <v>1231</v>
      </c>
      <c r="M23" s="1343"/>
    </row>
    <row r="24" spans="2:14" ht="20.100000000000001" customHeight="1" x14ac:dyDescent="0.2">
      <c r="B24" s="1337"/>
      <c r="C24" s="1341"/>
      <c r="D24" s="1342"/>
      <c r="E24" s="1343"/>
      <c r="F24" s="1343"/>
      <c r="G24" s="1343"/>
      <c r="H24" s="1343"/>
      <c r="I24" s="1343"/>
      <c r="J24" s="1343"/>
      <c r="K24" s="1343"/>
      <c r="L24" s="1340" t="s">
        <v>1231</v>
      </c>
      <c r="M24" s="1343"/>
    </row>
    <row r="25" spans="2:14" ht="20.100000000000001" customHeight="1" x14ac:dyDescent="0.2">
      <c r="B25" s="1337"/>
      <c r="C25" s="1341"/>
      <c r="D25" s="1342"/>
      <c r="E25" s="1343"/>
      <c r="F25" s="1343"/>
      <c r="G25" s="1343"/>
      <c r="H25" s="1343"/>
      <c r="I25" s="1343"/>
      <c r="J25" s="1343"/>
      <c r="K25" s="1343"/>
      <c r="L25" s="1340" t="s">
        <v>1231</v>
      </c>
      <c r="M25" s="1343"/>
    </row>
    <row r="26" spans="2:14" ht="20.100000000000001" customHeight="1" x14ac:dyDescent="0.2">
      <c r="B26" s="1337"/>
      <c r="C26" s="1341"/>
      <c r="D26" s="1342"/>
      <c r="E26" s="1343"/>
      <c r="F26" s="1343"/>
      <c r="G26" s="1343"/>
      <c r="H26" s="1343"/>
      <c r="I26" s="1343"/>
      <c r="J26" s="1343"/>
      <c r="K26" s="1343"/>
      <c r="L26" s="1340" t="s">
        <v>1231</v>
      </c>
      <c r="M26" s="1343"/>
    </row>
    <row r="27" spans="2:14" ht="20.100000000000001" customHeight="1" x14ac:dyDescent="0.2">
      <c r="B27" s="1337"/>
      <c r="C27" s="1341"/>
      <c r="D27" s="1342"/>
      <c r="E27" s="1343"/>
      <c r="F27" s="1343"/>
      <c r="G27" s="1343"/>
      <c r="H27" s="1343"/>
      <c r="I27" s="1343"/>
      <c r="J27" s="1343"/>
      <c r="K27" s="1343"/>
      <c r="L27" s="1340" t="s">
        <v>1231</v>
      </c>
      <c r="M27" s="1343"/>
      <c r="N27" s="1344"/>
    </row>
    <row r="28" spans="2:14" ht="12.75" customHeight="1" x14ac:dyDescent="0.2">
      <c r="B28" s="1345"/>
      <c r="C28" s="1346"/>
      <c r="D28" s="1347"/>
      <c r="E28" s="1348"/>
      <c r="F28" s="1348"/>
      <c r="G28" s="1348"/>
      <c r="H28" s="1348"/>
      <c r="I28" s="1348"/>
      <c r="J28" s="1348"/>
      <c r="K28" s="1348"/>
      <c r="L28" s="1348" t="s">
        <v>1231</v>
      </c>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v>43342</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v>1</v>
      </c>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2081</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2" zoomScale="120" zoomScaleNormal="120" workbookViewId="0">
      <selection activeCell="A23" sqref="A23:H2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Belleville Area Special Services Coop</v>
      </c>
      <c r="B1" s="2462"/>
      <c r="C1" s="2462"/>
      <c r="D1" s="2462"/>
      <c r="E1" s="2462"/>
      <c r="F1" s="2462"/>
    </row>
    <row r="2" spans="1:7" ht="13.5" customHeight="1" x14ac:dyDescent="0.2">
      <c r="A2" s="2458">
        <f>'Single Audit Cover'!E7</f>
        <v>50082801060</v>
      </c>
      <c r="B2" s="2458"/>
      <c r="C2" s="2458"/>
      <c r="D2" s="2458"/>
      <c r="E2" s="2458"/>
      <c r="F2" s="2458"/>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1" t="s">
        <v>2149</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4.6" customHeight="1" x14ac:dyDescent="0.2">
      <c r="A13" s="2461" t="s">
        <v>2092</v>
      </c>
      <c r="B13" s="2461"/>
      <c r="C13" s="2461"/>
      <c r="D13" s="2461"/>
      <c r="E13" s="2461"/>
      <c r="F13" s="2461"/>
    </row>
    <row r="14" spans="1:7" ht="9.75" customHeight="1" x14ac:dyDescent="0.2">
      <c r="C14" s="1260"/>
      <c r="D14" s="1260"/>
    </row>
    <row r="15" spans="1:7" ht="13.5" customHeight="1" x14ac:dyDescent="0.2">
      <c r="C15" s="1958" t="s">
        <v>1332</v>
      </c>
      <c r="D15" s="2466" t="s">
        <v>1331</v>
      </c>
      <c r="E15" s="2466"/>
      <c r="F15" s="2466"/>
    </row>
    <row r="16" spans="1:7" ht="13.5" customHeight="1" x14ac:dyDescent="0.2">
      <c r="A16" s="1282"/>
      <c r="B16" s="1276" t="s">
        <v>1330</v>
      </c>
      <c r="C16" s="1958" t="s">
        <v>1329</v>
      </c>
      <c r="D16" s="2467" t="s">
        <v>1670</v>
      </c>
      <c r="E16" s="2467"/>
      <c r="F16" s="2467"/>
    </row>
    <row r="17" spans="1:6" ht="20.45" customHeight="1" x14ac:dyDescent="0.2">
      <c r="A17" s="1283"/>
      <c r="B17" s="1284" t="s">
        <v>2150</v>
      </c>
      <c r="C17" s="1285">
        <v>84.027000000000001</v>
      </c>
      <c r="D17" s="2465"/>
      <c r="E17" s="2465"/>
      <c r="F17" s="2465"/>
    </row>
    <row r="18" spans="1:6" ht="20.65" customHeight="1" x14ac:dyDescent="0.2">
      <c r="A18" s="1283"/>
      <c r="B18" s="1284" t="s">
        <v>2151</v>
      </c>
      <c r="C18" s="1285"/>
      <c r="D18" s="2465">
        <v>148039</v>
      </c>
      <c r="E18" s="2465"/>
      <c r="F18" s="2465"/>
    </row>
    <row r="19" spans="1:6" ht="20.65" customHeight="1" x14ac:dyDescent="0.2">
      <c r="A19" s="1283"/>
      <c r="B19" s="1284" t="s">
        <v>2152</v>
      </c>
      <c r="C19" s="1285"/>
      <c r="D19" s="2465">
        <v>81973</v>
      </c>
      <c r="E19" s="2465"/>
      <c r="F19" s="2465"/>
    </row>
    <row r="20" spans="1:6" ht="20.65" customHeight="1" x14ac:dyDescent="0.2">
      <c r="A20" s="1283"/>
      <c r="B20" s="1284" t="s">
        <v>2153</v>
      </c>
      <c r="C20" s="1285"/>
      <c r="D20" s="2465">
        <v>94450</v>
      </c>
      <c r="E20" s="2465"/>
      <c r="F20" s="2465"/>
    </row>
    <row r="21" spans="1:6" ht="20.65" customHeight="1" x14ac:dyDescent="0.2">
      <c r="A21" s="1283"/>
      <c r="B21" s="1284" t="s">
        <v>2154</v>
      </c>
      <c r="C21" s="1285"/>
      <c r="D21" s="2465">
        <v>582588</v>
      </c>
      <c r="E21" s="2465"/>
      <c r="F21" s="2465"/>
    </row>
    <row r="22" spans="1:6" ht="20.65" customHeight="1" x14ac:dyDescent="0.2">
      <c r="A22" s="1283"/>
      <c r="B22" s="1284" t="s">
        <v>2155</v>
      </c>
      <c r="C22" s="1285"/>
      <c r="D22" s="2465">
        <v>117726</v>
      </c>
      <c r="E22" s="2465"/>
      <c r="F22" s="2465"/>
    </row>
    <row r="23" spans="1:6" ht="20.65" customHeight="1" x14ac:dyDescent="0.2">
      <c r="A23" s="1283"/>
      <c r="B23" s="1284" t="s">
        <v>2156</v>
      </c>
      <c r="C23" s="1285"/>
      <c r="D23" s="2465">
        <v>106682</v>
      </c>
      <c r="E23" s="2465"/>
      <c r="F23" s="2465"/>
    </row>
    <row r="24" spans="1:6" ht="20.65" customHeight="1" x14ac:dyDescent="0.2">
      <c r="A24" s="1283"/>
      <c r="B24" s="1284" t="s">
        <v>2157</v>
      </c>
      <c r="C24" s="1285"/>
      <c r="D24" s="2465">
        <v>20200</v>
      </c>
      <c r="E24" s="2465"/>
      <c r="F24" s="2465"/>
    </row>
    <row r="25" spans="1:6" ht="20.65" customHeight="1" x14ac:dyDescent="0.2">
      <c r="A25" s="1283"/>
      <c r="B25" s="1284" t="s">
        <v>2158</v>
      </c>
      <c r="C25" s="1285"/>
      <c r="D25" s="2465">
        <v>478664</v>
      </c>
      <c r="E25" s="2465"/>
      <c r="F25" s="2465"/>
    </row>
    <row r="26" spans="1:6" ht="20.65" customHeight="1" x14ac:dyDescent="0.2">
      <c r="A26" s="1283"/>
      <c r="B26" s="1284" t="s">
        <v>2159</v>
      </c>
      <c r="C26" s="1285"/>
      <c r="D26" s="2465">
        <v>175297</v>
      </c>
      <c r="E26" s="2465"/>
      <c r="F26" s="2465"/>
    </row>
    <row r="27" spans="1:6" ht="20.65" customHeight="1" x14ac:dyDescent="0.2">
      <c r="A27" s="1283"/>
      <c r="B27" s="1284" t="s">
        <v>2160</v>
      </c>
      <c r="C27" s="1285"/>
      <c r="D27" s="2465">
        <v>130502</v>
      </c>
      <c r="E27" s="2465"/>
      <c r="F27" s="2465"/>
    </row>
    <row r="28" spans="1:6" ht="20.65" customHeight="1" x14ac:dyDescent="0.2">
      <c r="A28" s="1283"/>
      <c r="B28" s="1284" t="s">
        <v>2161</v>
      </c>
      <c r="C28" s="1285"/>
      <c r="D28" s="2465">
        <v>145136</v>
      </c>
      <c r="E28" s="2465"/>
      <c r="F28" s="2465"/>
    </row>
    <row r="29" spans="1:6" ht="20.65" customHeight="1" x14ac:dyDescent="0.2">
      <c r="A29" s="1283"/>
      <c r="B29" s="1284" t="s">
        <v>2162</v>
      </c>
      <c r="C29" s="1285"/>
      <c r="D29" s="2465">
        <v>213739</v>
      </c>
      <c r="E29" s="2465"/>
      <c r="F29" s="246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9" t="s">
        <v>1833</v>
      </c>
      <c r="B32" s="2469"/>
      <c r="C32" s="2469"/>
      <c r="D32" s="2469"/>
      <c r="E32" s="2469"/>
      <c r="F32" s="2469"/>
    </row>
    <row r="33" spans="1:6" ht="13.5" customHeight="1" x14ac:dyDescent="0.2">
      <c r="A33" s="328" t="s">
        <v>1509</v>
      </c>
      <c r="B33" s="328"/>
      <c r="C33" s="1288">
        <v>6189</v>
      </c>
      <c r="D33" s="1928"/>
      <c r="E33" s="1286"/>
    </row>
    <row r="34" spans="1:6" ht="13.5" customHeight="1" x14ac:dyDescent="0.2">
      <c r="A34" s="328" t="s">
        <v>1946</v>
      </c>
      <c r="B34" s="328"/>
      <c r="C34" s="1289">
        <v>0</v>
      </c>
      <c r="D34" s="1928" t="s">
        <v>1671</v>
      </c>
      <c r="E34" s="2470">
        <f>+C33+C34</f>
        <v>6189</v>
      </c>
      <c r="F34" s="247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1672</v>
      </c>
      <c r="C49" s="2472"/>
      <c r="D49" s="2472"/>
      <c r="E49" s="1399"/>
    </row>
    <row r="50" spans="1:5" s="1300" customFormat="1" ht="3.75" customHeight="1" x14ac:dyDescent="0.2">
      <c r="A50" s="1299"/>
      <c r="B50" s="1957"/>
      <c r="C50" s="1957"/>
      <c r="D50" s="1957"/>
      <c r="E50" s="1399"/>
    </row>
    <row r="51" spans="1:5" s="1300" customFormat="1" ht="20.25" customHeight="1" x14ac:dyDescent="0.2">
      <c r="A51" s="1301">
        <v>6</v>
      </c>
      <c r="B51" s="2468" t="s">
        <v>1632</v>
      </c>
      <c r="C51" s="2468"/>
      <c r="D51" s="2468"/>
    </row>
    <row r="52" spans="1:5" ht="14.25" customHeight="1" x14ac:dyDescent="0.2">
      <c r="A52" s="1301"/>
      <c r="B52" s="2468"/>
      <c r="C52" s="2468"/>
      <c r="D52" s="246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8" zoomScale="120" zoomScaleNormal="120" workbookViewId="0">
      <selection activeCell="A23" sqref="A23:H2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Belleville Area Special Services Coop</v>
      </c>
      <c r="B1" s="2462"/>
      <c r="C1" s="2462"/>
      <c r="D1" s="2462"/>
      <c r="E1" s="2462"/>
      <c r="F1" s="2462"/>
    </row>
    <row r="2" spans="1:7" ht="13.5" customHeight="1" x14ac:dyDescent="0.2">
      <c r="A2" s="2458">
        <f>'Single Audit Cover'!E7</f>
        <v>50082801060</v>
      </c>
      <c r="B2" s="2458"/>
      <c r="C2" s="2458"/>
      <c r="D2" s="2458"/>
      <c r="E2" s="2458"/>
      <c r="F2" s="2458"/>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1" t="s">
        <v>2091</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4.6" customHeight="1" x14ac:dyDescent="0.2">
      <c r="A13" s="2461" t="s">
        <v>2092</v>
      </c>
      <c r="B13" s="2461"/>
      <c r="C13" s="2461"/>
      <c r="D13" s="2461"/>
      <c r="E13" s="2461"/>
      <c r="F13" s="2461"/>
    </row>
    <row r="14" spans="1:7" ht="9.75" customHeight="1" x14ac:dyDescent="0.2">
      <c r="C14" s="1260"/>
      <c r="D14" s="1260"/>
    </row>
    <row r="15" spans="1:7" ht="13.5" customHeight="1" x14ac:dyDescent="0.2">
      <c r="C15" s="1958" t="s">
        <v>1332</v>
      </c>
      <c r="D15" s="2466" t="s">
        <v>1331</v>
      </c>
      <c r="E15" s="2466"/>
      <c r="F15" s="2466"/>
    </row>
    <row r="16" spans="1:7" ht="13.5" customHeight="1" x14ac:dyDescent="0.2">
      <c r="A16" s="1282"/>
      <c r="B16" s="1276" t="s">
        <v>1330</v>
      </c>
      <c r="C16" s="1958" t="s">
        <v>1329</v>
      </c>
      <c r="D16" s="2467" t="s">
        <v>1670</v>
      </c>
      <c r="E16" s="2467"/>
      <c r="F16" s="2467"/>
    </row>
    <row r="17" spans="1:6" ht="20.45" customHeight="1" x14ac:dyDescent="0.2">
      <c r="A17" s="1283"/>
      <c r="B17" s="1284" t="s">
        <v>2163</v>
      </c>
      <c r="C17" s="1285">
        <v>84.027000000000001</v>
      </c>
      <c r="D17" s="2465"/>
      <c r="E17" s="2465"/>
      <c r="F17" s="2465"/>
    </row>
    <row r="18" spans="1:6" ht="20.65" customHeight="1" x14ac:dyDescent="0.2">
      <c r="A18" s="1283"/>
      <c r="B18" s="1284" t="s">
        <v>2164</v>
      </c>
      <c r="C18" s="1285"/>
      <c r="D18" s="2465">
        <v>74238</v>
      </c>
      <c r="E18" s="2465"/>
      <c r="F18" s="2465"/>
    </row>
    <row r="19" spans="1:6" ht="20.65" customHeight="1" x14ac:dyDescent="0.2">
      <c r="A19" s="1283"/>
      <c r="B19" s="1284" t="s">
        <v>2165</v>
      </c>
      <c r="C19" s="1285"/>
      <c r="D19" s="2465">
        <v>97848</v>
      </c>
      <c r="E19" s="2465"/>
      <c r="F19" s="2465"/>
    </row>
    <row r="20" spans="1:6" ht="20.65" customHeight="1" x14ac:dyDescent="0.2">
      <c r="A20" s="1283"/>
      <c r="B20" s="1284" t="s">
        <v>2166</v>
      </c>
      <c r="C20" s="1285"/>
      <c r="D20" s="2465">
        <v>93782</v>
      </c>
      <c r="E20" s="2465"/>
      <c r="F20" s="2465"/>
    </row>
    <row r="21" spans="1:6" ht="20.65" customHeight="1" x14ac:dyDescent="0.2">
      <c r="A21" s="1283"/>
      <c r="B21" s="1284" t="s">
        <v>2167</v>
      </c>
      <c r="C21" s="1285"/>
      <c r="D21" s="2465">
        <v>147505</v>
      </c>
      <c r="E21" s="2465"/>
      <c r="F21" s="2465"/>
    </row>
    <row r="22" spans="1:6" ht="20.65" customHeight="1" x14ac:dyDescent="0.2">
      <c r="A22" s="1283"/>
      <c r="B22" s="1284" t="s">
        <v>2168</v>
      </c>
      <c r="C22" s="1285"/>
      <c r="D22" s="2465">
        <v>753589</v>
      </c>
      <c r="E22" s="2465"/>
      <c r="F22" s="2465"/>
    </row>
    <row r="23" spans="1:6" ht="20.65" customHeight="1" x14ac:dyDescent="0.2">
      <c r="A23" s="1283"/>
      <c r="B23" s="1284" t="s">
        <v>2169</v>
      </c>
      <c r="C23" s="1285"/>
      <c r="D23" s="2465">
        <v>111730</v>
      </c>
      <c r="E23" s="2465"/>
      <c r="F23" s="2465"/>
    </row>
    <row r="24" spans="1:6" ht="20.65" customHeight="1" x14ac:dyDescent="0.2">
      <c r="A24" s="1283"/>
      <c r="B24" s="1284" t="s">
        <v>2170</v>
      </c>
      <c r="C24" s="1285"/>
      <c r="D24" s="2465">
        <v>116224</v>
      </c>
      <c r="E24" s="2465"/>
      <c r="F24" s="2465"/>
    </row>
    <row r="25" spans="1:6" ht="20.65" customHeight="1" x14ac:dyDescent="0.2">
      <c r="A25" s="1283"/>
      <c r="B25" s="1284" t="s">
        <v>2171</v>
      </c>
      <c r="C25" s="1285"/>
      <c r="D25" s="2465">
        <v>623360</v>
      </c>
      <c r="E25" s="2465"/>
      <c r="F25" s="2465"/>
    </row>
    <row r="26" spans="1:6" ht="20.65" customHeight="1" x14ac:dyDescent="0.2">
      <c r="A26" s="1283"/>
      <c r="B26" s="1284" t="s">
        <v>2172</v>
      </c>
      <c r="C26" s="1285"/>
      <c r="D26" s="2465">
        <v>217215</v>
      </c>
      <c r="E26" s="2465"/>
      <c r="F26" s="2465"/>
    </row>
    <row r="27" spans="1:6" ht="20.65" customHeight="1" x14ac:dyDescent="0.2">
      <c r="A27" s="1283"/>
      <c r="B27" s="1284" t="s">
        <v>2173</v>
      </c>
      <c r="C27" s="1285"/>
      <c r="D27" s="2465">
        <v>218090</v>
      </c>
      <c r="E27" s="2465"/>
      <c r="F27" s="2465"/>
    </row>
    <row r="28" spans="1:6" ht="20.65" customHeight="1" x14ac:dyDescent="0.2">
      <c r="A28" s="1283"/>
      <c r="B28" s="1284" t="s">
        <v>2174</v>
      </c>
      <c r="C28" s="1285"/>
      <c r="D28" s="2465">
        <v>96714</v>
      </c>
      <c r="E28" s="2465"/>
      <c r="F28" s="2465"/>
    </row>
    <row r="29" spans="1:6" ht="20.65" customHeight="1" x14ac:dyDescent="0.2">
      <c r="A29" s="1283"/>
      <c r="B29" s="1960" t="s">
        <v>2175</v>
      </c>
      <c r="C29" s="1285"/>
      <c r="D29" s="2465">
        <f>+'SEFA NOTES (3)'!D18:F18+'SEFA NOTES (3)'!D19:F19+'SEFA NOTES (3)'!D20:F20+'SEFA NOTES (3)'!D21:F21+'SEFA NOTES (3)'!D22:F22+'SEFA NOTES (3)'!D23:F23+'SEFA NOTES (3)'!D24:F24+'SEFA NOTES (3)'!D25:F25+'SEFA NOTES (3)'!D26:F26+'SEFA NOTES (3)'!D27:F27+'SEFA NOTES (3)'!D28:F28+'SEFA NOTES (3)'!D29:F29+'SEFA NOTES (2)'!D18:F18+'SEFA NOTES (2)'!D19:F19+'SEFA NOTES (2)'!D20:F20+'SEFA NOTES (2)'!D21:F21+'SEFA NOTES (2)'!D22:F22+'SEFA NOTES (2)'!D23:F23+'SEFA NOTES (2)'!D24:F24+'SEFA NOTES (2)'!D25:F25+'SEFA NOTES (2)'!D26:F26+'SEFA NOTES (2)'!D27:F27+'SEFA NOTES (2)'!D28:F28</f>
        <v>4845291</v>
      </c>
      <c r="E29" s="2465"/>
      <c r="F29" s="246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9" t="s">
        <v>1833</v>
      </c>
      <c r="B32" s="2469"/>
      <c r="C32" s="2469"/>
      <c r="D32" s="2469"/>
      <c r="E32" s="2469"/>
      <c r="F32" s="2469"/>
    </row>
    <row r="33" spans="1:6" ht="13.5" customHeight="1" x14ac:dyDescent="0.2">
      <c r="A33" s="328" t="s">
        <v>1509</v>
      </c>
      <c r="B33" s="328"/>
      <c r="C33" s="1288">
        <v>6189</v>
      </c>
      <c r="D33" s="1928"/>
      <c r="E33" s="1286"/>
    </row>
    <row r="34" spans="1:6" ht="13.5" customHeight="1" x14ac:dyDescent="0.2">
      <c r="A34" s="328" t="s">
        <v>1946</v>
      </c>
      <c r="B34" s="328"/>
      <c r="C34" s="1289">
        <v>0</v>
      </c>
      <c r="D34" s="1928" t="s">
        <v>1671</v>
      </c>
      <c r="E34" s="2470">
        <f>+C33+C34</f>
        <v>6189</v>
      </c>
      <c r="F34" s="247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1672</v>
      </c>
      <c r="C49" s="2472"/>
      <c r="D49" s="2472"/>
      <c r="E49" s="1399"/>
    </row>
    <row r="50" spans="1:5" s="1300" customFormat="1" ht="3.75" customHeight="1" x14ac:dyDescent="0.2">
      <c r="A50" s="1299"/>
      <c r="B50" s="1957"/>
      <c r="C50" s="1957"/>
      <c r="D50" s="1957"/>
      <c r="E50" s="1399"/>
    </row>
    <row r="51" spans="1:5" s="1300" customFormat="1" ht="20.25" customHeight="1" x14ac:dyDescent="0.2">
      <c r="A51" s="1301">
        <v>6</v>
      </c>
      <c r="B51" s="2468" t="s">
        <v>1632</v>
      </c>
      <c r="C51" s="2468"/>
      <c r="D51" s="2468"/>
    </row>
    <row r="52" spans="1:5" ht="14.25" customHeight="1" x14ac:dyDescent="0.2">
      <c r="A52" s="1301"/>
      <c r="B52" s="2468"/>
      <c r="C52" s="2468"/>
      <c r="D52" s="246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3" zoomScale="120" zoomScaleNormal="120" workbookViewId="0">
      <selection activeCell="A23" sqref="A23:H2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Belleville Area Special Services Coop</v>
      </c>
      <c r="B1" s="2462"/>
      <c r="C1" s="2462"/>
      <c r="D1" s="2462"/>
      <c r="E1" s="2462"/>
      <c r="F1" s="2462"/>
    </row>
    <row r="2" spans="1:7" ht="13.5" customHeight="1" x14ac:dyDescent="0.2">
      <c r="A2" s="2458">
        <f>'Single Audit Cover'!E7</f>
        <v>50082801060</v>
      </c>
      <c r="B2" s="2458"/>
      <c r="C2" s="2458"/>
      <c r="D2" s="2458"/>
      <c r="E2" s="2458"/>
      <c r="F2" s="2458"/>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1" t="s">
        <v>2091</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4.6" customHeight="1" x14ac:dyDescent="0.2">
      <c r="A13" s="2461" t="s">
        <v>2092</v>
      </c>
      <c r="B13" s="2461"/>
      <c r="C13" s="2461"/>
      <c r="D13" s="2461"/>
      <c r="E13" s="2461"/>
      <c r="F13" s="2461"/>
    </row>
    <row r="14" spans="1:7" ht="9.75" customHeight="1" x14ac:dyDescent="0.2">
      <c r="C14" s="1260"/>
      <c r="D14" s="1260"/>
    </row>
    <row r="15" spans="1:7" ht="13.5" customHeight="1" x14ac:dyDescent="0.2">
      <c r="C15" s="1958" t="s">
        <v>1332</v>
      </c>
      <c r="D15" s="2466" t="s">
        <v>1331</v>
      </c>
      <c r="E15" s="2466"/>
      <c r="F15" s="2466"/>
    </row>
    <row r="16" spans="1:7" ht="13.5" customHeight="1" x14ac:dyDescent="0.2">
      <c r="A16" s="1282"/>
      <c r="B16" s="1276" t="s">
        <v>1330</v>
      </c>
      <c r="C16" s="1958" t="s">
        <v>1329</v>
      </c>
      <c r="D16" s="2467" t="s">
        <v>1670</v>
      </c>
      <c r="E16" s="2467"/>
      <c r="F16" s="2467"/>
    </row>
    <row r="17" spans="1:6" ht="20.45" customHeight="1" x14ac:dyDescent="0.2">
      <c r="A17" s="1283"/>
      <c r="B17" s="1284" t="s">
        <v>2176</v>
      </c>
      <c r="C17" s="1285">
        <v>84.024699999999996</v>
      </c>
      <c r="D17" s="2465"/>
      <c r="E17" s="2465"/>
      <c r="F17" s="2465"/>
    </row>
    <row r="18" spans="1:6" ht="20.65" customHeight="1" x14ac:dyDescent="0.2">
      <c r="A18" s="1283"/>
      <c r="B18" s="1284" t="s">
        <v>2153</v>
      </c>
      <c r="C18" s="1285"/>
      <c r="D18" s="2465">
        <f>8492+8493</f>
        <v>16985</v>
      </c>
      <c r="E18" s="2465"/>
      <c r="F18" s="2465"/>
    </row>
    <row r="19" spans="1:6" ht="20.65" customHeight="1" x14ac:dyDescent="0.2">
      <c r="A19" s="1283"/>
      <c r="B19" s="1284" t="s">
        <v>2154</v>
      </c>
      <c r="C19" s="1285"/>
      <c r="D19" s="2465">
        <f>2177+1088</f>
        <v>3265</v>
      </c>
      <c r="E19" s="2465"/>
      <c r="F19" s="2465"/>
    </row>
    <row r="20" spans="1:6" ht="20.65" customHeight="1" x14ac:dyDescent="0.2">
      <c r="A20" s="1283"/>
      <c r="B20" s="1284" t="s">
        <v>2158</v>
      </c>
      <c r="C20" s="1285"/>
      <c r="D20" s="2465">
        <v>7780</v>
      </c>
      <c r="E20" s="2465"/>
      <c r="F20" s="2465"/>
    </row>
    <row r="21" spans="1:6" ht="20.65" customHeight="1" x14ac:dyDescent="0.2">
      <c r="A21" s="1283"/>
      <c r="B21" s="1284" t="s">
        <v>2162</v>
      </c>
      <c r="C21" s="1285"/>
      <c r="D21" s="2465">
        <f>12353+14683</f>
        <v>27036</v>
      </c>
      <c r="E21" s="2465"/>
      <c r="F21" s="2465"/>
    </row>
    <row r="22" spans="1:6" ht="20.65" customHeight="1" x14ac:dyDescent="0.2">
      <c r="A22" s="1283"/>
      <c r="B22" s="1284" t="s">
        <v>2168</v>
      </c>
      <c r="C22" s="1285"/>
      <c r="D22" s="2465">
        <f>55218+52118</f>
        <v>107336</v>
      </c>
      <c r="E22" s="2465"/>
      <c r="F22" s="2465"/>
    </row>
    <row r="23" spans="1:6" ht="20.65" customHeight="1" x14ac:dyDescent="0.2">
      <c r="A23" s="1283"/>
      <c r="B23" s="1284" t="s">
        <v>2195</v>
      </c>
      <c r="C23" s="1285"/>
      <c r="D23" s="2465">
        <v>6447</v>
      </c>
      <c r="E23" s="2465"/>
      <c r="F23" s="2465"/>
    </row>
    <row r="24" spans="1:6" ht="20.65" customHeight="1" x14ac:dyDescent="0.2">
      <c r="A24" s="1283"/>
      <c r="B24" s="1284" t="s">
        <v>2171</v>
      </c>
      <c r="C24" s="1285"/>
      <c r="D24" s="2465">
        <v>115332</v>
      </c>
      <c r="E24" s="2465"/>
      <c r="F24" s="2465"/>
    </row>
    <row r="25" spans="1:6" ht="20.65" customHeight="1" x14ac:dyDescent="0.2">
      <c r="A25" s="1283"/>
      <c r="B25" s="1284" t="s">
        <v>2172</v>
      </c>
      <c r="C25" s="1285"/>
      <c r="D25" s="2465">
        <v>2064</v>
      </c>
      <c r="E25" s="2465"/>
      <c r="F25" s="2465"/>
    </row>
    <row r="26" spans="1:6" ht="20.65" customHeight="1" x14ac:dyDescent="0.2">
      <c r="A26" s="1283"/>
      <c r="B26" s="1960" t="s">
        <v>2177</v>
      </c>
      <c r="C26" s="1285"/>
      <c r="D26" s="2465">
        <f>+D18+D19+D20+D21+D22+D23+D24+D25</f>
        <v>286245</v>
      </c>
      <c r="E26" s="2465"/>
      <c r="F26" s="2465"/>
    </row>
    <row r="27" spans="1:6" ht="20.65" customHeight="1" x14ac:dyDescent="0.2">
      <c r="A27" s="1283"/>
      <c r="B27" s="1284"/>
      <c r="C27" s="1285"/>
      <c r="D27" s="2465"/>
      <c r="E27" s="2465"/>
      <c r="F27" s="2465"/>
    </row>
    <row r="28" spans="1:6" ht="20.65" customHeight="1" x14ac:dyDescent="0.2">
      <c r="A28" s="1283"/>
      <c r="B28" s="1284"/>
      <c r="C28" s="1285"/>
      <c r="D28" s="2465"/>
      <c r="E28" s="2465"/>
      <c r="F28" s="2465"/>
    </row>
    <row r="29" spans="1:6" ht="20.65" customHeight="1" x14ac:dyDescent="0.2">
      <c r="A29" s="1283"/>
      <c r="B29" s="1284"/>
      <c r="C29" s="1285"/>
      <c r="D29" s="2465"/>
      <c r="E29" s="2465"/>
      <c r="F29" s="246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9" t="s">
        <v>1833</v>
      </c>
      <c r="B32" s="2469"/>
      <c r="C32" s="2469"/>
      <c r="D32" s="2469"/>
      <c r="E32" s="2469"/>
      <c r="F32" s="2469"/>
    </row>
    <row r="33" spans="1:6" ht="13.5" customHeight="1" x14ac:dyDescent="0.2">
      <c r="A33" s="328" t="s">
        <v>1509</v>
      </c>
      <c r="B33" s="328"/>
      <c r="C33" s="1288">
        <v>6189</v>
      </c>
      <c r="D33" s="1928"/>
      <c r="E33" s="1286"/>
    </row>
    <row r="34" spans="1:6" ht="13.5" customHeight="1" x14ac:dyDescent="0.2">
      <c r="A34" s="328" t="s">
        <v>1946</v>
      </c>
      <c r="B34" s="328"/>
      <c r="C34" s="1289">
        <v>0</v>
      </c>
      <c r="D34" s="1928" t="s">
        <v>1671</v>
      </c>
      <c r="E34" s="2470">
        <f>+C33+C34</f>
        <v>6189</v>
      </c>
      <c r="F34" s="247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1672</v>
      </c>
      <c r="C49" s="2472"/>
      <c r="D49" s="2472"/>
      <c r="E49" s="1399"/>
    </row>
    <row r="50" spans="1:5" s="1300" customFormat="1" ht="3.75" customHeight="1" x14ac:dyDescent="0.2">
      <c r="A50" s="1299"/>
      <c r="B50" s="1957"/>
      <c r="C50" s="1957"/>
      <c r="D50" s="1957"/>
      <c r="E50" s="1399"/>
    </row>
    <row r="51" spans="1:5" s="1300" customFormat="1" ht="20.25" customHeight="1" x14ac:dyDescent="0.2">
      <c r="A51" s="1301">
        <v>6</v>
      </c>
      <c r="B51" s="2468" t="s">
        <v>1632</v>
      </c>
      <c r="C51" s="2468"/>
      <c r="D51" s="2468"/>
    </row>
    <row r="52" spans="1:5" ht="14.25" customHeight="1" x14ac:dyDescent="0.2">
      <c r="A52" s="1301"/>
      <c r="B52" s="2468"/>
      <c r="C52" s="2468"/>
      <c r="D52" s="246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6" zoomScale="120" zoomScaleNormal="120" workbookViewId="0">
      <selection activeCell="A23" sqref="A23:H2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Belleville Area Special Services Coop</v>
      </c>
      <c r="B1" s="2462"/>
      <c r="C1" s="2462"/>
      <c r="D1" s="2462"/>
      <c r="E1" s="2462"/>
      <c r="F1" s="2462"/>
    </row>
    <row r="2" spans="1:7" ht="13.5" customHeight="1" x14ac:dyDescent="0.2">
      <c r="A2" s="2458">
        <f>'Single Audit Cover'!E7</f>
        <v>50082801060</v>
      </c>
      <c r="B2" s="2458"/>
      <c r="C2" s="2458"/>
      <c r="D2" s="2458"/>
      <c r="E2" s="2458"/>
      <c r="F2" s="2458"/>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1" t="s">
        <v>2091</v>
      </c>
      <c r="B7" s="2461"/>
      <c r="C7" s="2461"/>
      <c r="D7" s="2461"/>
      <c r="E7" s="2461"/>
      <c r="F7" s="246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4.6" customHeight="1" x14ac:dyDescent="0.2">
      <c r="A13" s="2461" t="s">
        <v>2092</v>
      </c>
      <c r="B13" s="2461"/>
      <c r="C13" s="2461"/>
      <c r="D13" s="2461"/>
      <c r="E13" s="2461"/>
      <c r="F13" s="2461"/>
    </row>
    <row r="14" spans="1:7" ht="9.75" customHeight="1" x14ac:dyDescent="0.2">
      <c r="C14" s="1260"/>
      <c r="D14" s="1260"/>
    </row>
    <row r="15" spans="1:7" ht="13.5" customHeight="1" x14ac:dyDescent="0.2">
      <c r="C15" s="1871" t="s">
        <v>1332</v>
      </c>
      <c r="D15" s="2466" t="s">
        <v>1331</v>
      </c>
      <c r="E15" s="2466"/>
      <c r="F15" s="2466"/>
    </row>
    <row r="16" spans="1:7" ht="13.5" customHeight="1" x14ac:dyDescent="0.2">
      <c r="A16" s="1282"/>
      <c r="B16" s="1276" t="s">
        <v>1330</v>
      </c>
      <c r="C16" s="1871" t="s">
        <v>1329</v>
      </c>
      <c r="D16" s="2467" t="s">
        <v>1670</v>
      </c>
      <c r="E16" s="2467"/>
      <c r="F16" s="2467"/>
    </row>
    <row r="17" spans="1:6" ht="20.45" customHeight="1" x14ac:dyDescent="0.2">
      <c r="A17" s="1283"/>
      <c r="B17" s="1284" t="s">
        <v>2178</v>
      </c>
      <c r="C17" s="1285">
        <v>84.173000000000002</v>
      </c>
      <c r="D17" s="2465"/>
      <c r="E17" s="2465"/>
      <c r="F17" s="2465"/>
    </row>
    <row r="18" spans="1:6" ht="20.65" customHeight="1" x14ac:dyDescent="0.2">
      <c r="A18" s="1283"/>
      <c r="B18" s="1284" t="s">
        <v>2181</v>
      </c>
      <c r="C18" s="1285"/>
      <c r="D18" s="2465">
        <v>357</v>
      </c>
      <c r="E18" s="2465"/>
      <c r="F18" s="2465"/>
    </row>
    <row r="19" spans="1:6" ht="20.65" customHeight="1" x14ac:dyDescent="0.2">
      <c r="A19" s="1283"/>
      <c r="B19" s="1284" t="s">
        <v>2154</v>
      </c>
      <c r="C19" s="1285"/>
      <c r="D19" s="2465">
        <v>215</v>
      </c>
      <c r="E19" s="2465"/>
      <c r="F19" s="2465"/>
    </row>
    <row r="20" spans="1:6" ht="20.65" customHeight="1" x14ac:dyDescent="0.2">
      <c r="A20" s="1283"/>
      <c r="B20" s="1284" t="s">
        <v>2196</v>
      </c>
      <c r="C20" s="1285"/>
      <c r="D20" s="2465">
        <v>449</v>
      </c>
      <c r="E20" s="2465"/>
      <c r="F20" s="2465"/>
    </row>
    <row r="21" spans="1:6" ht="20.65" customHeight="1" x14ac:dyDescent="0.2">
      <c r="A21" s="1283"/>
      <c r="B21" s="1284" t="s">
        <v>2172</v>
      </c>
      <c r="C21" s="1285"/>
      <c r="D21" s="2465">
        <v>553</v>
      </c>
      <c r="E21" s="2465"/>
      <c r="F21" s="2465"/>
    </row>
    <row r="22" spans="1:6" ht="20.65" customHeight="1" x14ac:dyDescent="0.2">
      <c r="A22" s="1283"/>
      <c r="B22" s="1961" t="s">
        <v>2182</v>
      </c>
      <c r="C22" s="1285"/>
      <c r="D22" s="2465">
        <f>+D18+D19+D20+D21</f>
        <v>1574</v>
      </c>
      <c r="E22" s="2465"/>
      <c r="F22" s="2465"/>
    </row>
    <row r="23" spans="1:6" ht="20.65" customHeight="1" x14ac:dyDescent="0.2">
      <c r="A23" s="1283"/>
      <c r="B23" s="1284"/>
      <c r="C23" s="1285"/>
      <c r="D23" s="2465"/>
      <c r="E23" s="2465"/>
      <c r="F23" s="2465"/>
    </row>
    <row r="24" spans="1:6" ht="20.65" customHeight="1" x14ac:dyDescent="0.2">
      <c r="A24" s="1283"/>
      <c r="B24" s="1284" t="s">
        <v>2179</v>
      </c>
      <c r="C24" s="1285">
        <v>84.173000000000002</v>
      </c>
      <c r="D24" s="2465"/>
      <c r="E24" s="2465"/>
      <c r="F24" s="2465"/>
    </row>
    <row r="25" spans="1:6" ht="20.65" customHeight="1" x14ac:dyDescent="0.2">
      <c r="A25" s="1283"/>
      <c r="B25" s="1284" t="s">
        <v>2172</v>
      </c>
      <c r="C25" s="1285"/>
      <c r="D25" s="2465">
        <v>863</v>
      </c>
      <c r="E25" s="2465"/>
      <c r="F25" s="2465"/>
    </row>
    <row r="26" spans="1:6" ht="20.65" customHeight="1" x14ac:dyDescent="0.2">
      <c r="A26" s="1283"/>
      <c r="B26" s="1284"/>
      <c r="C26" s="1285"/>
      <c r="D26" s="2465"/>
      <c r="E26" s="2465"/>
      <c r="F26" s="2465"/>
    </row>
    <row r="27" spans="1:6" ht="20.65" customHeight="1" x14ac:dyDescent="0.2">
      <c r="A27" s="1283"/>
      <c r="B27" s="1284"/>
      <c r="C27" s="1285"/>
      <c r="D27" s="2465"/>
      <c r="E27" s="2465"/>
      <c r="F27" s="2465"/>
    </row>
    <row r="28" spans="1:6" ht="20.65" customHeight="1" x14ac:dyDescent="0.2">
      <c r="A28" s="1283"/>
      <c r="B28" s="1284"/>
      <c r="C28" s="1285"/>
      <c r="D28" s="2465"/>
      <c r="E28" s="2465"/>
      <c r="F28" s="2465"/>
    </row>
    <row r="29" spans="1:6" ht="20.65" customHeight="1" x14ac:dyDescent="0.2">
      <c r="A29" s="1283"/>
      <c r="B29" s="1284"/>
      <c r="C29" s="1285"/>
      <c r="D29" s="2465"/>
      <c r="E29" s="2465"/>
      <c r="F29" s="246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9" t="s">
        <v>1833</v>
      </c>
      <c r="B32" s="2469"/>
      <c r="C32" s="2469"/>
      <c r="D32" s="2469"/>
      <c r="E32" s="2469"/>
      <c r="F32" s="2469"/>
    </row>
    <row r="33" spans="1:6" ht="13.5" customHeight="1" x14ac:dyDescent="0.2">
      <c r="A33" s="328" t="s">
        <v>1509</v>
      </c>
      <c r="B33" s="328"/>
      <c r="C33" s="1288">
        <v>6189</v>
      </c>
      <c r="D33" s="1928"/>
      <c r="E33" s="1286"/>
    </row>
    <row r="34" spans="1:6" ht="13.5" customHeight="1" x14ac:dyDescent="0.2">
      <c r="A34" s="328" t="s">
        <v>1946</v>
      </c>
      <c r="B34" s="328"/>
      <c r="C34" s="1289">
        <v>0</v>
      </c>
      <c r="D34" s="1928" t="s">
        <v>1671</v>
      </c>
      <c r="E34" s="2470">
        <f>+C33+C34</f>
        <v>6189</v>
      </c>
      <c r="F34" s="247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2" t="s">
        <v>1672</v>
      </c>
      <c r="C49" s="2472"/>
      <c r="D49" s="2472"/>
      <c r="E49" s="1399"/>
    </row>
    <row r="50" spans="1:5" s="1300" customFormat="1" ht="3.75" customHeight="1" x14ac:dyDescent="0.2">
      <c r="A50" s="1299"/>
      <c r="B50" s="1870"/>
      <c r="C50" s="1870"/>
      <c r="D50" s="1870"/>
      <c r="E50" s="1399"/>
    </row>
    <row r="51" spans="1:5" s="1300" customFormat="1" ht="20.25" customHeight="1" x14ac:dyDescent="0.2">
      <c r="A51" s="1301">
        <v>6</v>
      </c>
      <c r="B51" s="2468" t="s">
        <v>1632</v>
      </c>
      <c r="C51" s="2468"/>
      <c r="D51" s="2468"/>
    </row>
    <row r="52" spans="1:5" ht="14.25" customHeight="1" x14ac:dyDescent="0.2">
      <c r="A52" s="1301"/>
      <c r="B52" s="2468"/>
      <c r="C52" s="2468"/>
      <c r="D52" s="246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23" sqref="A23:H2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Belleville Area Special Services Coop</v>
      </c>
      <c r="C1" s="2478"/>
      <c r="D1" s="2478"/>
      <c r="E1" s="2478"/>
      <c r="F1" s="2478"/>
      <c r="G1" s="2478"/>
      <c r="H1" s="2478"/>
      <c r="I1" s="2478"/>
      <c r="J1" s="1422"/>
    </row>
    <row r="2" spans="2:10" s="317" customFormat="1" ht="12.75" customHeight="1" x14ac:dyDescent="0.2">
      <c r="B2" s="2479">
        <f>'Single Audit Cover'!E7</f>
        <v>50082801060</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t="s">
        <v>2093</v>
      </c>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2089</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2089</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2089</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2089</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2089</v>
      </c>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t="s">
        <v>2093</v>
      </c>
      <c r="E29" s="2484"/>
      <c r="F29" s="2484"/>
      <c r="G29" s="2484"/>
      <c r="H29" s="2484"/>
      <c r="I29" s="2484"/>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2089</v>
      </c>
      <c r="F33" s="1300" t="s">
        <v>940</v>
      </c>
      <c r="G33" s="1438"/>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85" t="s">
        <v>1852</v>
      </c>
      <c r="D37" s="2486"/>
      <c r="E37" s="2486"/>
      <c r="F37" s="2487"/>
      <c r="G37" s="2485" t="s">
        <v>1674</v>
      </c>
      <c r="H37" s="2486"/>
      <c r="I37" s="2487"/>
    </row>
    <row r="38" spans="2:9" ht="16.5" customHeight="1" x14ac:dyDescent="0.2">
      <c r="B38" s="1444" t="s">
        <v>2094</v>
      </c>
      <c r="C38" s="2473" t="s">
        <v>2095</v>
      </c>
      <c r="D38" s="2474"/>
      <c r="E38" s="2474"/>
      <c r="F38" s="2475"/>
      <c r="G38" s="2488">
        <v>6782912</v>
      </c>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91" t="s">
        <v>1675</v>
      </c>
      <c r="D43" s="2492"/>
      <c r="E43" s="2492"/>
      <c r="F43" s="2493"/>
      <c r="G43" s="2494">
        <f>SUM(G38:I42)</f>
        <v>6782912</v>
      </c>
      <c r="H43" s="2494"/>
      <c r="I43" s="2494"/>
    </row>
    <row r="44" spans="2:9" ht="12.75" customHeight="1" x14ac:dyDescent="0.2"/>
    <row r="45" spans="2:9" ht="12.75" customHeight="1" x14ac:dyDescent="0.2">
      <c r="B45" s="1435" t="s">
        <v>1949</v>
      </c>
      <c r="D45" s="2495">
        <v>6962978</v>
      </c>
      <c r="E45" s="2496"/>
    </row>
    <row r="46" spans="2:9" ht="5.25" customHeight="1" x14ac:dyDescent="0.2">
      <c r="B46" s="1445"/>
      <c r="D46" s="1446"/>
      <c r="E46" s="1447"/>
    </row>
    <row r="47" spans="2:9" ht="12.75" customHeight="1" x14ac:dyDescent="0.2">
      <c r="B47" s="1300" t="s">
        <v>1676</v>
      </c>
      <c r="C47" s="1300"/>
      <c r="D47" s="1448">
        <f>+G43/D45</f>
        <v>0.97413951329445536</v>
      </c>
      <c r="E47" s="1449"/>
      <c r="F47" s="1450"/>
      <c r="I47" s="1451"/>
    </row>
    <row r="48" spans="2:9" ht="9.9499999999999993" customHeight="1" x14ac:dyDescent="0.2"/>
    <row r="49" spans="1:9" x14ac:dyDescent="0.2">
      <c r="B49" s="1368" t="s">
        <v>1335</v>
      </c>
      <c r="C49" s="1282"/>
      <c r="D49" s="1282"/>
      <c r="E49" s="2497">
        <v>750000</v>
      </c>
      <c r="F49" s="2497"/>
      <c r="G49" s="2497"/>
      <c r="H49" s="322"/>
    </row>
    <row r="51" spans="1:9" ht="13.5" customHeight="1" x14ac:dyDescent="0.2">
      <c r="B51" s="1368" t="s">
        <v>1334</v>
      </c>
      <c r="C51" s="1282"/>
      <c r="E51" s="1438"/>
      <c r="F51" s="1300" t="s">
        <v>940</v>
      </c>
      <c r="G51" s="1438" t="s">
        <v>2089</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8" zoomScale="110" zoomScaleNormal="110" workbookViewId="0">
      <selection activeCell="A23" sqref="A23:K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Belleville Area Special Services Coop</v>
      </c>
      <c r="C1" s="2477"/>
      <c r="D1" s="2477"/>
      <c r="E1" s="2477"/>
      <c r="F1" s="2477"/>
      <c r="G1" s="2477"/>
      <c r="H1" s="2477"/>
      <c r="I1" s="2477"/>
      <c r="J1" s="2477"/>
      <c r="K1" s="2477"/>
      <c r="L1" s="1374"/>
      <c r="M1" s="1374"/>
    </row>
    <row r="2" spans="1:13" ht="12" customHeight="1" x14ac:dyDescent="0.2">
      <c r="B2" s="2479">
        <f>'Single Audit Cover'!E7</f>
        <v>50082801060</v>
      </c>
      <c r="C2" s="2479"/>
      <c r="D2" s="2479"/>
      <c r="E2" s="2479"/>
      <c r="F2" s="2479"/>
      <c r="G2" s="2479"/>
      <c r="H2" s="2479"/>
      <c r="I2" s="2479"/>
      <c r="J2" s="2479"/>
      <c r="K2" s="2479"/>
      <c r="L2" s="1375"/>
      <c r="M2" s="1376"/>
    </row>
    <row r="3" spans="1:13" ht="10.35" customHeight="1" x14ac:dyDescent="0.2">
      <c r="B3" s="2500" t="s">
        <v>1347</v>
      </c>
      <c r="C3" s="2500"/>
      <c r="D3" s="2500"/>
      <c r="E3" s="2500"/>
      <c r="F3" s="2500"/>
      <c r="G3" s="2500"/>
      <c r="H3" s="2500"/>
      <c r="I3" s="2500"/>
      <c r="J3" s="2500"/>
      <c r="K3" s="2500"/>
      <c r="L3" s="1959"/>
      <c r="M3" s="1959"/>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v>1</v>
      </c>
      <c r="E10" s="322"/>
      <c r="F10" s="1387" t="s">
        <v>1362</v>
      </c>
      <c r="G10" s="1388"/>
      <c r="H10" s="1389" t="s">
        <v>1361</v>
      </c>
      <c r="I10" s="1388" t="s">
        <v>2075</v>
      </c>
      <c r="J10" s="1390" t="s">
        <v>1360</v>
      </c>
      <c r="K10" s="322"/>
      <c r="L10" s="1381"/>
    </row>
    <row r="11" spans="1:13" ht="13.5" customHeight="1" x14ac:dyDescent="0.2">
      <c r="B11" s="322"/>
      <c r="C11" s="322"/>
      <c r="D11" s="322"/>
      <c r="E11" s="322"/>
      <c r="F11" s="322"/>
      <c r="G11" s="1383"/>
      <c r="H11" s="322"/>
      <c r="I11" s="1391" t="s">
        <v>1359</v>
      </c>
      <c r="J11" s="322"/>
      <c r="K11" s="1392">
        <v>2008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t="s">
        <v>2204</v>
      </c>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t="s">
        <v>2096</v>
      </c>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03" t="s">
        <v>2097</v>
      </c>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t="s">
        <v>2098</v>
      </c>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t="s">
        <v>2099</v>
      </c>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t="s">
        <v>2100</v>
      </c>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8" t="s">
        <v>2101</v>
      </c>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9" right="0.27" top="0.68" bottom="0.47" header="0.26" footer="0.31"/>
  <pageSetup scale="98"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23" sqref="A23:H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Belleville Area Special Services Coop</v>
      </c>
      <c r="C1" s="2477"/>
      <c r="D1" s="2477"/>
      <c r="E1" s="2477"/>
      <c r="F1" s="2477"/>
      <c r="G1" s="2477"/>
      <c r="H1" s="2477"/>
      <c r="I1" s="2477"/>
      <c r="J1" s="2477"/>
      <c r="K1" s="2477"/>
      <c r="L1" s="1374"/>
      <c r="M1" s="1374"/>
    </row>
    <row r="2" spans="1:13" ht="12" customHeight="1" x14ac:dyDescent="0.2">
      <c r="B2" s="2479">
        <f>'Single Audit Cover'!E7</f>
        <v>50082801060</v>
      </c>
      <c r="C2" s="2479"/>
      <c r="D2" s="2479"/>
      <c r="E2" s="2479"/>
      <c r="F2" s="2479"/>
      <c r="G2" s="2479"/>
      <c r="H2" s="2479"/>
      <c r="I2" s="2479"/>
      <c r="J2" s="2479"/>
      <c r="K2" s="2479"/>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1950</v>
      </c>
      <c r="D10" s="1386">
        <v>2</v>
      </c>
      <c r="E10" s="322"/>
      <c r="F10" s="1387" t="s">
        <v>1362</v>
      </c>
      <c r="G10" s="1388"/>
      <c r="H10" s="1389" t="s">
        <v>1361</v>
      </c>
      <c r="I10" s="1388" t="s">
        <v>2075</v>
      </c>
      <c r="J10" s="1390" t="s">
        <v>1360</v>
      </c>
      <c r="K10" s="322"/>
      <c r="L10" s="1381"/>
    </row>
    <row r="11" spans="1:13" ht="13.5" customHeight="1" x14ac:dyDescent="0.2">
      <c r="B11" s="322"/>
      <c r="C11" s="322"/>
      <c r="D11" s="322"/>
      <c r="E11" s="322"/>
      <c r="F11" s="322"/>
      <c r="G11" s="1383"/>
      <c r="H11" s="322"/>
      <c r="I11" s="1391" t="s">
        <v>1359</v>
      </c>
      <c r="J11" s="322"/>
      <c r="K11" s="1392">
        <v>2008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t="s">
        <v>2102</v>
      </c>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t="s">
        <v>2103</v>
      </c>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03" t="s">
        <v>2104</v>
      </c>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t="s">
        <v>2105</v>
      </c>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t="s">
        <v>2106</v>
      </c>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t="s">
        <v>2107</v>
      </c>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8" t="s">
        <v>2108</v>
      </c>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9" right="0.27" top="0.68" bottom="0.47" header="0.26" footer="0.31"/>
  <pageSetup scale="98"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0" zoomScale="110" zoomScaleNormal="110" workbookViewId="0">
      <selection activeCell="F22" sqref="F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Belleville Area Special Services Coop</v>
      </c>
      <c r="C1" s="2504"/>
      <c r="D1" s="2504"/>
      <c r="E1" s="2504"/>
      <c r="F1" s="2504"/>
      <c r="G1" s="2504"/>
      <c r="H1" s="2504"/>
      <c r="I1" s="2504"/>
      <c r="J1" s="2504"/>
      <c r="K1" s="2504"/>
      <c r="L1" s="1465"/>
    </row>
    <row r="2" spans="1:12" ht="12.75" customHeight="1" x14ac:dyDescent="0.2">
      <c r="B2" s="2505">
        <f>'Single Audit Cover'!E7</f>
        <v>50082801060</v>
      </c>
      <c r="C2" s="2505"/>
      <c r="D2" s="2505"/>
      <c r="E2" s="2505"/>
      <c r="F2" s="2505"/>
      <c r="G2" s="2505"/>
      <c r="H2" s="2505"/>
      <c r="I2" s="2505"/>
      <c r="J2" s="2505"/>
      <c r="K2" s="2505"/>
      <c r="L2" s="1466"/>
    </row>
    <row r="3" spans="1:12" ht="12.75" customHeight="1" x14ac:dyDescent="0.2">
      <c r="B3" s="2500" t="s">
        <v>1347</v>
      </c>
      <c r="C3" s="2500"/>
      <c r="D3" s="2500"/>
      <c r="E3" s="2500"/>
      <c r="F3" s="2500"/>
      <c r="G3" s="2500"/>
      <c r="H3" s="2500"/>
      <c r="I3" s="2500"/>
      <c r="J3" s="2500"/>
      <c r="K3" s="2500"/>
      <c r="L3" s="1959"/>
    </row>
    <row r="4" spans="1:12" ht="12.75" customHeight="1" x14ac:dyDescent="0.2">
      <c r="B4" s="2500" t="str">
        <f>'Single Audit Cover'!A4</f>
        <v>Year Ending June 30, 2018</v>
      </c>
      <c r="C4" s="2500"/>
      <c r="D4" s="2500"/>
      <c r="E4" s="2500"/>
      <c r="F4" s="2500"/>
      <c r="G4" s="2500"/>
      <c r="H4" s="2500"/>
      <c r="I4" s="2500"/>
      <c r="J4" s="2500"/>
      <c r="K4" s="2500"/>
      <c r="L4" s="1959"/>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v>3</v>
      </c>
      <c r="E8" s="322"/>
      <c r="F8" s="1384" t="s">
        <v>1362</v>
      </c>
      <c r="G8" s="1469"/>
      <c r="H8" s="1470" t="s">
        <v>1374</v>
      </c>
      <c r="I8" s="1469" t="s">
        <v>2075</v>
      </c>
      <c r="J8" s="1471" t="s">
        <v>1373</v>
      </c>
      <c r="L8" s="322"/>
    </row>
    <row r="9" spans="1:12" ht="13.5" customHeight="1" x14ac:dyDescent="0.2">
      <c r="D9" s="322"/>
      <c r="E9" s="322"/>
      <c r="F9" s="322"/>
      <c r="G9" s="1383"/>
      <c r="H9" s="322"/>
      <c r="I9" s="1472" t="s">
        <v>1359</v>
      </c>
      <c r="J9" s="322"/>
      <c r="K9" s="1473">
        <v>2017</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t="s">
        <v>2180</v>
      </c>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7" t="s">
        <v>2133</v>
      </c>
      <c r="E14" s="2507"/>
      <c r="F14" s="2507"/>
      <c r="H14" s="1475" t="s">
        <v>1370</v>
      </c>
      <c r="I14" s="2508">
        <v>84.027000000000001</v>
      </c>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8" t="s">
        <v>425</v>
      </c>
      <c r="E16" s="2508"/>
      <c r="F16" s="2508"/>
      <c r="G16" s="2508"/>
      <c r="H16" s="2508"/>
      <c r="I16" s="2508"/>
      <c r="J16" s="2508"/>
      <c r="K16" s="2508"/>
      <c r="L16" s="322"/>
    </row>
    <row r="17" spans="2:12" ht="13.5" customHeight="1" x14ac:dyDescent="0.2">
      <c r="B17" s="1387" t="s">
        <v>1368</v>
      </c>
      <c r="C17" s="1387"/>
      <c r="D17" s="2509" t="s">
        <v>2183</v>
      </c>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t="s">
        <v>2205</v>
      </c>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45" customHeight="1" x14ac:dyDescent="0.2">
      <c r="B23" s="2499" t="s">
        <v>2184</v>
      </c>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510" t="s">
        <v>2185</v>
      </c>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9" t="s">
        <v>2211</v>
      </c>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t="s">
        <v>2186</v>
      </c>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t="s">
        <v>2206</v>
      </c>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t="s">
        <v>2187</v>
      </c>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9" t="s">
        <v>2207</v>
      </c>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9" right="0.27" top="0.44" bottom="0.27" header="0.26" footer="0.18"/>
  <pageSetup scale="95"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9" zoomScale="110" zoomScaleNormal="110" workbookViewId="0">
      <selection activeCell="B29" sqref="B29:K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Belleville Area Special Services Coop</v>
      </c>
      <c r="C1" s="2504"/>
      <c r="D1" s="2504"/>
      <c r="E1" s="2504"/>
      <c r="F1" s="2504"/>
      <c r="G1" s="2504"/>
      <c r="H1" s="2504"/>
      <c r="I1" s="2504"/>
      <c r="J1" s="2504"/>
      <c r="K1" s="2504"/>
      <c r="L1" s="1465"/>
    </row>
    <row r="2" spans="1:12" ht="12.75" customHeight="1" x14ac:dyDescent="0.2">
      <c r="B2" s="2505">
        <f>'Single Audit Cover'!E7</f>
        <v>50082801060</v>
      </c>
      <c r="C2" s="2505"/>
      <c r="D2" s="2505"/>
      <c r="E2" s="2505"/>
      <c r="F2" s="2505"/>
      <c r="G2" s="2505"/>
      <c r="H2" s="2505"/>
      <c r="I2" s="2505"/>
      <c r="J2" s="2505"/>
      <c r="K2" s="2505"/>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1950</v>
      </c>
      <c r="D8" s="1468">
        <v>4</v>
      </c>
      <c r="E8" s="322"/>
      <c r="F8" s="1384" t="s">
        <v>1362</v>
      </c>
      <c r="G8" s="1469"/>
      <c r="H8" s="1470" t="s">
        <v>1374</v>
      </c>
      <c r="I8" s="1469" t="s">
        <v>2075</v>
      </c>
      <c r="J8" s="1471" t="s">
        <v>1373</v>
      </c>
      <c r="L8" s="322"/>
    </row>
    <row r="9" spans="1:12" ht="13.5" customHeight="1" x14ac:dyDescent="0.2">
      <c r="D9" s="322"/>
      <c r="E9" s="322"/>
      <c r="F9" s="322"/>
      <c r="G9" s="1383"/>
      <c r="H9" s="322"/>
      <c r="I9" s="1472" t="s">
        <v>1359</v>
      </c>
      <c r="J9" s="322"/>
      <c r="K9" s="1473">
        <v>2017</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t="s">
        <v>2188</v>
      </c>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7" t="s">
        <v>2131</v>
      </c>
      <c r="E14" s="2507"/>
      <c r="F14" s="2507"/>
      <c r="H14" s="1475" t="s">
        <v>1370</v>
      </c>
      <c r="I14" s="2508">
        <v>84.173000000000002</v>
      </c>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8" t="s">
        <v>425</v>
      </c>
      <c r="E16" s="2508"/>
      <c r="F16" s="2508"/>
      <c r="G16" s="2508"/>
      <c r="H16" s="2508"/>
      <c r="I16" s="2508"/>
      <c r="J16" s="2508"/>
      <c r="K16" s="2508"/>
      <c r="L16" s="322"/>
    </row>
    <row r="17" spans="2:12" ht="13.5" customHeight="1" x14ac:dyDescent="0.2">
      <c r="B17" s="1387" t="s">
        <v>1368</v>
      </c>
      <c r="C17" s="1387"/>
      <c r="D17" s="2509" t="s">
        <v>2183</v>
      </c>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t="s">
        <v>2189</v>
      </c>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45.6" customHeight="1" x14ac:dyDescent="0.2">
      <c r="B23" s="2499" t="s">
        <v>2184</v>
      </c>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510" t="s">
        <v>2190</v>
      </c>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9" t="s">
        <v>2212</v>
      </c>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t="s">
        <v>2186</v>
      </c>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t="s">
        <v>2206</v>
      </c>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t="s">
        <v>2187</v>
      </c>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9" t="s">
        <v>2207</v>
      </c>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9" right="0.27" top="0.44" bottom="0.27" header="0.26" footer="0.18"/>
  <pageSetup scale="95"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23" sqref="A23:H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Belleville Area Special Services Coop</v>
      </c>
      <c r="C1" s="2477"/>
      <c r="D1" s="2477"/>
      <c r="E1" s="1491"/>
    </row>
    <row r="2" spans="2:5" s="1282" customFormat="1" ht="12.75" customHeight="1" x14ac:dyDescent="0.2">
      <c r="B2" s="2479">
        <f>'Single Audit Cover'!E7</f>
        <v>50082801060</v>
      </c>
      <c r="C2" s="2479"/>
      <c r="D2" s="2479"/>
      <c r="E2" s="1492"/>
    </row>
    <row r="3" spans="2:5" ht="12.75" customHeight="1" x14ac:dyDescent="0.2">
      <c r="B3" s="2500" t="s">
        <v>1867</v>
      </c>
      <c r="C3" s="2500"/>
      <c r="D3" s="2500"/>
      <c r="E3" s="1274"/>
    </row>
    <row r="4" spans="2:5" s="1282" customFormat="1" ht="12.75" customHeight="1" x14ac:dyDescent="0.2">
      <c r="B4" s="2511" t="str">
        <f>'Single Audit Cover'!A4</f>
        <v>Year Ending June 30, 2018</v>
      </c>
      <c r="C4" s="2511"/>
      <c r="D4" s="2511"/>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c r="C7" s="324"/>
      <c r="D7" s="324"/>
      <c r="E7" s="324"/>
    </row>
    <row r="8" spans="2:5" ht="13.5" customHeight="1" x14ac:dyDescent="0.2">
      <c r="B8" s="1496" t="s">
        <v>2109</v>
      </c>
      <c r="C8" s="324" t="s">
        <v>2110</v>
      </c>
      <c r="D8" s="324" t="s">
        <v>2111</v>
      </c>
      <c r="E8" s="324"/>
    </row>
    <row r="9" spans="2:5" ht="13.5" customHeight="1" x14ac:dyDescent="0.2">
      <c r="B9" s="1497"/>
      <c r="C9" s="323"/>
      <c r="D9" s="323" t="s">
        <v>2112</v>
      </c>
      <c r="E9" s="323"/>
    </row>
    <row r="10" spans="2:5" ht="13.5" customHeight="1" x14ac:dyDescent="0.2">
      <c r="B10" s="1496"/>
      <c r="C10" s="323"/>
      <c r="D10" s="323" t="s">
        <v>2113</v>
      </c>
      <c r="E10" s="323"/>
    </row>
    <row r="11" spans="2:5" ht="13.5" customHeight="1" x14ac:dyDescent="0.2">
      <c r="B11" s="1496"/>
      <c r="C11" s="323"/>
      <c r="D11" s="323" t="s">
        <v>2114</v>
      </c>
      <c r="E11" s="323"/>
    </row>
    <row r="12" spans="2:5" ht="13.5" customHeight="1" x14ac:dyDescent="0.2">
      <c r="B12" s="1496"/>
      <c r="C12" s="323"/>
      <c r="D12" s="323" t="s">
        <v>2115</v>
      </c>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t="s">
        <v>2208</v>
      </c>
      <c r="C15" s="323" t="s">
        <v>2116</v>
      </c>
      <c r="D15" s="323" t="s">
        <v>2117</v>
      </c>
      <c r="E15" s="323"/>
    </row>
    <row r="16" spans="2:5" ht="13.5" customHeight="1" x14ac:dyDescent="0.2">
      <c r="B16" s="1496"/>
      <c r="C16" s="323"/>
      <c r="D16" s="323" t="s">
        <v>2118</v>
      </c>
      <c r="E16" s="323"/>
    </row>
    <row r="17" spans="2:5" ht="13.5" customHeight="1" x14ac:dyDescent="0.2">
      <c r="B17" s="1496"/>
      <c r="C17" s="323"/>
      <c r="D17" s="323" t="s">
        <v>2119</v>
      </c>
      <c r="E17" s="323"/>
    </row>
    <row r="18" spans="2:5" ht="13.5" customHeight="1" x14ac:dyDescent="0.2">
      <c r="B18" s="1496"/>
      <c r="C18" s="323"/>
      <c r="D18" s="323"/>
      <c r="E18" s="323"/>
    </row>
    <row r="19" spans="2:5" ht="13.5" customHeight="1" x14ac:dyDescent="0.2">
      <c r="B19" s="1496" t="s">
        <v>2120</v>
      </c>
      <c r="C19" s="323" t="s">
        <v>2122</v>
      </c>
      <c r="D19" s="323" t="s">
        <v>2123</v>
      </c>
      <c r="E19" s="323"/>
    </row>
    <row r="20" spans="2:5" ht="13.5" customHeight="1" x14ac:dyDescent="0.2">
      <c r="B20" s="1496" t="s">
        <v>2121</v>
      </c>
      <c r="C20" s="323"/>
      <c r="D20" s="323" t="s">
        <v>2124</v>
      </c>
      <c r="E20" s="323"/>
    </row>
    <row r="21" spans="2:5" ht="13.5" customHeight="1" x14ac:dyDescent="0.2">
      <c r="B21" s="1496"/>
      <c r="C21" s="323"/>
      <c r="D21" s="323" t="s">
        <v>2125</v>
      </c>
      <c r="E21" s="323"/>
    </row>
    <row r="22" spans="2:5" ht="13.5" customHeight="1" x14ac:dyDescent="0.2">
      <c r="B22" s="1496"/>
      <c r="C22" s="323"/>
      <c r="D22" s="323" t="s">
        <v>2126</v>
      </c>
      <c r="E22" s="323"/>
    </row>
    <row r="23" spans="2:5" ht="13.5" customHeight="1" x14ac:dyDescent="0.2">
      <c r="B23" s="1496"/>
      <c r="C23" s="323"/>
      <c r="D23" s="323" t="s">
        <v>2127</v>
      </c>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23" sqref="A23:H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18507384</v>
      </c>
      <c r="E16" s="356"/>
      <c r="F16" s="1755">
        <f>SUM('Acct Summary 7-8'!C17,'Acct Summary 7-8'!D17,'Acct Summary 7-8'!F17)</f>
        <v>18007184</v>
      </c>
      <c r="G16" s="356"/>
      <c r="H16" s="1755">
        <f>SUM(D16-F16)</f>
        <v>500200</v>
      </c>
      <c r="I16" s="222"/>
      <c r="J16" s="1755">
        <f>SUM('Acct Summary 7-8'!C81,'Acct Summary 7-8'!D81,'Acct Summary 7-8'!F81,'Acct Summary 7-8'!I81)</f>
        <v>4758952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21330</v>
      </c>
      <c r="E24" s="356" t="s">
        <v>1063</v>
      </c>
      <c r="F24" s="1756">
        <f>SUM(D22,F22,H22,J22,L22, D24)</f>
        <v>21330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1280000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23" sqref="A23:H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Belleville Area Special Services Coop</v>
      </c>
      <c r="E7" s="391"/>
      <c r="G7" s="252"/>
      <c r="H7" s="387"/>
      <c r="I7" s="387"/>
      <c r="J7" s="387"/>
      <c r="K7" s="387"/>
      <c r="L7" s="329"/>
      <c r="M7" s="329"/>
      <c r="N7" s="329"/>
      <c r="O7" s="329"/>
      <c r="P7" s="329"/>
    </row>
    <row r="8" spans="1:18" ht="12.75" x14ac:dyDescent="0.2">
      <c r="A8" s="329"/>
      <c r="B8" s="329"/>
      <c r="C8" s="389" t="s">
        <v>1187</v>
      </c>
      <c r="D8" s="392">
        <f>COVER!A13</f>
        <v>50082801060</v>
      </c>
      <c r="E8" s="393"/>
      <c r="G8" s="329"/>
      <c r="H8" s="329"/>
      <c r="I8" s="329"/>
      <c r="J8" s="329"/>
      <c r="K8" s="329"/>
      <c r="L8" s="329"/>
      <c r="M8" s="329"/>
      <c r="N8" s="329"/>
      <c r="O8" s="329"/>
      <c r="P8" s="329"/>
    </row>
    <row r="9" spans="1:18" ht="12.75" x14ac:dyDescent="0.2">
      <c r="A9" s="329"/>
      <c r="B9" s="329"/>
      <c r="C9" s="389" t="s">
        <v>737</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4758952</v>
      </c>
      <c r="I12" s="404"/>
      <c r="J12" s="404"/>
      <c r="K12" s="405">
        <f>TRUNC((H12/H13*100000),5)/100000</f>
        <v>0.25713801580000001</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18507384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18007184</v>
      </c>
      <c r="I17" s="404"/>
      <c r="J17" s="416"/>
      <c r="K17" s="405">
        <f>TRUNC((H17/H18*100000),5)/100000</f>
        <v>0.97297294960000003</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18507384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5918640</v>
      </c>
      <c r="I24" s="422"/>
      <c r="J24" s="422"/>
      <c r="K24" s="423">
        <f>TRUNC(((H24/H25*100000)/100000),2)</f>
        <v>118.32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50019.955560000002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1280000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xSplit="2" ySplit="3" topLeftCell="C25" activePane="bottomRight" state="frozen"/>
      <selection activeCell="A23" sqref="A23:H23"/>
      <selection pane="topRight" activeCell="A23" sqref="A23:H23"/>
      <selection pane="bottomLeft" activeCell="A23" sqref="A23:H23"/>
      <selection pane="bottomRight" activeCell="A23" sqref="A23:H2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1"/>
      <c r="D3" s="1582"/>
      <c r="E3" s="1582"/>
      <c r="F3" s="1582"/>
      <c r="G3" s="1582"/>
      <c r="H3" s="1582"/>
      <c r="I3" s="1582"/>
      <c r="J3" s="1582"/>
      <c r="K3" s="1582"/>
      <c r="L3" s="1582"/>
      <c r="M3" s="1583"/>
      <c r="N3" s="1584"/>
    </row>
    <row r="4" spans="1:14" ht="13.5" customHeight="1" x14ac:dyDescent="0.2">
      <c r="A4" s="463" t="s">
        <v>1750</v>
      </c>
      <c r="B4" s="464"/>
      <c r="C4" s="465">
        <f>4932672+974768+11200</f>
        <v>5918640</v>
      </c>
      <c r="D4" s="466"/>
      <c r="E4" s="466">
        <v>53496</v>
      </c>
      <c r="F4" s="466"/>
      <c r="G4" s="466"/>
      <c r="H4" s="466"/>
      <c r="I4" s="466"/>
      <c r="J4" s="467"/>
      <c r="K4" s="466"/>
      <c r="L4" s="466">
        <v>15046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f>271+4593+1011787</f>
        <v>1016651</v>
      </c>
      <c r="D8" s="467"/>
      <c r="E8" s="467"/>
      <c r="F8" s="467"/>
      <c r="G8" s="478"/>
      <c r="H8" s="467"/>
      <c r="I8" s="474"/>
      <c r="J8" s="474"/>
      <c r="K8" s="479"/>
      <c r="L8" s="480"/>
      <c r="M8" s="468"/>
      <c r="N8" s="469"/>
    </row>
    <row r="9" spans="1:14" ht="13.5" customHeight="1" x14ac:dyDescent="0.2">
      <c r="A9" s="473" t="s">
        <v>288</v>
      </c>
      <c r="B9" s="470">
        <v>160</v>
      </c>
      <c r="C9" s="476">
        <v>1736535</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8671826</v>
      </c>
      <c r="D13" s="1759">
        <f t="shared" ref="D13:L13" si="0">SUM(D4:D12)</f>
        <v>0</v>
      </c>
      <c r="E13" s="1759">
        <f t="shared" si="0"/>
        <v>53496</v>
      </c>
      <c r="F13" s="1759">
        <f t="shared" si="0"/>
        <v>0</v>
      </c>
      <c r="G13" s="1759">
        <f t="shared" si="0"/>
        <v>0</v>
      </c>
      <c r="H13" s="1759">
        <f t="shared" si="0"/>
        <v>0</v>
      </c>
      <c r="I13" s="1759">
        <f t="shared" si="0"/>
        <v>0</v>
      </c>
      <c r="J13" s="1759">
        <f t="shared" si="0"/>
        <v>0</v>
      </c>
      <c r="K13" s="1759">
        <f t="shared" si="0"/>
        <v>0</v>
      </c>
      <c r="L13" s="1759">
        <f t="shared" si="0"/>
        <v>15046</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806287</v>
      </c>
      <c r="N16" s="484"/>
    </row>
    <row r="17" spans="1:14" s="485" customFormat="1" ht="12.75" customHeight="1" x14ac:dyDescent="0.2">
      <c r="A17" s="482" t="s">
        <v>1470</v>
      </c>
      <c r="B17" s="483">
        <v>230</v>
      </c>
      <c r="C17" s="477"/>
      <c r="D17" s="477"/>
      <c r="E17" s="477"/>
      <c r="F17" s="477"/>
      <c r="G17" s="477"/>
      <c r="H17" s="477"/>
      <c r="I17" s="477"/>
      <c r="J17" s="477"/>
      <c r="K17" s="477"/>
      <c r="L17" s="477"/>
      <c r="M17" s="467">
        <f>7528302-2348054</f>
        <v>5180248</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1573808-1564980</f>
        <v>8828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53496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1226504</v>
      </c>
    </row>
    <row r="23" spans="1:14" ht="13.5" customHeight="1" thickBot="1" x14ac:dyDescent="0.25">
      <c r="A23" s="1758" t="s">
        <v>664</v>
      </c>
      <c r="B23" s="1763"/>
      <c r="C23" s="468"/>
      <c r="D23" s="468"/>
      <c r="E23" s="468"/>
      <c r="F23" s="468"/>
      <c r="G23" s="468"/>
      <c r="H23" s="468"/>
      <c r="I23" s="468"/>
      <c r="J23" s="468"/>
      <c r="K23" s="468"/>
      <c r="L23" s="468"/>
      <c r="M23" s="1710">
        <f>SUM(M15:M22)</f>
        <v>5995363</v>
      </c>
      <c r="N23" s="1710">
        <f>SUM(N21:N22)</f>
        <v>1280000</v>
      </c>
    </row>
    <row r="24" spans="1:14" ht="18" customHeight="1" thickTop="1" x14ac:dyDescent="0.2">
      <c r="A24" s="2136" t="s">
        <v>619</v>
      </c>
      <c r="B24" s="213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700050+582651+1235729</f>
        <v>2518430</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788196</v>
      </c>
      <c r="D30" s="474"/>
      <c r="E30" s="467"/>
      <c r="F30" s="467"/>
      <c r="G30" s="467"/>
      <c r="H30" s="467"/>
      <c r="I30" s="467"/>
      <c r="J30" s="467"/>
      <c r="K30" s="478"/>
      <c r="L30" s="468"/>
      <c r="M30" s="468"/>
      <c r="N30" s="468"/>
    </row>
    <row r="31" spans="1:14" ht="13.5" customHeight="1" x14ac:dyDescent="0.2">
      <c r="A31" s="473" t="s">
        <v>672</v>
      </c>
      <c r="B31" s="470">
        <v>480</v>
      </c>
      <c r="C31" s="466">
        <f>86123+46416+36589+28977+41824+5498+1182+336323+12560+7996+2760</f>
        <v>606248</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15046</v>
      </c>
      <c r="M33" s="468"/>
      <c r="N33" s="469"/>
    </row>
    <row r="34" spans="1:14" ht="13.5" customHeight="1" thickBot="1" x14ac:dyDescent="0.25">
      <c r="A34" s="1760" t="s">
        <v>675</v>
      </c>
      <c r="B34" s="1761"/>
      <c r="C34" s="1762">
        <f>SUM(C25:C33)</f>
        <v>3912874</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15046</v>
      </c>
      <c r="M34" s="468"/>
      <c r="N34" s="480"/>
    </row>
    <row r="35" spans="1:14" ht="18" customHeight="1" thickTop="1" x14ac:dyDescent="0.2">
      <c r="A35" s="2138" t="s">
        <v>550</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1280000</v>
      </c>
    </row>
    <row r="37" spans="1:14" ht="13.5" thickBot="1" x14ac:dyDescent="0.25">
      <c r="A37" s="1758" t="s">
        <v>674</v>
      </c>
      <c r="B37" s="1763"/>
      <c r="C37" s="477"/>
      <c r="D37" s="477"/>
      <c r="E37" s="477"/>
      <c r="F37" s="477"/>
      <c r="G37" s="477"/>
      <c r="H37" s="477"/>
      <c r="I37" s="477"/>
      <c r="J37" s="477"/>
      <c r="K37" s="477"/>
      <c r="L37" s="480"/>
      <c r="M37" s="468"/>
      <c r="N37" s="1710">
        <f>SUM(N36:N36)</f>
        <v>1280000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974768+3784184</f>
        <v>4758952</v>
      </c>
      <c r="D39" s="466"/>
      <c r="E39" s="466">
        <v>53496</v>
      </c>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5995363</v>
      </c>
      <c r="N40" s="497"/>
    </row>
    <row r="41" spans="1:14" ht="13.5" customHeight="1" thickBot="1" x14ac:dyDescent="0.25">
      <c r="A41" s="1758" t="s">
        <v>676</v>
      </c>
      <c r="B41" s="1728"/>
      <c r="C41" s="1710">
        <f>(SUM(C34,C37,C38,C39))</f>
        <v>8671826</v>
      </c>
      <c r="D41" s="1710">
        <f t="shared" ref="D41:L41" si="2">SUM(D34,D37,D38:D39)</f>
        <v>0</v>
      </c>
      <c r="E41" s="1710">
        <f t="shared" si="2"/>
        <v>53496</v>
      </c>
      <c r="F41" s="1710">
        <f t="shared" si="2"/>
        <v>0</v>
      </c>
      <c r="G41" s="1710">
        <f t="shared" si="2"/>
        <v>0</v>
      </c>
      <c r="H41" s="1710">
        <f t="shared" si="2"/>
        <v>0</v>
      </c>
      <c r="I41" s="1710">
        <f t="shared" si="2"/>
        <v>0</v>
      </c>
      <c r="J41" s="1710">
        <f t="shared" si="2"/>
        <v>0</v>
      </c>
      <c r="K41" s="1710">
        <f t="shared" si="2"/>
        <v>0</v>
      </c>
      <c r="L41" s="1710">
        <f t="shared" si="2"/>
        <v>15046</v>
      </c>
      <c r="M41" s="1710">
        <f>SUM(M40)</f>
        <v>5995363</v>
      </c>
      <c r="N41" s="1710">
        <f>SUM(N37)</f>
        <v>1280000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A23" sqref="A23:H23"/>
      <selection pane="bottomLeft" activeCell="A23" sqref="A23:H2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5"/>
      <c r="D3" s="1596"/>
      <c r="E3" s="1596"/>
      <c r="F3" s="1596"/>
      <c r="G3" s="1596"/>
      <c r="H3" s="1596"/>
      <c r="I3" s="1596"/>
      <c r="J3" s="1596"/>
      <c r="K3" s="1597"/>
      <c r="L3" s="506"/>
    </row>
    <row r="4" spans="1:13" ht="15.75" customHeight="1" x14ac:dyDescent="0.2">
      <c r="A4" s="1954" t="s">
        <v>1579</v>
      </c>
      <c r="B4" s="1955">
        <v>1000</v>
      </c>
      <c r="C4" s="1764">
        <f>'Revenues 9-14'!C109</f>
        <v>9601608</v>
      </c>
      <c r="D4" s="1764">
        <f>'Revenues 9-14'!D109</f>
        <v>0</v>
      </c>
      <c r="E4" s="1764">
        <f>'Revenues 9-14'!E109</f>
        <v>344872</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5131536</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1545553</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2228687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18507384</v>
      </c>
      <c r="D8" s="1710">
        <f t="shared" ref="D8:K8" si="0">SUM(D4:D7)</f>
        <v>0</v>
      </c>
      <c r="E8" s="1710">
        <f t="shared" si="0"/>
        <v>344872</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3812508</v>
      </c>
      <c r="D9" s="516"/>
      <c r="E9" s="481"/>
      <c r="F9" s="481"/>
      <c r="G9" s="517"/>
      <c r="H9" s="481"/>
      <c r="I9" s="509" t="s">
        <v>1231</v>
      </c>
      <c r="J9" s="478"/>
      <c r="K9" s="481"/>
      <c r="L9" s="347"/>
    </row>
    <row r="10" spans="1:13" s="519" customFormat="1" ht="13.5" thickBot="1" x14ac:dyDescent="0.25">
      <c r="A10" s="1758" t="s">
        <v>1235</v>
      </c>
      <c r="B10" s="1731"/>
      <c r="C10" s="1710">
        <f>SUM(C8:C9)</f>
        <v>22319892</v>
      </c>
      <c r="D10" s="1710">
        <f t="shared" ref="D10:K10" si="1">SUM(D8:D9)</f>
        <v>0</v>
      </c>
      <c r="E10" s="1710">
        <f t="shared" si="1"/>
        <v>344872</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34" t="s">
        <v>1238</v>
      </c>
      <c r="B11" s="2135"/>
      <c r="C11" s="1592"/>
      <c r="D11" s="1593"/>
      <c r="E11" s="1593"/>
      <c r="F11" s="1593"/>
      <c r="G11" s="1593"/>
      <c r="H11" s="1593"/>
      <c r="I11" s="1593"/>
      <c r="J11" s="1593"/>
      <c r="K11" s="1594"/>
      <c r="L11" s="518"/>
    </row>
    <row r="12" spans="1:13" ht="15.75" customHeight="1" x14ac:dyDescent="0.2">
      <c r="A12" s="1598" t="s">
        <v>476</v>
      </c>
      <c r="B12" s="1600">
        <v>1000</v>
      </c>
      <c r="C12" s="1764">
        <f>'Expenditures 15-22'!K33</f>
        <v>6154640</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6070636</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5781908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343934</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18007184</v>
      </c>
      <c r="D17" s="1710">
        <f t="shared" si="2"/>
        <v>0</v>
      </c>
      <c r="E17" s="1710">
        <f t="shared" si="2"/>
        <v>343934</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3812508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21819692</v>
      </c>
      <c r="D19" s="1710">
        <f t="shared" si="4"/>
        <v>0</v>
      </c>
      <c r="E19" s="1710">
        <f t="shared" si="4"/>
        <v>343934</v>
      </c>
      <c r="F19" s="1710">
        <f t="shared" si="4"/>
        <v>0</v>
      </c>
      <c r="G19" s="1710">
        <f t="shared" si="4"/>
        <v>0</v>
      </c>
      <c r="H19" s="1710">
        <f t="shared" si="4"/>
        <v>0</v>
      </c>
      <c r="I19" s="468"/>
      <c r="J19" s="1710">
        <f>SUM(J17:J18)</f>
        <v>0</v>
      </c>
      <c r="K19" s="1710">
        <f>SUM(K17:K18)</f>
        <v>0</v>
      </c>
      <c r="L19" s="347"/>
    </row>
    <row r="20" spans="1:12" ht="16.5" thickTop="1" thickBot="1" x14ac:dyDescent="0.25">
      <c r="A20" s="2150" t="s">
        <v>1754</v>
      </c>
      <c r="B20" s="2151"/>
      <c r="C20" s="1768">
        <f>C8-C17</f>
        <v>500200</v>
      </c>
      <c r="D20" s="1768">
        <f t="shared" ref="D20:K20" si="5">D8-D17</f>
        <v>0</v>
      </c>
      <c r="E20" s="1768">
        <f t="shared" si="5"/>
        <v>938</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0" t="s">
        <v>460</v>
      </c>
      <c r="B76" s="2141"/>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2" t="s">
        <v>1239</v>
      </c>
      <c r="B77" s="2143"/>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6" t="s">
        <v>618</v>
      </c>
      <c r="B78" s="2147"/>
      <c r="C78" s="1724">
        <f t="shared" ref="C78:K78" si="9">C20+C77</f>
        <v>500200</v>
      </c>
      <c r="D78" s="1724">
        <f t="shared" si="9"/>
        <v>0</v>
      </c>
      <c r="E78" s="1724">
        <f t="shared" si="9"/>
        <v>938</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2069</v>
      </c>
      <c r="B79" s="534"/>
      <c r="C79" s="478">
        <v>4258752</v>
      </c>
      <c r="D79" s="535"/>
      <c r="E79" s="535">
        <v>52558</v>
      </c>
      <c r="F79" s="535"/>
      <c r="G79" s="535"/>
      <c r="H79" s="535"/>
      <c r="I79" s="535"/>
      <c r="J79" s="535"/>
      <c r="K79" s="535"/>
      <c r="L79" s="347"/>
    </row>
    <row r="80" spans="1:12" x14ac:dyDescent="0.2">
      <c r="A80" s="2152" t="s">
        <v>1896</v>
      </c>
      <c r="B80" s="2153"/>
      <c r="C80" s="467"/>
      <c r="D80" s="467"/>
      <c r="E80" s="467"/>
      <c r="F80" s="467"/>
      <c r="G80" s="467"/>
      <c r="H80" s="467"/>
      <c r="I80" s="467"/>
      <c r="J80" s="467"/>
      <c r="K80" s="467"/>
      <c r="L80" s="347"/>
    </row>
    <row r="81" spans="1:12" ht="13.5" thickBot="1" x14ac:dyDescent="0.25">
      <c r="A81" s="2144" t="s">
        <v>2070</v>
      </c>
      <c r="B81" s="2145"/>
      <c r="C81" s="1710">
        <f>(SUM(C78:C80))</f>
        <v>4758952</v>
      </c>
      <c r="D81" s="1710">
        <f>SUM(D78:D80)</f>
        <v>0</v>
      </c>
      <c r="E81" s="1710">
        <f t="shared" ref="E81:K81" si="10">SUM(E78:E80)</f>
        <v>53496</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500200</v>
      </c>
      <c r="D82" s="538">
        <f t="shared" ref="D82:K82" si="11">(D81-D79)</f>
        <v>0</v>
      </c>
      <c r="E82" s="538">
        <f t="shared" si="11"/>
        <v>938</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0.10510717485698531</v>
      </c>
      <c r="D83" s="540" t="e">
        <f t="shared" ref="D83:K83" si="12">D82/D81</f>
        <v>#DIV/0!</v>
      </c>
      <c r="E83" s="540">
        <f t="shared" si="12"/>
        <v>1.7534021235232542E-2</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3" sqref="A23:H23"/>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1903</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7578338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7578338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1419</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1419</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2893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849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3742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153022</v>
      </c>
      <c r="D95" s="551"/>
      <c r="E95" s="521"/>
      <c r="F95" s="521"/>
      <c r="G95" s="521"/>
      <c r="H95" s="521"/>
      <c r="I95" s="521"/>
      <c r="J95" s="521"/>
      <c r="K95" s="521"/>
    </row>
    <row r="96" spans="1:11" ht="12.75" customHeight="1" x14ac:dyDescent="0.2">
      <c r="A96" s="463" t="s">
        <v>409</v>
      </c>
      <c r="B96" s="470">
        <v>1920</v>
      </c>
      <c r="C96" s="551">
        <v>6867</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1858220</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v>344872</v>
      </c>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2018109</v>
      </c>
      <c r="D108" s="1729">
        <f t="shared" ref="D108:K108" si="3">SUM(D95:D107)</f>
        <v>0</v>
      </c>
      <c r="E108" s="1729">
        <f t="shared" si="3"/>
        <v>344872</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9601608</v>
      </c>
      <c r="D109" s="1737">
        <f t="shared" si="4"/>
        <v>0</v>
      </c>
      <c r="E109" s="1737">
        <f t="shared" si="4"/>
        <v>344872</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5131536</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5131536</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1235729</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1235729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308932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308932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892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8" t="s">
        <v>418</v>
      </c>
      <c r="B172" s="2169"/>
      <c r="C172" s="1744">
        <f t="shared" ref="C172:K172" si="6">SUM(C131,C140,C144,C145:C149,C154,C155:C170,C171)</f>
        <v>309824</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1545553</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6" t="s">
        <v>818</v>
      </c>
      <c r="B184" s="217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1904</v>
      </c>
      <c r="B185" s="217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45863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29343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75206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298869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1352507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1651376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98671</v>
      </c>
      <c r="D270" s="576"/>
      <c r="E270" s="468"/>
      <c r="F270" s="576"/>
      <c r="G270" s="576"/>
      <c r="H270" s="468"/>
      <c r="I270" s="468"/>
      <c r="J270" s="468"/>
      <c r="K270" s="468"/>
    </row>
    <row r="271" spans="1:11" ht="12.75" customHeight="1" thickTop="1" thickBot="1" x14ac:dyDescent="0.25">
      <c r="A271" s="463" t="s">
        <v>395</v>
      </c>
      <c r="B271" s="470">
        <v>4992</v>
      </c>
      <c r="C271" s="575">
        <v>403434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2228687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2228687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18507384</v>
      </c>
      <c r="D275" s="1737">
        <f t="shared" si="12"/>
        <v>0</v>
      </c>
      <c r="E275" s="1737">
        <f t="shared" si="12"/>
        <v>344872</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3" topLeftCell="C4" activePane="bottomRight" state="frozen"/>
      <selection activeCell="A23" sqref="A23:H23"/>
      <selection pane="topRight" activeCell="A23" sqref="A23:H23"/>
      <selection pane="bottomLeft" activeCell="A23" sqref="A23:H23"/>
      <selection pane="bottomRight" activeCell="A23" sqref="A23:H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3950443</v>
      </c>
      <c r="D8" s="466">
        <f>1986400+2</f>
        <v>1986402</v>
      </c>
      <c r="E8" s="466">
        <v>94700</v>
      </c>
      <c r="F8" s="466">
        <v>68392</v>
      </c>
      <c r="G8" s="466" t="s">
        <v>1231</v>
      </c>
      <c r="H8" s="466" t="s">
        <v>1231</v>
      </c>
      <c r="I8" s="467">
        <v>23300</v>
      </c>
      <c r="J8" s="467" t="s">
        <v>1231</v>
      </c>
      <c r="K8" s="1693">
        <f t="shared" si="0"/>
        <v>6123237</v>
      </c>
      <c r="L8" s="466">
        <v>6940797</v>
      </c>
    </row>
    <row r="9" spans="1:14" x14ac:dyDescent="0.2">
      <c r="A9" s="1526" t="s">
        <v>745</v>
      </c>
      <c r="B9" s="615" t="s">
        <v>1025</v>
      </c>
      <c r="C9" s="467">
        <v>15256</v>
      </c>
      <c r="D9" s="467">
        <v>14637</v>
      </c>
      <c r="E9" s="467"/>
      <c r="F9" s="467"/>
      <c r="G9" s="467"/>
      <c r="H9" s="467"/>
      <c r="I9" s="467"/>
      <c r="J9" s="467"/>
      <c r="K9" s="1693">
        <f t="shared" si="0"/>
        <v>29893</v>
      </c>
      <c r="L9" s="466">
        <v>219642</v>
      </c>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v>1337</v>
      </c>
      <c r="D15" s="466">
        <v>173</v>
      </c>
      <c r="E15" s="466"/>
      <c r="F15" s="466"/>
      <c r="G15" s="466"/>
      <c r="H15" s="466"/>
      <c r="I15" s="467"/>
      <c r="J15" s="467"/>
      <c r="K15" s="1693">
        <f t="shared" si="0"/>
        <v>1510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3967036</v>
      </c>
      <c r="D33" s="1692">
        <f t="shared" ref="D33:L33" si="1">SUM(D5:D32)</f>
        <v>2001212</v>
      </c>
      <c r="E33" s="1692">
        <f t="shared" si="1"/>
        <v>94700</v>
      </c>
      <c r="F33" s="1692">
        <f t="shared" si="1"/>
        <v>68392</v>
      </c>
      <c r="G33" s="1692">
        <f t="shared" si="1"/>
        <v>0</v>
      </c>
      <c r="H33" s="1692">
        <f t="shared" si="1"/>
        <v>0</v>
      </c>
      <c r="I33" s="1692">
        <f t="shared" si="1"/>
        <v>23300</v>
      </c>
      <c r="J33" s="1692">
        <f t="shared" si="1"/>
        <v>0</v>
      </c>
      <c r="K33" s="1692">
        <f t="shared" si="1"/>
        <v>6154640</v>
      </c>
      <c r="L33" s="1692">
        <f t="shared" si="1"/>
        <v>7160439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323691</v>
      </c>
      <c r="D36" s="481">
        <v>73147</v>
      </c>
      <c r="E36" s="481">
        <v>3408</v>
      </c>
      <c r="F36" s="481">
        <v>18</v>
      </c>
      <c r="G36" s="481"/>
      <c r="H36" s="481"/>
      <c r="I36" s="467"/>
      <c r="J36" s="467"/>
      <c r="K36" s="1693">
        <f t="shared" ref="K36:K41" si="2">SUM(C36:J36)</f>
        <v>400264</v>
      </c>
      <c r="L36" s="466">
        <v>450503</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403951</v>
      </c>
      <c r="D38" s="466">
        <v>174462</v>
      </c>
      <c r="E38" s="466">
        <v>32584</v>
      </c>
      <c r="F38" s="466">
        <v>6949</v>
      </c>
      <c r="G38" s="466"/>
      <c r="H38" s="466"/>
      <c r="I38" s="467">
        <v>12151</v>
      </c>
      <c r="J38" s="467"/>
      <c r="K38" s="1693">
        <f t="shared" si="2"/>
        <v>630097</v>
      </c>
      <c r="L38" s="466">
        <v>689815</v>
      </c>
    </row>
    <row r="39" spans="1:14" x14ac:dyDescent="0.2">
      <c r="A39" s="1526" t="s">
        <v>208</v>
      </c>
      <c r="B39" s="615">
        <v>2140</v>
      </c>
      <c r="C39" s="466">
        <v>960138</v>
      </c>
      <c r="D39" s="466">
        <v>251574</v>
      </c>
      <c r="E39" s="466">
        <v>14910</v>
      </c>
      <c r="F39" s="466">
        <v>14958</v>
      </c>
      <c r="G39" s="466"/>
      <c r="H39" s="466"/>
      <c r="I39" s="467"/>
      <c r="J39" s="467"/>
      <c r="K39" s="1693">
        <f t="shared" si="2"/>
        <v>1241580</v>
      </c>
      <c r="L39" s="466">
        <v>1259166</v>
      </c>
    </row>
    <row r="40" spans="1:14" x14ac:dyDescent="0.2">
      <c r="A40" s="1526" t="s">
        <v>209</v>
      </c>
      <c r="B40" s="615">
        <v>2150</v>
      </c>
      <c r="C40" s="466">
        <v>491862</v>
      </c>
      <c r="D40" s="466">
        <v>161802</v>
      </c>
      <c r="E40" s="466">
        <v>34505</v>
      </c>
      <c r="F40" s="466">
        <v>8912</v>
      </c>
      <c r="G40" s="466"/>
      <c r="H40" s="466"/>
      <c r="I40" s="467">
        <v>40452</v>
      </c>
      <c r="J40" s="467"/>
      <c r="K40" s="1693">
        <f t="shared" si="2"/>
        <v>737533</v>
      </c>
      <c r="L40" s="466">
        <v>736407</v>
      </c>
    </row>
    <row r="41" spans="1:14" x14ac:dyDescent="0.2">
      <c r="A41" s="1526" t="s">
        <v>1768</v>
      </c>
      <c r="B41" s="615">
        <v>2190</v>
      </c>
      <c r="C41" s="466">
        <v>103804</v>
      </c>
      <c r="D41" s="466">
        <v>40441</v>
      </c>
      <c r="E41" s="466">
        <v>3792</v>
      </c>
      <c r="F41" s="466">
        <v>299</v>
      </c>
      <c r="G41" s="466"/>
      <c r="H41" s="466"/>
      <c r="I41" s="467"/>
      <c r="J41" s="467"/>
      <c r="K41" s="1693">
        <f t="shared" si="2"/>
        <v>148336</v>
      </c>
      <c r="L41" s="466">
        <v>153397</v>
      </c>
    </row>
    <row r="42" spans="1:14" ht="12.75" customHeight="1" thickBot="1" x14ac:dyDescent="0.25">
      <c r="A42" s="1690" t="s">
        <v>581</v>
      </c>
      <c r="B42" s="1691" t="s">
        <v>740</v>
      </c>
      <c r="C42" s="1692">
        <f>SUM(C36:C41)</f>
        <v>2283446</v>
      </c>
      <c r="D42" s="1692">
        <f t="shared" ref="D42:L42" si="3">SUM(D36:D41)</f>
        <v>701426</v>
      </c>
      <c r="E42" s="1692">
        <f t="shared" si="3"/>
        <v>89199</v>
      </c>
      <c r="F42" s="1692">
        <f t="shared" si="3"/>
        <v>31136</v>
      </c>
      <c r="G42" s="1692">
        <f t="shared" si="3"/>
        <v>0</v>
      </c>
      <c r="H42" s="1692">
        <f t="shared" si="3"/>
        <v>0</v>
      </c>
      <c r="I42" s="1692">
        <f t="shared" si="3"/>
        <v>52603</v>
      </c>
      <c r="J42" s="1692">
        <f t="shared" si="3"/>
        <v>0</v>
      </c>
      <c r="K42" s="1692">
        <f t="shared" si="3"/>
        <v>3157810</v>
      </c>
      <c r="L42" s="1692">
        <f t="shared" si="3"/>
        <v>3289288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396669</v>
      </c>
      <c r="D44" s="481">
        <v>137899</v>
      </c>
      <c r="E44" s="481">
        <v>30186</v>
      </c>
      <c r="F44" s="481">
        <v>14361</v>
      </c>
      <c r="G44" s="481"/>
      <c r="H44" s="481"/>
      <c r="I44" s="467"/>
      <c r="J44" s="467"/>
      <c r="K44" s="1694">
        <f>SUM(C44:J44)</f>
        <v>579115</v>
      </c>
      <c r="L44" s="481">
        <v>521744</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396669</v>
      </c>
      <c r="D47" s="1692">
        <f t="shared" ref="D47:K47" si="4">SUM(D44:D46)</f>
        <v>137899</v>
      </c>
      <c r="E47" s="1692">
        <f t="shared" si="4"/>
        <v>30186</v>
      </c>
      <c r="F47" s="1692">
        <f t="shared" si="4"/>
        <v>14361</v>
      </c>
      <c r="G47" s="1692">
        <f t="shared" si="4"/>
        <v>0</v>
      </c>
      <c r="H47" s="1692">
        <f t="shared" si="4"/>
        <v>0</v>
      </c>
      <c r="I47" s="1692">
        <f t="shared" si="4"/>
        <v>0</v>
      </c>
      <c r="J47" s="1692">
        <f t="shared" si="4"/>
        <v>0</v>
      </c>
      <c r="K47" s="1692">
        <f t="shared" si="4"/>
        <v>579115</v>
      </c>
      <c r="L47" s="1692">
        <f>SUM(L44:L46)</f>
        <v>521744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v>55</v>
      </c>
      <c r="G49" s="481"/>
      <c r="H49" s="481"/>
      <c r="I49" s="467"/>
      <c r="J49" s="467"/>
      <c r="K49" s="1694">
        <f>SUM(C49:J49)</f>
        <v>55</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198196</v>
      </c>
      <c r="D51" s="466">
        <v>45994</v>
      </c>
      <c r="E51" s="466">
        <v>84383</v>
      </c>
      <c r="F51" s="466">
        <v>21521</v>
      </c>
      <c r="G51" s="466">
        <v>19421</v>
      </c>
      <c r="H51" s="466">
        <v>1924</v>
      </c>
      <c r="I51" s="467"/>
      <c r="J51" s="467"/>
      <c r="K51" s="1694">
        <f>SUM(C51:J51)</f>
        <v>371439</v>
      </c>
      <c r="L51" s="466">
        <v>364681</v>
      </c>
    </row>
    <row r="52" spans="1:14" ht="22.5" x14ac:dyDescent="0.2">
      <c r="A52" s="1527" t="s">
        <v>316</v>
      </c>
      <c r="B52" s="628" t="s">
        <v>384</v>
      </c>
      <c r="C52" s="474"/>
      <c r="D52" s="474"/>
      <c r="E52" s="474">
        <v>197743</v>
      </c>
      <c r="F52" s="474"/>
      <c r="G52" s="474"/>
      <c r="H52" s="474"/>
      <c r="I52" s="474"/>
      <c r="J52" s="474"/>
      <c r="K52" s="1694">
        <f>SUM(C52:J52)</f>
        <v>197743</v>
      </c>
      <c r="L52" s="474">
        <v>179983</v>
      </c>
    </row>
    <row r="53" spans="1:14" ht="12.75" customHeight="1" thickBot="1" x14ac:dyDescent="0.25">
      <c r="A53" s="1690" t="s">
        <v>741</v>
      </c>
      <c r="B53" s="1691" t="s">
        <v>33</v>
      </c>
      <c r="C53" s="1692">
        <f>SUM(C49:C52)</f>
        <v>198196</v>
      </c>
      <c r="D53" s="1692">
        <f t="shared" ref="D53:L53" si="5">SUM(D49:D52)</f>
        <v>45994</v>
      </c>
      <c r="E53" s="1692">
        <f t="shared" si="5"/>
        <v>282126</v>
      </c>
      <c r="F53" s="1692">
        <f t="shared" si="5"/>
        <v>21576</v>
      </c>
      <c r="G53" s="1692">
        <f t="shared" si="5"/>
        <v>19421</v>
      </c>
      <c r="H53" s="1692">
        <f t="shared" si="5"/>
        <v>1924</v>
      </c>
      <c r="I53" s="1692">
        <f t="shared" si="5"/>
        <v>0</v>
      </c>
      <c r="J53" s="1692">
        <f t="shared" si="5"/>
        <v>0</v>
      </c>
      <c r="K53" s="1692">
        <f t="shared" si="5"/>
        <v>569237</v>
      </c>
      <c r="L53" s="1692">
        <f t="shared" si="5"/>
        <v>544664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172446</v>
      </c>
      <c r="D55" s="481">
        <v>71733</v>
      </c>
      <c r="E55" s="481">
        <v>721</v>
      </c>
      <c r="F55" s="481"/>
      <c r="G55" s="481"/>
      <c r="H55" s="481"/>
      <c r="I55" s="467"/>
      <c r="J55" s="467"/>
      <c r="K55" s="1694">
        <f>SUM(C55:J55)</f>
        <v>244900</v>
      </c>
      <c r="L55" s="481">
        <v>303300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172446</v>
      </c>
      <c r="D57" s="1696">
        <f t="shared" ref="D57:K57" si="6">SUM(D55:D56)</f>
        <v>71733</v>
      </c>
      <c r="E57" s="1696">
        <f t="shared" si="6"/>
        <v>721</v>
      </c>
      <c r="F57" s="1696">
        <f t="shared" si="6"/>
        <v>0</v>
      </c>
      <c r="G57" s="1696">
        <f t="shared" si="6"/>
        <v>0</v>
      </c>
      <c r="H57" s="1696">
        <f t="shared" si="6"/>
        <v>0</v>
      </c>
      <c r="I57" s="1696">
        <f t="shared" si="6"/>
        <v>0</v>
      </c>
      <c r="J57" s="1696">
        <f t="shared" si="6"/>
        <v>0</v>
      </c>
      <c r="K57" s="1696">
        <f t="shared" si="6"/>
        <v>244900</v>
      </c>
      <c r="L57" s="1692">
        <f>SUM(L55:L56)</f>
        <v>303300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82665</v>
      </c>
      <c r="D59" s="481">
        <v>27554</v>
      </c>
      <c r="E59" s="481">
        <v>1053</v>
      </c>
      <c r="F59" s="481">
        <v>10</v>
      </c>
      <c r="G59" s="481"/>
      <c r="H59" s="481"/>
      <c r="I59" s="467"/>
      <c r="J59" s="467"/>
      <c r="K59" s="1694">
        <f t="shared" ref="K59:K64" si="7">SUM(C59:J59)</f>
        <v>111282</v>
      </c>
      <c r="L59" s="481">
        <v>114383</v>
      </c>
      <c r="M59" s="610"/>
      <c r="N59" s="610"/>
    </row>
    <row r="60" spans="1:14" s="343" customFormat="1" x14ac:dyDescent="0.2">
      <c r="A60" s="1526" t="s">
        <v>483</v>
      </c>
      <c r="B60" s="615">
        <v>2520</v>
      </c>
      <c r="C60" s="466">
        <v>122933</v>
      </c>
      <c r="D60" s="466">
        <v>53319</v>
      </c>
      <c r="E60" s="466"/>
      <c r="F60" s="466">
        <v>1571</v>
      </c>
      <c r="G60" s="466"/>
      <c r="H60" s="466"/>
      <c r="I60" s="467"/>
      <c r="J60" s="467"/>
      <c r="K60" s="1694">
        <f t="shared" si="7"/>
        <v>177823</v>
      </c>
      <c r="L60" s="466">
        <v>233005</v>
      </c>
      <c r="M60" s="610"/>
      <c r="N60" s="610"/>
    </row>
    <row r="61" spans="1:14" s="343" customFormat="1" x14ac:dyDescent="0.2">
      <c r="A61" s="1526" t="s">
        <v>206</v>
      </c>
      <c r="B61" s="615">
        <v>2540</v>
      </c>
      <c r="C61" s="466">
        <v>139423</v>
      </c>
      <c r="D61" s="466">
        <v>74344</v>
      </c>
      <c r="E61" s="466">
        <v>784955</v>
      </c>
      <c r="F61" s="466">
        <v>84955</v>
      </c>
      <c r="G61" s="466"/>
      <c r="H61" s="466"/>
      <c r="I61" s="467">
        <v>11011</v>
      </c>
      <c r="J61" s="467"/>
      <c r="K61" s="1694">
        <f t="shared" si="7"/>
        <v>1094688</v>
      </c>
      <c r="L61" s="466">
        <v>934556</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22245</v>
      </c>
      <c r="D63" s="466">
        <v>10735</v>
      </c>
      <c r="E63" s="466">
        <v>74</v>
      </c>
      <c r="F63" s="466">
        <v>4454</v>
      </c>
      <c r="G63" s="466"/>
      <c r="H63" s="466"/>
      <c r="I63" s="467"/>
      <c r="J63" s="467"/>
      <c r="K63" s="1694">
        <f t="shared" si="7"/>
        <v>37508</v>
      </c>
      <c r="L63" s="466">
        <v>38814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367266</v>
      </c>
      <c r="D65" s="1692">
        <f t="shared" ref="D65:L65" si="8">SUM(D59:D64)</f>
        <v>165952</v>
      </c>
      <c r="E65" s="1692">
        <f t="shared" si="8"/>
        <v>786082</v>
      </c>
      <c r="F65" s="1692">
        <f t="shared" si="8"/>
        <v>90990</v>
      </c>
      <c r="G65" s="1692">
        <f t="shared" si="8"/>
        <v>0</v>
      </c>
      <c r="H65" s="1692">
        <f t="shared" si="8"/>
        <v>0</v>
      </c>
      <c r="I65" s="1692">
        <f t="shared" si="8"/>
        <v>11011</v>
      </c>
      <c r="J65" s="1692">
        <f t="shared" si="8"/>
        <v>0</v>
      </c>
      <c r="K65" s="1692">
        <f t="shared" si="8"/>
        <v>1421301</v>
      </c>
      <c r="L65" s="1692">
        <f t="shared" si="8"/>
        <v>1320758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1767</v>
      </c>
      <c r="F69" s="466"/>
      <c r="G69" s="466"/>
      <c r="H69" s="466"/>
      <c r="I69" s="467"/>
      <c r="J69" s="467"/>
      <c r="K69" s="1694">
        <f>SUM(C69:J69)</f>
        <v>1767</v>
      </c>
      <c r="L69" s="466"/>
      <c r="M69" s="610"/>
      <c r="N69" s="610"/>
    </row>
    <row r="70" spans="1:14" s="343" customFormat="1" x14ac:dyDescent="0.2">
      <c r="A70" s="1526" t="s">
        <v>423</v>
      </c>
      <c r="B70" s="615">
        <v>2640</v>
      </c>
      <c r="C70" s="466"/>
      <c r="D70" s="466"/>
      <c r="E70" s="466">
        <v>2495</v>
      </c>
      <c r="F70" s="466"/>
      <c r="G70" s="466"/>
      <c r="H70" s="466"/>
      <c r="I70" s="467"/>
      <c r="J70" s="467"/>
      <c r="K70" s="1694">
        <f>SUM(C70:J70)</f>
        <v>2495</v>
      </c>
      <c r="L70" s="466"/>
      <c r="M70" s="610"/>
      <c r="N70" s="610"/>
    </row>
    <row r="71" spans="1:14" s="343" customFormat="1" x14ac:dyDescent="0.2">
      <c r="A71" s="1526" t="s">
        <v>424</v>
      </c>
      <c r="B71" s="615">
        <v>2660</v>
      </c>
      <c r="C71" s="466"/>
      <c r="D71" s="466"/>
      <c r="E71" s="466">
        <v>85503</v>
      </c>
      <c r="F71" s="466">
        <v>3238</v>
      </c>
      <c r="G71" s="466"/>
      <c r="H71" s="466"/>
      <c r="I71" s="467">
        <v>5270</v>
      </c>
      <c r="J71" s="467"/>
      <c r="K71" s="1694">
        <f>SUM(C71:J71)</f>
        <v>94011</v>
      </c>
      <c r="L71" s="466">
        <v>97970</v>
      </c>
      <c r="M71" s="610"/>
      <c r="N71" s="610"/>
    </row>
    <row r="72" spans="1:14" s="343" customFormat="1" ht="12.75" customHeight="1" thickBot="1" x14ac:dyDescent="0.25">
      <c r="A72" s="1690" t="s">
        <v>37</v>
      </c>
      <c r="B72" s="1697" t="s">
        <v>36</v>
      </c>
      <c r="C72" s="1692">
        <f>SUM(C67:C71)</f>
        <v>0</v>
      </c>
      <c r="D72" s="1692">
        <f t="shared" ref="D72:K72" si="9">SUM(D67:D71)</f>
        <v>0</v>
      </c>
      <c r="E72" s="1692">
        <f t="shared" si="9"/>
        <v>89765</v>
      </c>
      <c r="F72" s="1692">
        <f t="shared" si="9"/>
        <v>3238</v>
      </c>
      <c r="G72" s="1692">
        <f t="shared" si="9"/>
        <v>0</v>
      </c>
      <c r="H72" s="1692">
        <f t="shared" si="9"/>
        <v>0</v>
      </c>
      <c r="I72" s="1692">
        <f t="shared" si="9"/>
        <v>5270</v>
      </c>
      <c r="J72" s="1692">
        <f t="shared" si="9"/>
        <v>0</v>
      </c>
      <c r="K72" s="1692">
        <f t="shared" si="9"/>
        <v>98273</v>
      </c>
      <c r="L72" s="1692">
        <f>SUM(L67:L71)</f>
        <v>97970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3418023</v>
      </c>
      <c r="D74" s="1699">
        <f t="shared" ref="D74:K74" si="10">SUM(D42,D47,D53,D57,D65,D72,D73)</f>
        <v>1123004</v>
      </c>
      <c r="E74" s="1699">
        <f t="shared" si="10"/>
        <v>1278079</v>
      </c>
      <c r="F74" s="1699">
        <f t="shared" si="10"/>
        <v>161301</v>
      </c>
      <c r="G74" s="1699">
        <f t="shared" si="10"/>
        <v>19421</v>
      </c>
      <c r="H74" s="1699">
        <f t="shared" si="10"/>
        <v>1924</v>
      </c>
      <c r="I74" s="1699">
        <f t="shared" si="10"/>
        <v>68884</v>
      </c>
      <c r="J74" s="1699">
        <f t="shared" si="10"/>
        <v>0</v>
      </c>
      <c r="K74" s="1699">
        <f t="shared" si="10"/>
        <v>6070636</v>
      </c>
      <c r="L74" s="1699">
        <f>SUM(L42,L47,L53,L57,L65,L72,L73)</f>
        <v>6077724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58154</v>
      </c>
      <c r="F79" s="617"/>
      <c r="G79" s="617"/>
      <c r="H79" s="466">
        <v>5134617</v>
      </c>
      <c r="I79" s="477"/>
      <c r="J79" s="477"/>
      <c r="K79" s="1693">
        <f t="shared" si="11"/>
        <v>5192771</v>
      </c>
      <c r="L79" s="466">
        <v>6358354</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58154</v>
      </c>
      <c r="F84" s="617"/>
      <c r="G84" s="617"/>
      <c r="H84" s="1692">
        <f>SUM(H78:H83)</f>
        <v>5134617</v>
      </c>
      <c r="I84" s="477"/>
      <c r="J84" s="477"/>
      <c r="K84" s="1692">
        <f>SUM(K78:K83)</f>
        <v>5192771</v>
      </c>
      <c r="L84" s="1692">
        <f>SUM(L78:L83)</f>
        <v>6358354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f>383201+205936</f>
        <v>589137</v>
      </c>
      <c r="I98" s="477"/>
      <c r="J98" s="477"/>
      <c r="K98" s="1699">
        <f t="shared" si="12"/>
        <v>589137</v>
      </c>
      <c r="L98" s="530">
        <v>200000</v>
      </c>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589137</v>
      </c>
      <c r="I100" s="477"/>
      <c r="J100" s="477"/>
      <c r="K100" s="1699">
        <f>SUM(K93:K99)</f>
        <v>589137</v>
      </c>
      <c r="L100" s="1699">
        <f>SUM(L93:L99)</f>
        <v>200000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58154</v>
      </c>
      <c r="F102" s="617"/>
      <c r="G102" s="617"/>
      <c r="H102" s="1699">
        <f>SUM(H84,H92,H100,H101)</f>
        <v>5723754</v>
      </c>
      <c r="I102" s="477"/>
      <c r="J102" s="477"/>
      <c r="K102" s="1699">
        <f>SUM(K84,K92,K100,K101)</f>
        <v>5781908</v>
      </c>
      <c r="L102" s="1699">
        <f>SUM(L84,L92,L100,L101)</f>
        <v>6558354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46000</v>
      </c>
      <c r="M113" s="614"/>
      <c r="N113" s="614"/>
    </row>
    <row r="114" spans="1:14" ht="12.75" customHeight="1" thickTop="1" thickBot="1" x14ac:dyDescent="0.25">
      <c r="A114" s="1690" t="s">
        <v>50</v>
      </c>
      <c r="B114" s="1704"/>
      <c r="C114" s="1692">
        <f>SUM(C33,C74,C75,C102,C112,C113)</f>
        <v>7385059</v>
      </c>
      <c r="D114" s="1692">
        <f t="shared" ref="D114:K114" si="13">SUM(D33,D74,D75,D102,D112,D113)</f>
        <v>3124216</v>
      </c>
      <c r="E114" s="1692">
        <f t="shared" si="13"/>
        <v>1430933</v>
      </c>
      <c r="F114" s="1692">
        <f t="shared" si="13"/>
        <v>229693</v>
      </c>
      <c r="G114" s="1692">
        <f t="shared" si="13"/>
        <v>19421</v>
      </c>
      <c r="H114" s="1692">
        <f>SUM(H33,H74,H75,H102,H112,H113)</f>
        <v>5725678</v>
      </c>
      <c r="I114" s="1692">
        <f t="shared" si="13"/>
        <v>92184</v>
      </c>
      <c r="J114" s="1692">
        <f t="shared" si="13"/>
        <v>0</v>
      </c>
      <c r="K114" s="1692">
        <f t="shared" si="13"/>
        <v>18007184</v>
      </c>
      <c r="L114" s="1692">
        <f>SUM(L33,L74,L75,L102,L112,L113)</f>
        <v>19842517</v>
      </c>
    </row>
    <row r="115" spans="1:14" ht="13.5" thickTop="1" x14ac:dyDescent="0.2">
      <c r="A115" s="2180" t="s">
        <v>1053</v>
      </c>
      <c r="B115" s="2181"/>
      <c r="C115" s="619"/>
      <c r="D115" s="619"/>
      <c r="E115" s="619"/>
      <c r="F115" s="619"/>
      <c r="G115" s="619"/>
      <c r="H115" s="619"/>
      <c r="I115" s="619"/>
      <c r="J115" s="619"/>
      <c r="K115" s="1706">
        <f>'Revenues 9-14'!C275-'Expenditures 15-22'!K114</f>
        <v>500200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7" t="s">
        <v>641</v>
      </c>
      <c r="B151" s="2177"/>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200" t="s">
        <v>1240</v>
      </c>
      <c r="B152" s="2201"/>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t="s">
        <v>1231</v>
      </c>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t="s">
        <v>1231</v>
      </c>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43934</v>
      </c>
      <c r="I169" s="617"/>
      <c r="J169" s="617"/>
      <c r="K169" s="1693">
        <f>SUM(C169:H169)</f>
        <v>43934</v>
      </c>
      <c r="L169" s="657">
        <v>44872</v>
      </c>
    </row>
    <row r="170" spans="1:14" ht="33.75" customHeight="1" x14ac:dyDescent="0.2">
      <c r="A170" s="670" t="s">
        <v>1769</v>
      </c>
      <c r="B170" s="672" t="s">
        <v>31</v>
      </c>
      <c r="C170" s="617"/>
      <c r="D170" s="617"/>
      <c r="E170" s="617"/>
      <c r="F170" s="617"/>
      <c r="G170" s="617"/>
      <c r="H170" s="569">
        <v>300000</v>
      </c>
      <c r="I170" s="617"/>
      <c r="J170" s="617"/>
      <c r="K170" s="1693">
        <f>SUM(C170:J170)</f>
        <v>300000</v>
      </c>
      <c r="L170" s="569">
        <v>300000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343934</v>
      </c>
      <c r="I172" s="639"/>
      <c r="J172" s="617"/>
      <c r="K172" s="1699">
        <f>SUM(K168,K169,K170,K171)</f>
        <v>343934</v>
      </c>
      <c r="L172" s="1699">
        <f>SUM(L168,L169,L170,L171)</f>
        <v>344872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343934</v>
      </c>
      <c r="I174" s="639"/>
      <c r="J174" s="617"/>
      <c r="K174" s="1699">
        <f>SUM(K160,K172,K173)</f>
        <v>343934</v>
      </c>
      <c r="L174" s="1699">
        <f>SUM(L160,L172,L173)</f>
        <v>344872</v>
      </c>
    </row>
    <row r="175" spans="1:14" ht="13.5" thickTop="1" x14ac:dyDescent="0.2">
      <c r="A175" s="2180" t="s">
        <v>1053</v>
      </c>
      <c r="B175" s="2181"/>
      <c r="C175" s="617"/>
      <c r="D175" s="617"/>
      <c r="E175" s="617"/>
      <c r="F175" s="617"/>
      <c r="G175" s="617"/>
      <c r="H175" s="619"/>
      <c r="I175" s="617"/>
      <c r="J175" s="617"/>
      <c r="K175" s="1706">
        <f>'Revenues 9-14'!E275-'Expenditures 15-22'!K174</f>
        <v>938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80" t="s">
        <v>1053</v>
      </c>
      <c r="B211" s="2181"/>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1906</v>
      </c>
      <c r="B249" s="684" t="s">
        <v>300</v>
      </c>
      <c r="C249" s="617"/>
      <c r="D249" s="474"/>
      <c r="E249" s="617"/>
      <c r="F249" s="617"/>
      <c r="G249" s="617"/>
      <c r="H249" s="617"/>
      <c r="I249" s="617"/>
      <c r="J249" s="617"/>
      <c r="K249" s="1694">
        <f t="shared" si="21"/>
        <v>0</v>
      </c>
      <c r="L249" s="466"/>
    </row>
    <row r="250" spans="1:12" x14ac:dyDescent="0.2">
      <c r="A250" s="1527" t="s">
        <v>1907</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8" t="s">
        <v>526</v>
      </c>
      <c r="B295" s="2199"/>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80" t="s">
        <v>1053</v>
      </c>
      <c r="B296" s="2181"/>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1" t="s">
        <v>1053</v>
      </c>
      <c r="B313" s="219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3" t="s">
        <v>1053</v>
      </c>
      <c r="B343" s="2194"/>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0" t="s">
        <v>1053</v>
      </c>
      <c r="B368" s="2181"/>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schemas.microsoft.com/office/2006/metadata/properties"/>
    <ds:schemaRef ds:uri="http://purl.org/dc/dcmitype/"/>
    <ds:schemaRef ds:uri="http://schemas.microsoft.com/office/infopath/2007/PartnerControls"/>
    <ds:schemaRef ds:uri="http://purl.org/dc/terms/"/>
    <ds:schemaRef ds:uri="d21dc803-237d-4c68-8692-8d731fd29118"/>
    <ds:schemaRef ds:uri="http://schemas.openxmlformats.org/package/2006/metadata/core-properties"/>
    <ds:schemaRef ds:uri="4d435f69-8686-490b-bd6d-b153bf22ab50"/>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 (2)</vt:lpstr>
      <vt:lpstr> SEFA</vt:lpstr>
      <vt:lpstr>SEFA NOTES (3)</vt:lpstr>
      <vt:lpstr>SEFA NOTES (2)</vt:lpstr>
      <vt:lpstr>SEFA NOTES (4)</vt:lpstr>
      <vt:lpstr>SEFA NOTES</vt:lpstr>
      <vt:lpstr>SF&amp;QC Sec-1</vt:lpstr>
      <vt:lpstr>SF&amp;QC Sec-2 (2)</vt:lpstr>
      <vt:lpstr>SF&amp;QC Sec-2</vt:lpstr>
      <vt:lpstr>SF&amp;QC Sec-3 (2)</vt:lpstr>
      <vt:lpstr>SF&amp;QC Sec-3</vt:lpstr>
      <vt:lpstr>SSPAF</vt:lpstr>
      <vt:lpstr>' SEFA'!Print_Area</vt:lpstr>
      <vt:lpstr>' SEFA (2)'!Print_Area</vt:lpstr>
      <vt:lpstr>'SEFA NOTES'!Print_Area</vt:lpstr>
      <vt:lpstr>'SEFA NOTES (2)'!Print_Area</vt:lpstr>
      <vt:lpstr>'SEFA NOTES (3)'!Print_Area</vt:lpstr>
      <vt:lpstr>'SEFA NOTES (4)'!Print_Area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2018-11-14T21:44:11Z</cp:lastPrinted>
  <dcterms:created xsi:type="dcterms:W3CDTF">2003-10-29T19:06:34Z</dcterms:created>
  <dcterms:modified xsi:type="dcterms:W3CDTF">2018-11-29T20:38:02Z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