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0490" windowHeight="75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179" l="1"/>
  <c r="J15" i="179"/>
  <c r="I15" i="179"/>
  <c r="H15" i="179"/>
  <c r="G15" i="179"/>
  <c r="F15" i="179"/>
  <c r="D35" i="171" s="1"/>
  <c r="E15" i="179"/>
  <c r="F13" i="29" l="1"/>
  <c r="C39" i="3" l="1"/>
  <c r="C4" i="3"/>
  <c r="C227" i="5"/>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E30" i="181"/>
  <c r="F30" i="181" s="1"/>
  <c r="G30" i="181" s="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D7734" i="106" s="1"/>
  <c r="B7726" i="106"/>
  <c r="D76" i="36"/>
  <c r="F162" i="34"/>
  <c r="B30" i="36"/>
  <c r="B33" i="36" s="1"/>
  <c r="B43" i="36" s="1"/>
  <c r="B56" i="36" s="1"/>
  <c r="B66" i="36" s="1"/>
  <c r="B70" i="36" s="1"/>
  <c r="B74" i="36" s="1"/>
  <c r="D73" i="36"/>
  <c r="C191" i="5"/>
  <c r="C201" i="5"/>
  <c r="C211" i="5"/>
  <c r="B5260" i="106" s="1"/>
  <c r="D5260" i="106" s="1"/>
  <c r="C216" i="5"/>
  <c r="C224" i="5"/>
  <c r="C228" i="5"/>
  <c r="B5304" i="106" s="1"/>
  <c r="D5304" i="106" s="1"/>
  <c r="C259" i="5"/>
  <c r="B7761" i="106"/>
  <c r="L127" i="29"/>
  <c r="L129" i="29" s="1"/>
  <c r="L139" i="29"/>
  <c r="L149" i="29"/>
  <c r="I7" i="145"/>
  <c r="I6" i="145"/>
  <c r="D82" i="36"/>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B6997" i="106" s="1"/>
  <c r="D6997" i="106" s="1"/>
  <c r="K94" i="29"/>
  <c r="B6999" i="106" s="1"/>
  <c r="D6999" i="106" s="1"/>
  <c r="K95" i="29"/>
  <c r="B7001" i="106" s="1"/>
  <c r="D7001" i="106" s="1"/>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B3009" i="106" s="1"/>
  <c r="D3009" i="106" s="1"/>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c r="B6303" i="106"/>
  <c r="D6303" i="106"/>
  <c r="B6304" i="106"/>
  <c r="D6304" i="106" s="1"/>
  <c r="B6305" i="106"/>
  <c r="D6305" i="106" s="1"/>
  <c r="B6307" i="106"/>
  <c r="D6307" i="106" s="1"/>
  <c r="B6308" i="106"/>
  <c r="D6308" i="106" s="1"/>
  <c r="B6309" i="106"/>
  <c r="D6309" i="106" s="1"/>
  <c r="B6310" i="106"/>
  <c r="D6310" i="106" s="1"/>
  <c r="B6311" i="106"/>
  <c r="D6311" i="106" s="1"/>
  <c r="B6312" i="106"/>
  <c r="D6312" i="106"/>
  <c r="B6313" i="106"/>
  <c r="D6313" i="106"/>
  <c r="B6314" i="106"/>
  <c r="D6314" i="106" s="1"/>
  <c r="B6315" i="106"/>
  <c r="D6315" i="106"/>
  <c r="B6316" i="106"/>
  <c r="D6316" i="106" s="1"/>
  <c r="B6317" i="106"/>
  <c r="D6317" i="106" s="1"/>
  <c r="B6319" i="106"/>
  <c r="D6319" i="106" s="1"/>
  <c r="B6320" i="106"/>
  <c r="D6320" i="106" s="1"/>
  <c r="B6321" i="106"/>
  <c r="D6321" i="106" s="1"/>
  <c r="B6322" i="106"/>
  <c r="D6322" i="106"/>
  <c r="B6323" i="106"/>
  <c r="D6323" i="106" s="1"/>
  <c r="B6324" i="106"/>
  <c r="D6324" i="106" s="1"/>
  <c r="B6325" i="106"/>
  <c r="D6325" i="106"/>
  <c r="B6326" i="106"/>
  <c r="D6326" i="106" s="1"/>
  <c r="B6327" i="106"/>
  <c r="D6327" i="106" s="1"/>
  <c r="B6328" i="106"/>
  <c r="D6328" i="106"/>
  <c r="B6329" i="106"/>
  <c r="D6329" i="106" s="1"/>
  <c r="B6330" i="106"/>
  <c r="D6330" i="106" s="1"/>
  <c r="B6331" i="106"/>
  <c r="D6331" i="106" s="1"/>
  <c r="B6332" i="106"/>
  <c r="D6332" i="106" s="1"/>
  <c r="B6333" i="106"/>
  <c r="D6333" i="106" s="1"/>
  <c r="B6334" i="106"/>
  <c r="D6334" i="106"/>
  <c r="B6335" i="106"/>
  <c r="D6335" i="106" s="1"/>
  <c r="B6336" i="106"/>
  <c r="D6336" i="106"/>
  <c r="B6337" i="106"/>
  <c r="D6337" i="106"/>
  <c r="B6338" i="106"/>
  <c r="D6338" i="106" s="1"/>
  <c r="B6339" i="106"/>
  <c r="D6339" i="106" s="1"/>
  <c r="B6340" i="106"/>
  <c r="D6340" i="106" s="1"/>
  <c r="B6341" i="106"/>
  <c r="D6341" i="106" s="1"/>
  <c r="B6342" i="106"/>
  <c r="D6342" i="106" s="1"/>
  <c r="B6343" i="106"/>
  <c r="D6343" i="106" s="1"/>
  <c r="B6344" i="106"/>
  <c r="D6344" i="106" s="1"/>
  <c r="B6345" i="106"/>
  <c r="D6345" i="106"/>
  <c r="B6346" i="106"/>
  <c r="D6346" i="106"/>
  <c r="B6347" i="106"/>
  <c r="D6347" i="106" s="1"/>
  <c r="B6348" i="106"/>
  <c r="D6348" i="106"/>
  <c r="B6349" i="106"/>
  <c r="D6349" i="106" s="1"/>
  <c r="B6350" i="106"/>
  <c r="D6350" i="106" s="1"/>
  <c r="B6353" i="106"/>
  <c r="D6353" i="106" s="1"/>
  <c r="B6354" i="106"/>
  <c r="D6354" i="106" s="1"/>
  <c r="B6355" i="106"/>
  <c r="D6355" i="106" s="1"/>
  <c r="B6356" i="106"/>
  <c r="D6356" i="106"/>
  <c r="B6358" i="106"/>
  <c r="D6358" i="106" s="1"/>
  <c r="B6359" i="106"/>
  <c r="D6359" i="106" s="1"/>
  <c r="B6360" i="106"/>
  <c r="D6360" i="106"/>
  <c r="B6361" i="106"/>
  <c r="D6361" i="106" s="1"/>
  <c r="B6362" i="106"/>
  <c r="D6362" i="106" s="1"/>
  <c r="B6363" i="106"/>
  <c r="D6363" i="106"/>
  <c r="B6364" i="106"/>
  <c r="D6364" i="106" s="1"/>
  <c r="B6365" i="106"/>
  <c r="D6365" i="106" s="1"/>
  <c r="B6366" i="106"/>
  <c r="D6366" i="106" s="1"/>
  <c r="B6367" i="106"/>
  <c r="D6367" i="106" s="1"/>
  <c r="B6368" i="106"/>
  <c r="D6368" i="106" s="1"/>
  <c r="B6369" i="106"/>
  <c r="D6369" i="106"/>
  <c r="B6370" i="106"/>
  <c r="D6370" i="106" s="1"/>
  <c r="B6371" i="106"/>
  <c r="D6371" i="106"/>
  <c r="B6372" i="106"/>
  <c r="D6372" i="106"/>
  <c r="B6373" i="106"/>
  <c r="D6373" i="106" s="1"/>
  <c r="B6374" i="106"/>
  <c r="D6374" i="106" s="1"/>
  <c r="B6375" i="106"/>
  <c r="D6375" i="106" s="1"/>
  <c r="B6376" i="106"/>
  <c r="D6376" i="106" s="1"/>
  <c r="B6377" i="106"/>
  <c r="D6377" i="106" s="1"/>
  <c r="B6378" i="106"/>
  <c r="D6378" i="106" s="1"/>
  <c r="B6379" i="106"/>
  <c r="D6379" i="106" s="1"/>
  <c r="B6380" i="106"/>
  <c r="D6380" i="106"/>
  <c r="B6381" i="106"/>
  <c r="D6381" i="106"/>
  <c r="B6382" i="106"/>
  <c r="D6382" i="106" s="1"/>
  <c r="B6383" i="106"/>
  <c r="D6383" i="106"/>
  <c r="B6384" i="106"/>
  <c r="D6384" i="106" s="1"/>
  <c r="B6385" i="106"/>
  <c r="D6385" i="106" s="1"/>
  <c r="B6386" i="106"/>
  <c r="D6386" i="106" s="1"/>
  <c r="B6387" i="106"/>
  <c r="D6387" i="106" s="1"/>
  <c r="B6388" i="106"/>
  <c r="D6388" i="106" s="1"/>
  <c r="B6389" i="106"/>
  <c r="D6389" i="106"/>
  <c r="B6390" i="106"/>
  <c r="D6390" i="106" s="1"/>
  <c r="B6391" i="106"/>
  <c r="D6391" i="106" s="1"/>
  <c r="B6392" i="106"/>
  <c r="D6392" i="106"/>
  <c r="B6393" i="106"/>
  <c r="D6393" i="106" s="1"/>
  <c r="B6394" i="106"/>
  <c r="D6394" i="106" s="1"/>
  <c r="B6395" i="106"/>
  <c r="D6395" i="106"/>
  <c r="B6398" i="106"/>
  <c r="D6398" i="106" s="1"/>
  <c r="B6399" i="106"/>
  <c r="D6399" i="106" s="1"/>
  <c r="B6401" i="106"/>
  <c r="D6401" i="106" s="1"/>
  <c r="B6402" i="106"/>
  <c r="D6402" i="106" s="1"/>
  <c r="B6403" i="106"/>
  <c r="D6403" i="106" s="1"/>
  <c r="B6404" i="106"/>
  <c r="D6404" i="106"/>
  <c r="B6405" i="106"/>
  <c r="D6405" i="106" s="1"/>
  <c r="B6406" i="106"/>
  <c r="D6406" i="106"/>
  <c r="B6407" i="106"/>
  <c r="D6407" i="106"/>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c r="B6617" i="106"/>
  <c r="D6617" i="106" s="1"/>
  <c r="B6618" i="106"/>
  <c r="D6618" i="106"/>
  <c r="B6619" i="106"/>
  <c r="D6619" i="106" s="1"/>
  <c r="B6620" i="106"/>
  <c r="D6620" i="106" s="1"/>
  <c r="B6621" i="106"/>
  <c r="D6621" i="106" s="1"/>
  <c r="B6622" i="106"/>
  <c r="D6622" i="106" s="1"/>
  <c r="B6623" i="106"/>
  <c r="D6623" i="106" s="1"/>
  <c r="B6624" i="106"/>
  <c r="D6624" i="106"/>
  <c r="B6625" i="106"/>
  <c r="D6625" i="106" s="1"/>
  <c r="B6626" i="106"/>
  <c r="D6626" i="106" s="1"/>
  <c r="B6627" i="106"/>
  <c r="D6627" i="106"/>
  <c r="B6628" i="106"/>
  <c r="D6628" i="106" s="1"/>
  <c r="B6629" i="106"/>
  <c r="D6629" i="106" s="1"/>
  <c r="B6630" i="106"/>
  <c r="D6630" i="106"/>
  <c r="B6631" i="106"/>
  <c r="D6631" i="106" s="1"/>
  <c r="B6632" i="106"/>
  <c r="D6632" i="106" s="1"/>
  <c r="B6633" i="106"/>
  <c r="D6633" i="106" s="1"/>
  <c r="B6634" i="106"/>
  <c r="D6634" i="106" s="1"/>
  <c r="B6635" i="106"/>
  <c r="D6635" i="106" s="1"/>
  <c r="B6636" i="106"/>
  <c r="D6636" i="106"/>
  <c r="B6637" i="106"/>
  <c r="D6637" i="106" s="1"/>
  <c r="B6638" i="106"/>
  <c r="D6638" i="106"/>
  <c r="B6639" i="106"/>
  <c r="D6639" i="106"/>
  <c r="B6640" i="106"/>
  <c r="D6640" i="106" s="1"/>
  <c r="B6641" i="106"/>
  <c r="D6641" i="106" s="1"/>
  <c r="B6642" i="106"/>
  <c r="D6642" i="106" s="1"/>
  <c r="B6643" i="106"/>
  <c r="D6643" i="106" s="1"/>
  <c r="B6644" i="106"/>
  <c r="D6644" i="106" s="1"/>
  <c r="B6645" i="106"/>
  <c r="D6645" i="106" s="1"/>
  <c r="B6646" i="106"/>
  <c r="D6646" i="106" s="1"/>
  <c r="B6647" i="106"/>
  <c r="D6647" i="106"/>
  <c r="B6648" i="106"/>
  <c r="D6648" i="106"/>
  <c r="B6649" i="106"/>
  <c r="D6649" i="106" s="1"/>
  <c r="B6650" i="106"/>
  <c r="D6650" i="106"/>
  <c r="B6651" i="106"/>
  <c r="D6651" i="106" s="1"/>
  <c r="B6652" i="106"/>
  <c r="D6652" i="106" s="1"/>
  <c r="B6653" i="106"/>
  <c r="D6653" i="106" s="1"/>
  <c r="B6654" i="106"/>
  <c r="D6654" i="106" s="1"/>
  <c r="B6655" i="106"/>
  <c r="D6655" i="106" s="1"/>
  <c r="B6656" i="106"/>
  <c r="D6656" i="106"/>
  <c r="B6657" i="106"/>
  <c r="D6657" i="106" s="1"/>
  <c r="B6658" i="106"/>
  <c r="D6658" i="106" s="1"/>
  <c r="B6659" i="106"/>
  <c r="D6659" i="106"/>
  <c r="B6660" i="106"/>
  <c r="D6660" i="106" s="1"/>
  <c r="B6661" i="106"/>
  <c r="D6661" i="106" s="1"/>
  <c r="B6662" i="106"/>
  <c r="D6662" i="106"/>
  <c r="B6663" i="106"/>
  <c r="D6663" i="106" s="1"/>
  <c r="B6664" i="106"/>
  <c r="D6664" i="106" s="1"/>
  <c r="B6665" i="106"/>
  <c r="D6665" i="106" s="1"/>
  <c r="B6666" i="106"/>
  <c r="D6666" i="106" s="1"/>
  <c r="B6667" i="106"/>
  <c r="D6667" i="106" s="1"/>
  <c r="B6668" i="106"/>
  <c r="D6668" i="106"/>
  <c r="B6669" i="106"/>
  <c r="D6669" i="106" s="1"/>
  <c r="B6670" i="106"/>
  <c r="D6670" i="106"/>
  <c r="B6671" i="106"/>
  <c r="D6671" i="106"/>
  <c r="B6672" i="106"/>
  <c r="D6672" i="106" s="1"/>
  <c r="B6673" i="106"/>
  <c r="D6673" i="106" s="1"/>
  <c r="B6674" i="106"/>
  <c r="D6674" i="106" s="1"/>
  <c r="B6675" i="106"/>
  <c r="D6675" i="106" s="1"/>
  <c r="B6676" i="106"/>
  <c r="D6676" i="106" s="1"/>
  <c r="B6677" i="106"/>
  <c r="D6677" i="106" s="1"/>
  <c r="B6678" i="106"/>
  <c r="D6678" i="106" s="1"/>
  <c r="B6679" i="106"/>
  <c r="D6679" i="106"/>
  <c r="B6680" i="106"/>
  <c r="D6680" i="106"/>
  <c r="B6681" i="106"/>
  <c r="D6681" i="106" s="1"/>
  <c r="B6682" i="106"/>
  <c r="D6682" i="106"/>
  <c r="B6683" i="106"/>
  <c r="D6683" i="106" s="1"/>
  <c r="B6684" i="106"/>
  <c r="D6684" i="106" s="1"/>
  <c r="B6685" i="106"/>
  <c r="D6685" i="106" s="1"/>
  <c r="B6686" i="106"/>
  <c r="D6686" i="106" s="1"/>
  <c r="B6687" i="106"/>
  <c r="D6687" i="106" s="1"/>
  <c r="B6688" i="106"/>
  <c r="D6688" i="106"/>
  <c r="B6689" i="106"/>
  <c r="D6689" i="106" s="1"/>
  <c r="B6690" i="106"/>
  <c r="D6690" i="106" s="1"/>
  <c r="B6691" i="106"/>
  <c r="D6691" i="106"/>
  <c r="B6692" i="106"/>
  <c r="D6692" i="106" s="1"/>
  <c r="B6693" i="106"/>
  <c r="D6693" i="106" s="1"/>
  <c r="B6694" i="106"/>
  <c r="D6694" i="106"/>
  <c r="B6695" i="106"/>
  <c r="D6695" i="106" s="1"/>
  <c r="B6696" i="106"/>
  <c r="D6696" i="106" s="1"/>
  <c r="B6697" i="106"/>
  <c r="D6697" i="106" s="1"/>
  <c r="B6698" i="106"/>
  <c r="D6698" i="106" s="1"/>
  <c r="B6699" i="106"/>
  <c r="D6699" i="106" s="1"/>
  <c r="B6700" i="106"/>
  <c r="D6700" i="106"/>
  <c r="B6701" i="106"/>
  <c r="D6701" i="106" s="1"/>
  <c r="B6702" i="106"/>
  <c r="D6702" i="106"/>
  <c r="B6703" i="106"/>
  <c r="D6703" i="106"/>
  <c r="B6704" i="106"/>
  <c r="D6704" i="106" s="1"/>
  <c r="B6705" i="106"/>
  <c r="D6705" i="106" s="1"/>
  <c r="B6706" i="106"/>
  <c r="D6706" i="106" s="1"/>
  <c r="B6707" i="106"/>
  <c r="D6707" i="106" s="1"/>
  <c r="B6708" i="106"/>
  <c r="D6708" i="106" s="1"/>
  <c r="B6709" i="106"/>
  <c r="D6709" i="106" s="1"/>
  <c r="B6710" i="106"/>
  <c r="D6710" i="106" s="1"/>
  <c r="B6711" i="106"/>
  <c r="D6711" i="106"/>
  <c r="B6712" i="106"/>
  <c r="D6712" i="106"/>
  <c r="B6713" i="106"/>
  <c r="D6713" i="106" s="1"/>
  <c r="B6714" i="106"/>
  <c r="D6714" i="106"/>
  <c r="B6715" i="106"/>
  <c r="D6715" i="106" s="1"/>
  <c r="B6716" i="106"/>
  <c r="D6716" i="106" s="1"/>
  <c r="B6717" i="106"/>
  <c r="D6717" i="106" s="1"/>
  <c r="B6718" i="106"/>
  <c r="D6718" i="106" s="1"/>
  <c r="B6719" i="106"/>
  <c r="D6719" i="106" s="1"/>
  <c r="B6720" i="106"/>
  <c r="D6720" i="106"/>
  <c r="B6721" i="106"/>
  <c r="D6721" i="106" s="1"/>
  <c r="B6722" i="106"/>
  <c r="D6722" i="106" s="1"/>
  <c r="B6723" i="106"/>
  <c r="D6723" i="106"/>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J352" i="29" s="1"/>
  <c r="J367" i="29" s="1"/>
  <c r="B7245" i="106" s="1"/>
  <c r="D7245"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D27" i="108"/>
  <c r="E27" i="108"/>
  <c r="F27" i="108"/>
  <c r="G27" i="108"/>
  <c r="E28" i="108"/>
  <c r="F28"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c r="D4951" i="106" s="1"/>
  <c r="C184" i="5"/>
  <c r="B5232" i="106" s="1"/>
  <c r="D5232" i="106" s="1"/>
  <c r="D184" i="5"/>
  <c r="B5425" i="106" s="1"/>
  <c r="D5425" i="106" s="1"/>
  <c r="F184" i="5"/>
  <c r="F127" i="34"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5" i="4"/>
  <c r="B3409" i="106" s="1"/>
  <c r="D34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L22" i="37"/>
  <c r="D24" i="37"/>
  <c r="B4270" i="106" s="1"/>
  <c r="D4270" i="106" s="1"/>
  <c r="L5" i="11"/>
  <c r="B2056" i="106" s="1"/>
  <c r="D2056" i="106" s="1"/>
  <c r="D4" i="7"/>
  <c r="B1760" i="106" s="1"/>
  <c r="D1760" i="106" s="1"/>
  <c r="D5" i="7"/>
  <c r="B1761" i="106" s="1"/>
  <c r="D1761" i="106" s="1"/>
  <c r="D13" i="7"/>
  <c r="B3726" i="106" s="1"/>
  <c r="D3726" i="106" s="1"/>
  <c r="B5752" i="106"/>
  <c r="D5752" i="106" s="1"/>
  <c r="B4373" i="106" l="1"/>
  <c r="D4373" i="106" s="1"/>
  <c r="F72" i="34"/>
  <c r="F37" i="34"/>
  <c r="K285" i="29"/>
  <c r="G172" i="5"/>
  <c r="G173" i="5" s="1"/>
  <c r="B5778" i="106" s="1"/>
  <c r="D5778" i="106" s="1"/>
  <c r="L367" i="29"/>
  <c r="F71" i="34"/>
  <c r="G38" i="108"/>
  <c r="E29" i="108"/>
  <c r="D12" i="7"/>
  <c r="B1769" i="106" s="1"/>
  <c r="D1769" i="106" s="1"/>
  <c r="F49" i="34"/>
  <c r="J274" i="5"/>
  <c r="B7054" i="106" s="1"/>
  <c r="D7054" i="106" s="1"/>
  <c r="H109" i="5"/>
  <c r="B6025" i="106" s="1"/>
  <c r="D6025" i="106" s="1"/>
  <c r="K274" i="5"/>
  <c r="F45" i="34"/>
  <c r="G26" i="108"/>
  <c r="B7231" i="106"/>
  <c r="D7231" i="106" s="1"/>
  <c r="D6103" i="106"/>
  <c r="G14" i="4"/>
  <c r="B2609" i="106" s="1"/>
  <c r="D2609" i="106" s="1"/>
  <c r="B5658" i="106"/>
  <c r="D5658" i="106" s="1"/>
  <c r="E109" i="5"/>
  <c r="E4" i="4" s="1"/>
  <c r="B2630" i="106" s="1"/>
  <c r="D2630" i="106" s="1"/>
  <c r="F94" i="34"/>
  <c r="F41" i="34"/>
  <c r="H29" i="118"/>
  <c r="K28" i="118" s="1"/>
  <c r="O27" i="118" s="1"/>
  <c r="O29" i="118" s="1"/>
  <c r="B7041" i="106"/>
  <c r="D7041" i="106" s="1"/>
  <c r="G109" i="5"/>
  <c r="B1746" i="106"/>
  <c r="D1746" i="106" s="1"/>
  <c r="H28" i="118"/>
  <c r="F172" i="5"/>
  <c r="B5644" i="106" s="1"/>
  <c r="D5644" i="106" s="1"/>
  <c r="L342" i="29"/>
  <c r="F50" i="34"/>
  <c r="F44" i="34"/>
  <c r="D31" i="36"/>
  <c r="I342" i="29"/>
  <c r="B7222" i="106" s="1"/>
  <c r="D7222" i="106" s="1"/>
  <c r="H365" i="29"/>
  <c r="B7242" i="106" s="1"/>
  <c r="D7242" i="106" s="1"/>
  <c r="H76" i="4"/>
  <c r="B3298" i="106" s="1"/>
  <c r="D3298" i="106" s="1"/>
  <c r="C172" i="5"/>
  <c r="B5214" i="106" s="1"/>
  <c r="D5214" i="106" s="1"/>
  <c r="F128" i="34"/>
  <c r="C109" i="5"/>
  <c r="B5121" i="106" s="1"/>
  <c r="D5121" i="106" s="1"/>
  <c r="B5513" i="106"/>
  <c r="D5513" i="106" s="1"/>
  <c r="F46" i="34"/>
  <c r="J41" i="3"/>
  <c r="F21" i="8"/>
  <c r="B1274" i="106"/>
  <c r="D1274" i="106" s="1"/>
  <c r="F111" i="34"/>
  <c r="G15" i="145"/>
  <c r="K173" i="5"/>
  <c r="K6" i="4" s="1"/>
  <c r="B3570" i="106" s="1"/>
  <c r="D3570" i="106" s="1"/>
  <c r="F106" i="34"/>
  <c r="F42" i="34"/>
  <c r="E38" i="108"/>
  <c r="G30" i="108"/>
  <c r="D109" i="5"/>
  <c r="B5356" i="106" s="1"/>
  <c r="D5356" i="106" s="1"/>
  <c r="D22" i="37"/>
  <c r="D15" i="7"/>
  <c r="B1772" i="106" s="1"/>
  <c r="D1772" i="106" s="1"/>
  <c r="D11" i="37"/>
  <c r="I173" i="5"/>
  <c r="B4216" i="106" s="1"/>
  <c r="D4216" i="106" s="1"/>
  <c r="F65" i="34"/>
  <c r="E30" i="108"/>
  <c r="B6995" i="106"/>
  <c r="D6995" i="106" s="1"/>
  <c r="B4087" i="106"/>
  <c r="D4087" i="106" s="1"/>
  <c r="I24" i="12"/>
  <c r="B1996" i="106" s="1"/>
  <c r="D1996" i="106" s="1"/>
  <c r="B6024" i="106"/>
  <c r="D6024" i="106" s="1"/>
  <c r="G4" i="4"/>
  <c r="B2603" i="106" s="1"/>
  <c r="D2603" i="106" s="1"/>
  <c r="B3649" i="106"/>
  <c r="D3649" i="106" s="1"/>
  <c r="G367" i="29"/>
  <c r="B1410" i="106"/>
  <c r="D1410" i="106" s="1"/>
  <c r="J210" i="29"/>
  <c r="B7072" i="106" s="1"/>
  <c r="D7072" i="106" s="1"/>
  <c r="H173" i="5"/>
  <c r="H33" i="118"/>
  <c r="F35" i="34"/>
  <c r="H342" i="29"/>
  <c r="F130" i="34"/>
  <c r="B5730" i="106"/>
  <c r="D5730" i="106" s="1"/>
  <c r="B5334" i="106"/>
  <c r="D5334" i="106" s="1"/>
  <c r="L312" i="29"/>
  <c r="G29" i="108"/>
  <c r="D52" i="36"/>
  <c r="K350" i="29"/>
  <c r="F77" i="4"/>
  <c r="B3255" i="106" s="1"/>
  <c r="D3255" i="106" s="1"/>
  <c r="C129" i="29"/>
  <c r="F131" i="34"/>
  <c r="B3621" i="106"/>
  <c r="D3621" i="106" s="1"/>
  <c r="C367" i="29"/>
  <c r="L15" i="11"/>
  <c r="B3459" i="106" s="1"/>
  <c r="D3459" i="106" s="1"/>
  <c r="B1329" i="106"/>
  <c r="D1329" i="106" s="1"/>
  <c r="F61" i="34"/>
  <c r="D11" i="7"/>
  <c r="B1768" i="106" s="1"/>
  <c r="D1768" i="106" s="1"/>
  <c r="D7" i="7"/>
  <c r="B1763" i="106" s="1"/>
  <c r="D1763" i="106" s="1"/>
  <c r="F136" i="34"/>
  <c r="D5" i="4"/>
  <c r="B3406" i="106" s="1"/>
  <c r="D3406" i="106" s="1"/>
  <c r="B7235" i="106"/>
  <c r="D7235" i="106" s="1"/>
  <c r="K76" i="4"/>
  <c r="B3586" i="106" s="1"/>
  <c r="D3586" i="106" s="1"/>
  <c r="B5770" i="106"/>
  <c r="D5770" i="106" s="1"/>
  <c r="J22" i="37"/>
  <c r="H4" i="4"/>
  <c r="B2655" i="106" s="1"/>
  <c r="D2655" i="106" s="1"/>
  <c r="D17" i="7"/>
  <c r="B4104" i="106" s="1"/>
  <c r="D4104" i="106" s="1"/>
  <c r="D9" i="7"/>
  <c r="B1767" i="106" s="1"/>
  <c r="D1767" i="106" s="1"/>
  <c r="F66" i="34"/>
  <c r="F36" i="34"/>
  <c r="I129" i="29"/>
  <c r="B7037" i="106" s="1"/>
  <c r="D7037" i="106" s="1"/>
  <c r="E174" i="29"/>
  <c r="B1309" i="106" s="1"/>
  <c r="D1309" i="106" s="1"/>
  <c r="L13" i="11"/>
  <c r="B2060" i="106" s="1"/>
  <c r="D2060"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J7" i="4"/>
  <c r="D274" i="5"/>
  <c r="B3447" i="106"/>
  <c r="D3447" i="106" s="1"/>
  <c r="B7270" i="106"/>
  <c r="L114" i="29" l="1"/>
  <c r="F73" i="34"/>
  <c r="G15" i="4"/>
  <c r="B6032" i="106" s="1"/>
  <c r="D6032" i="106" s="1"/>
  <c r="D19" i="7"/>
  <c r="B1775" i="106" s="1"/>
  <c r="D1775" i="106" s="1"/>
  <c r="I26" i="12"/>
  <c r="B7741" i="106" s="1"/>
  <c r="D7741" i="106" s="1"/>
  <c r="C173" i="5"/>
  <c r="C4" i="4"/>
  <c r="B2551" i="106" s="1"/>
  <c r="D2551" i="106" s="1"/>
  <c r="F275" i="5"/>
  <c r="B1879" i="106"/>
  <c r="D1879" i="106" s="1"/>
  <c r="H22" i="37"/>
  <c r="D4" i="4"/>
  <c r="B2564" i="106" s="1"/>
  <c r="D2564" i="106" s="1"/>
  <c r="B6014" i="106"/>
  <c r="D6014" i="106" s="1"/>
  <c r="D44" i="36"/>
  <c r="B3670" i="106"/>
  <c r="D3670" i="106" s="1"/>
  <c r="K352" i="29"/>
  <c r="K342" i="29"/>
  <c r="F13" i="34" s="1"/>
  <c r="H367" i="29"/>
  <c r="B3660" i="106" s="1"/>
  <c r="D3660" i="106" s="1"/>
  <c r="D7250" i="106"/>
  <c r="B5906" i="106"/>
  <c r="D5906" i="106" s="1"/>
  <c r="H6" i="4"/>
  <c r="D7252" i="106"/>
  <c r="K367" i="29"/>
  <c r="B5914" i="106"/>
  <c r="D5914" i="106" s="1"/>
  <c r="L16" i="11"/>
  <c r="B2061" i="106" s="1"/>
  <c r="D2061"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5223" i="106" l="1"/>
  <c r="D5223" i="106" s="1"/>
  <c r="C6" i="4"/>
  <c r="B2553" i="106" s="1"/>
  <c r="D2553" i="106" s="1"/>
  <c r="B1145" i="106"/>
  <c r="D1145" i="106" s="1"/>
  <c r="B2656" i="106"/>
  <c r="D2656" i="106" s="1"/>
  <c r="H8" i="4"/>
  <c r="F8" i="4"/>
  <c r="K13" i="4"/>
  <c r="B3572" i="106" s="1"/>
  <c r="D3572" i="106" s="1"/>
  <c r="B3672" i="106"/>
  <c r="D3672"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17" i="4" l="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<sst xmlns="http://schemas.openxmlformats.org/spreadsheetml/2006/main" count="5110" uniqueCount="2133">
  <si>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</si>
  <si>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</si>
  <si>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</si>
  <si>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</si>
  <si>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</si>
  <si>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</si>
  <si>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</si>
  <si>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</si>
  <si>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</si>
  <si>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</si>
  <si>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</si>
  <si>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</si>
  <si>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</si>
  <si>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</si>
  <si>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</si>
  <si>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</si>
  <si>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</si>
  <si>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</si>
  <si>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</si>
  <si>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</si>
  <si>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</si>
  <si>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</si>
  <si>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</si>
  <si>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</si>
  <si>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</si>
  <si>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</si>
  <si>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</si>
  <si>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</si>
  <si>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</si>
  <si>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</si>
  <si>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</si>
  <si>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</si>
  <si>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</si>
  <si>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</si>
  <si>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</si>
  <si>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</si>
  <si>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</si>
  <si>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</si>
  <si>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</si>
  <si>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</si>
  <si>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</si>
  <si>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</si>
  <si>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</si>
  <si>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</si>
  <si>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</si>
  <si>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</si>
  <si>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</si>
  <si>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</si>
  <si>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</si>
  <si>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</si>
  <si>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</si>
  <si>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</si>
  <si>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</si>
  <si>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</si>
  <si>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</si>
  <si>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</si>
  <si>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</si>
  <si>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</si>
  <si>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</si>
  <si>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</si>
  <si>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</si>
  <si>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</si>
  <si>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</si>
  <si>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</si>
  <si>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</si>
  <si>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</si>
  <si>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</si>
  <si>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</si>
  <si>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</si>
  <si>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</si>
  <si>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</si>
  <si>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</si>
  <si>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</si>
  <si>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</si>
  <si>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</si>
  <si>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</si>
  <si>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</si>
  <si>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</si>
  <si>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</si>
  <si>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</si>
  <si>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</si>
  <si>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</si>
  <si>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</si>
  <si>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</si>
  <si>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</si>
  <si>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</si>
  <si>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</si>
  <si>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</si>
  <si>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</si>
  <si>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</si>
  <si>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</si>
  <si>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</si>
  <si>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</si>
  <si>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</si>
  <si>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</si>
  <si>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</si>
  <si>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</si>
  <si>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</si>
  <si>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</si>
  <si>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</si>
  <si>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</si>
  <si>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</si>
  <si>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</si>
  <si>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</si>
  <si>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</si>
  <si>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</si>
  <si>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</si>
  <si>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</si>
  <si>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</si>
  <si>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</si>
  <si>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</si>
  <si>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</si>
  <si>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</si>
  <si>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</si>
  <si>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</si>
  <si>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</si>
  <si>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</si>
  <si>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</si>
  <si>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</si>
  <si>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</si>
  <si>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</si>
  <si>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</si>
  <si>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</si>
  <si>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</si>
  <si>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</si>
  <si>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</si>
  <si>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</si>
  <si>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</si>
  <si>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</si>
  <si>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</si>
  <si>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</si>
  <si>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</si>
  <si>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</si>
  <si>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</si>
  <si>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</si>
  <si>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</si>
  <si>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</si>
  <si>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</si>
  <si>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</si>
  <si>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</si>
  <si>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</si>
  <si>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</si>
  <si>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</si>
  <si>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</si>
  <si>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</si>
  <si>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</si>
  <si>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</si>
  <si>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</si>
  <si>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</si>
  <si>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</si>
  <si>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</si>
  <si>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</si>
  <si>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</si>
  <si>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</si>
  <si>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</si>
  <si>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</si>
  <si>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</si>
  <si>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</si>
  <si>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</si>
  <si>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</si>
  <si>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</si>
  <si>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</si>
  <si>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</si>
  <si>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</si>
  <si>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</si>
  <si>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</si>
  <si>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</si>
  <si>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</si>
  <si>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</si>
  <si>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</si>
  <si>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</si>
  <si>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</si>
  <si>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</si>
  <si>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</si>
  <si>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</si>
  <si>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</si>
  <si>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</si>
  <si>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</si>
  <si>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</si>
  <si>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</si>
  <si>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</si>
  <si>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</si>
  <si>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</si>
  <si>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</si>
  <si>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</si>
  <si>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</si>
  <si>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</si>
  <si>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</si>
  <si>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</si>
  <si>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</si>
  <si>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</si>
  <si>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</si>
  <si>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</si>
  <si>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</si>
  <si>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</si>
  <si>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</si>
  <si>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</si>
  <si>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</si>
  <si>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</si>
  <si>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</si>
  <si>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</si>
  <si>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</si>
  <si>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</si>
  <si>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</si>
  <si>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</si>
  <si>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</si>
  <si>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</si>
  <si>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</si>
  <si>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</si>
  <si>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</si>
  <si>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</si>
  <si>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</si>
  <si>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</si>
  <si>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</si>
  <si>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</si>
  <si>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</si>
  <si>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</si>
  <si>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</si>
  <si>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</si>
  <si>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</si>
  <si>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</si>
  <si>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</si>
  <si>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</si>
  <si>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</si>
  <si>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</si>
  <si>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</si>
  <si>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</si>
  <si>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</si>
  <si>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</si>
  <si>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</si>
  <si>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</si>
  <si>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</si>
  <si>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</si>
  <si>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</si>
  <si>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</si>
  <si>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</si>
  <si>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</si>
  <si>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</si>
  <si>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</si>
  <si>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</si>
  <si>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</si>
  <si>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</si>
  <si>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</si>
  <si>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</si>
  <si>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</si>
  <si>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</si>
  <si>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</si>
  <si>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</si>
  <si>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</si>
  <si>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</si>
  <si>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</si>
  <si>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</si>
  <si>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</si>
  <si>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</si>
  <si>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</si>
  <si>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</si>
  <si>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</si>
  <si>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</si>
  <si>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</si>
  <si>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</si>
  <si>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</si>
  <si>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</si>
  <si>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</si>
  <si>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</si>
  <si>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</si>
  <si>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</si>
  <si>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</si>
  <si>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</si>
  <si>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</si>
  <si>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</si>
  <si>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</si>
  <si>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</si>
  <si>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</si>
  <si>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</si>
  <si>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</si>
  <si>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</si>
  <si>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</si>
  <si>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</si>
  <si>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</si>
  <si>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</si>
  <si>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</si>
  <si>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</si>
  <si>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</si>
  <si>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</si>
  <si>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</si>
  <si>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</si>
  <si>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</si>
  <si>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</si>
  <si>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</si>
  <si>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</si>
  <si>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</si>
  <si>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</si>
  <si>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</si>
  <si>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</si>
  <si>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</si>
  <si>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</si>
  <si>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</si>
  <si>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</si>
  <si>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</si>
  <si>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</si>
  <si>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</si>
  <si>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</si>
  <si>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</si>
  <si>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</si>
  <si>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</si>
  <si>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</si>
  <si>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</si>
  <si>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</si>
  <si>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</si>
  <si>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</si>
  <si>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</si>
  <si>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</si>
  <si>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</si>
  <si>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</si>
  <si>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</si>
  <si>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</si>
  <si>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</si>
  <si>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</si>
  <si>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</si>
  <si>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</si>
  <si>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</si>
  <si>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</si>
  <si>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</si>
  <si>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</si>
  <si>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</si>
  <si>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</si>
  <si>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</si>
  <si>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</si>
  <si>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</si>
  <si>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</si>
  <si>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</si>
  <si>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</si>
  <si>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</si>
  <si>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</si>
  <si>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</si>
  <si>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</si>
  <si>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</si>
  <si>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</si>
  <si>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</si>
  <si>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</si>
  <si>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</si>
  <si>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</si>
  <si>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</si>
  <si>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</si>
  <si>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</si>
  <si>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</si>
  <si>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</si>
  <si>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</si>
  <si>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</si>
  <si>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</si>
  <si>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</si>
  <si>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</si>
  <si>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</si>
  <si>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</si>
  <si>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</si>
  <si>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</si>
  <si>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</si>
  <si>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</si>
  <si>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</si>
  <si>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</si>
  <si>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</si>
  <si>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</si>
  <si>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</si>
  <si>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</si>
  <si>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</si>
  <si>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</si>
  <si>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</si>
  <si>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</si>
  <si>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</si>
  <si>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</si>
  <si>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</si>
  <si>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</si>
  <si>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</si>
  <si>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</si>
  <si>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</si>
  <si>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</si>
  <si>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</si>
  <si>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</si>
  <si>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</si>
  <si>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</si>
  <si>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</si>
  <si>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</si>
  <si>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</si>
  <si>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</si>
  <si>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</si>
  <si>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</si>
  <si>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</si>
  <si>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</si>
  <si>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</si>
  <si>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</si>
  <si>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</si>
  <si>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</si>
  <si>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</si>
  <si>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</si>
  <si>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</si>
  <si>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</si>
  <si>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</si>
  <si>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</si>
  <si>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</si>
  <si>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</si>
  <si>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</si>
  <si>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</si>
  <si>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</si>
  <si>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</si>
  <si>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</si>
  <si>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</si>
  <si>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</si>
  <si>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</si>
  <si>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</si>
  <si>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</si>
  <si>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</si>
  <si>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</si>
  <si>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</si>
  <si>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</si>
  <si>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</si>
  <si>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</si>
  <si>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</si>
  <si>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</si>
  <si>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</si>
  <si>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</si>
  <si>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</si>
  <si>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</si>
  <si>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</si>
  <si>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</si>
  <si>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</si>
  <si>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</si>
  <si>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</si>
  <si>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</si>
  <si>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</si>
  <si>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</si>
  <si>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</si>
  <si>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</si>
  <si>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</si>
  <si>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</si>
  <si>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</si>
  <si>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</si>
  <si>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</si>
  <si>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</si>
  <si>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</si>
  <si>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</si>
  <si>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</si>
  <si>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</si>
  <si>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</si>
  <si>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</si>
  <si>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</si>
  <si>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</si>
  <si>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</si>
  <si>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</si>
  <si>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</si>
  <si>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</si>
  <si>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</si>
  <si>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</si>
  <si>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</si>
  <si>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</si>
  <si>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</si>
  <si>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</si>
  <si>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</si>
  <si>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</si>
  <si>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</si>
  <si>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</si>
  <si>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</si>
  <si>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</si>
  <si>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</si>
  <si>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</si>
  <si>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</si>
  <si>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</si>
  <si>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</si>
  <si>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</si>
  <si>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</si>
  <si>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</si>
  <si>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</si>
  <si>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</si>
  <si>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</si>
  <si>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</si>
  <si>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</si>
  <si>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</si>
  <si>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</si>
  <si>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</si>
  <si>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</si>
  <si>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</si>
  <si>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</si>
  <si>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</si>
  <si>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</si>
  <si>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</si>
  <si>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</si>
  <si>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</si>
  <si>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</si>
  <si>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</si>
  <si>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</si>
  <si>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</si>
  <si>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</si>
  <si>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</si>
  <si>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</si>
  <si>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</si>
  <si>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</si>
  <si>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</si>
  <si>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</si>
  <si>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</si>
  <si>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</si>
  <si>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</si>
  <si>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</si>
  <si>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</si>
  <si>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</si>
  <si>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</si>
  <si>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</si>
  <si>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</si>
  <si>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</si>
  <si>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</si>
  <si>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</si>
  <si>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</si>
  <si>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</si>
  <si>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</si>
  <si>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</si>
  <si>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</si>
  <si>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</si>
  <si>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</si>
  <si>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</si>
  <si>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</si>
  <si>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</si>
  <si>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</si>
  <si>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</si>
  <si>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</si>
  <si>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</si>
  <si>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</si>
  <si>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</si>
  <si>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</si>
  <si>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</si>
  <si>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</si>
  <si>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</si>
  <si>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</si>
  <si>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</si>
  <si>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</si>
  <si>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</si>
  <si>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</si>
  <si>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</si>
  <si>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</si>
  <si>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</si>
  <si>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</si>
  <si>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</si>
  <si>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</si>
  <si>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</si>
  <si>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</si>
  <si>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</si>
  <si>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</si>
  <si>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</si>
  <si>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</si>
  <si>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</si>
  <si>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</si>
  <si>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</si>
  <si>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</si>
  <si>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</si>
  <si>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</si>
  <si>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</si>
  <si>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</si>
  <si>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</si>
  <si>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</si>
  <si>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</si>
  <si>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</si>
  <si>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</si>
  <si>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</si>
  <si>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</si>
  <si>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</si>
  <si>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</si>
  <si>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</si>
  <si>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</si>
  <si>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</si>
  <si>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</si>
  <si>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</si>
  <si>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</si>
  <si>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</si>
  <si>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</si>
  <si>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</si>
  <si>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</si>
  <si>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</si>
  <si>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</si>
  <si>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</si>
  <si>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</si>
  <si>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</si>
  <si>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</si>
  <si>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</si>
  <si>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</si>
  <si>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</si>
  <si>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</si>
  <si>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</si>
  <si>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</si>
  <si>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</si>
  <si>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</si>
  <si>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</si>
  <si>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</si>
  <si>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</si>
  <si>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</si>
  <si>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</si>
  <si>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</si>
  <si>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</si>
  <si>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</si>
  <si>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</si>
  <si>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</si>
  <si>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</si>
  <si>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</si>
  <si>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</si>
  <si>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</si>
  <si>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</si>
  <si>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</si>
  <si>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</si>
  <si>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</si>
  <si>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</si>
  <si>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</si>
  <si>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</si>
  <si>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</si>
  <si>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</si>
  <si>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</si>
  <si>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</si>
  <si>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</si>
  <si>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</si>
  <si>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</si>
  <si>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</si>
  <si>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</si>
  <si>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</si>
  <si>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</si>
  <si>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</si>
  <si>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</si>
  <si>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</si>
  <si>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</si>
  <si>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</si>
  <si>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</si>
  <si>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</si>
  <si>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</si>
  <si>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</si>
  <si>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</si>
  <si>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</si>
  <si>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</si>
  <si>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</si>
  <si>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</si>
  <si>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</si>
  <si>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</si>
  <si>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</si>
  <si>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</si>
  <si>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</si>
  <si>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</si>
  <si>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</si>
  <si>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</si>
  <si>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</si>
  <si>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</si>
  <si>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</si>
  <si>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</si>
  <si>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</si>
  <si>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</si>
  <si>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</si>
  <si>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</si>
  <si>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</si>
  <si>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</si>
  <si>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</si>
  <si>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</si>
  <si>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</si>
  <si>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</si>
  <si>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</si>
  <si>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</si>
  <si>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</si>
  <si>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</si>
  <si>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</si>
  <si>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</si>
  <si>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</si>
  <si>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</si>
  <si>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</si>
  <si>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</si>
  <si>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</si>
  <si>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</si>
  <si>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</si>
  <si>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</si>
  <si>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</si>
  <si>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</si>
  <si>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</si>
  <si>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</si>
  <si>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</si>
  <si>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</si>
  <si>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</si>
  <si>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</si>
  <si>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</si>
  <si>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</si>
  <si>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</si>
  <si>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</si>
  <si>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</si>
  <si>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</si>
  <si>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</si>
  <si>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</si>
  <si>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</si>
  <si>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</si>
  <si>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</si>
  <si>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</si>
  <si>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</si>
  <si>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</si>
  <si>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</si>
  <si>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</si>
  <si>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</si>
  <si>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</si>
  <si>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</si>
  <si>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</si>
  <si>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</si>
  <si>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</si>
  <si>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</si>
  <si>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</si>
  <si>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</si>
  <si>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</si>
  <si>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</si>
  <si>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</si>
  <si>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</si>
  <si>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</si>
  <si>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</si>
  <si>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</si>
  <si>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</si>
  <si>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</si>
  <si>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</si>
  <si>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</si>
  <si>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</si>
  <si>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</si>
  <si>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</si>
  <si>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</si>
  <si>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</si>
  <si>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</si>
  <si>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</si>
  <si>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</si>
  <si>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</si>
  <si>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</si>
  <si>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</si>
  <si>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</si>
  <si>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</si>
  <si>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</si>
  <si>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</si>
  <si>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</si>
  <si>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</si>
  <si>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</si>
  <si>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</si>
  <si>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</si>
  <si>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</si>
  <si>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</si>
  <si>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</si>
  <si>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</si>
  <si>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</si>
  <si>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</si>
  <si>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</si>
  <si>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</si>
  <si>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</si>
  <si>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</si>
  <si>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</si>
  <si>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</si>
  <si>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</si>
  <si>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</si>
  <si>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</si>
  <si>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</si>
  <si>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</si>
  <si>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</si>
  <si>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</si>
  <si>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</si>
  <si>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</si>
  <si>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</si>
  <si>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</si>
  <si>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</si>
  <si>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</si>
  <si>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</si>
  <si>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</si>
  <si>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</si>
  <si>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</si>
  <si>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</si>
  <si>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</si>
  <si>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</si>
  <si>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</si>
  <si>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</si>
  <si>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</si>
  <si>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</si>
  <si>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</si>
  <si>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</si>
  <si>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</si>
  <si>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</si>
  <si>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</si>
  <si>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</si>
  <si>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</si>
  <si>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</si>
  <si>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</si>
  <si>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</si>
  <si>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</si>
  <si>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</si>
  <si>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</si>
  <si>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</si>
  <si>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</si>
  <si>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</si>
  <si>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</si>
  <si>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</si>
  <si>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</si>
  <si>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</si>
  <si>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</si>
  <si>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</si>
  <si>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</si>
  <si>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</si>
  <si>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</si>
  <si>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</si>
  <si>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</si>
  <si>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</si>
  <si>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</si>
  <si>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</si>
  <si>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</si>
  <si>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</si>
  <si>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</si>
  <si>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</si>
  <si>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</si>
  <si>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</si>
  <si>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</si>
  <si>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</si>
  <si>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</si>
  <si>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</si>
  <si>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</si>
  <si>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</si>
  <si>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</si>
  <si>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</si>
  <si>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</si>
  <si>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</si>
  <si>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</si>
  <si>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</si>
  <si>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</si>
  <si>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</si>
  <si>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</si>
  <si>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</si>
  <si>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</si>
  <si>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</si>
  <si>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</si>
  <si>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</si>
  <si>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</si>
  <si>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</si>
  <si>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</si>
  <si>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</si>
  <si>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</si>
  <si>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</si>
  <si>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</si>
  <si>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</si>
  <si>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</si>
  <si>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</si>
  <si>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</si>
  <si>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</si>
  <si>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</si>
  <si>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</si>
  <si>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</si>
  <si>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</si>
  <si>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</si>
  <si>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</si>
  <si>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</si>
  <si>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</si>
  <si>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</si>
  <si>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</si>
  <si>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</si>
  <si>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</si>
  <si>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</si>
  <si>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</si>
  <si>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</si>
  <si>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</si>
  <si>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</si>
  <si>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</si>
  <si>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</si>
  <si>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</si>
  <si>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</si>
  <si>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</si>
  <si>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</si>
  <si>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</si>
  <si>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</si>
  <si>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</si>
  <si>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</si>
  <si>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</si>
  <si>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</si>
  <si>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</si>
  <si>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</si>
  <si>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</si>
  <si>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</si>
  <si>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</si>
  <si>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</si>
  <si>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</si>
  <si>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</si>
  <si>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</si>
  <si>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</si>
  <si>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</si>
  <si>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</si>
  <si>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</si>
  <si>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</si>
  <si>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</si>
  <si>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</si>
  <si>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</si>
  <si>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</si>
  <si>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</si>
  <si>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</si>
  <si>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</si>
  <si>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</si>
  <si>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</si>
  <si>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</si>
  <si>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</si>
  <si>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</si>
  <si>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</si>
  <si>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</si>
  <si>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</si>
  <si>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</si>
  <si>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</si>
  <si>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</si>
  <si>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</si>
  <si>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</si>
  <si>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</si>
  <si>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</si>
  <si>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</si>
  <si>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</si>
  <si>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</si>
  <si>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</si>
  <si>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</si>
  <si>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</si>
  <si>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</si>
  <si>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</si>
  <si>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</si>
  <si>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</si>
  <si>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</si>
  <si>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</si>
  <si>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</si>
  <si>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</si>
  <si>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</si>
  <si>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</si>
  <si>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</si>
  <si>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</si>
  <si>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</si>
  <si>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</si>
  <si>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</si>
  <si>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</si>
  <si>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</si>
  <si>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</si>
  <si>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</si>
  <si>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</si>
  <si>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</si>
  <si>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</si>
  <si>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</si>
  <si>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</si>
  <si>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</si>
  <si>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</si>
  <si>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</si>
  <si>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</si>
  <si>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</si>
  <si>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</si>
  <si>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</si>
  <si>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</si>
  <si>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</si>
  <si>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</si>
  <si>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</si>
  <si>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</si>
  <si>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</si>
  <si>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</si>
  <si>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</si>
  <si>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</si>
  <si>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</si>
  <si>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</si>
  <si>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</si>
  <si>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</si>
  <si>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</si>
  <si>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</si>
  <si>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</si>
  <si>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</si>
  <si>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</si>
  <si>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</si>
  <si>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</si>
  <si>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</si>
  <si>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</si>
  <si>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</si>
  <si>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</si>
  <si>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</si>
  <si>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</si>
  <si>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</si>
  <si>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</si>
  <si>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</si>
  <si>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</si>
  <si>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</si>
  <si>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</si>
  <si>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</si>
  <si>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</si>
  <si>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</si>
  <si>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</si>
  <si>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</si>
  <si>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</si>
  <si>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</si>
  <si>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</si>
  <si>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</si>
  <si>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</si>
  <si>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</si>
  <si>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</si>
  <si>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</si>
  <si>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</si>
  <si>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</si>
  <si>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</si>
  <si>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</si>
  <si>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</si>
  <si>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</si>
  <si>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</si>
  <si>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</si>
  <si>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</si>
  <si>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</si>
  <si>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</si>
  <si>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</si>
  <si>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</si>
  <si>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</si>
  <si>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</si>
  <si>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</si>
  <si>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</si>
  <si>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</si>
  <si>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</si>
  <si>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</si>
  <si>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</si>
  <si>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</si>
  <si>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</si>
  <si>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</si>
  <si>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</si>
  <si>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</si>
  <si>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</si>
  <si>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</si>
  <si>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</si>
  <si>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</si>
  <si>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</si>
  <si>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</si>
  <si>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</si>
  <si>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</si>
  <si>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</si>
  <si>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</si>
  <si>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</si>
  <si>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</si>
  <si>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</si>
  <si>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</si>
  <si>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</si>
  <si>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</si>
  <si>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</si>
  <si>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</si>
  <si>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</si>
  <si>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</si>
  <si>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</si>
  <si>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</si>
  <si>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</si>
  <si>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</si>
  <si>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</si>
  <si>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</si>
  <si>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</si>
  <si>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</si>
  <si>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</si>
  <si>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</si>
  <si>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</si>
  <si>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</si>
  <si>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</si>
  <si>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</si>
  <si>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</si>
  <si>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</si>
  <si>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</si>
  <si>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</si>
  <si>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</si>
  <si>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</si>
  <si>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</si>
  <si>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</si>
  <si>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</si>
  <si>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</si>
  <si>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</si>
  <si>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</si>
  <si>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</si>
  <si>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</si>
  <si>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</si>
  <si>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</si>
  <si>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</si>
  <si>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</si>
  <si>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</si>
  <si>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</si>
  <si>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</si>
  <si>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</si>
  <si>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</si>
  <si>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</si>
  <si>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</si>
  <si>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</si>
  <si>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</si>
  <si>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</si>
  <si>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</si>
  <si>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</si>
  <si>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</si>
  <si>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</si>
  <si>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</si>
  <si>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</si>
  <si>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</si>
  <si>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</si>
  <si>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</si>
  <si>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</si>
  <si>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</si>
  <si>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</si>
  <si>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</si>
  <si>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</si>
  <si>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</si>
  <si>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</si>
  <si>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</si>
  <si>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</si>
  <si>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</si>
  <si>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</si>
  <si>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</si>
  <si>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</si>
  <si>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</si>
  <si>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</si>
  <si>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</si>
  <si>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</si>
  <si>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</si>
  <si>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</si>
  <si>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</si>
  <si>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</si>
  <si>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</si>
  <si>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</si>
  <si>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</si>
  <si>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</si>
  <si>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</si>
  <si>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</si>
  <si>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</si>
  <si>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</si>
  <si>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</si>
  <si>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</si>
  <si>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</si>
  <si>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</si>
  <si>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</si>
  <si>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</si>
  <si>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</si>
  <si>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</si>
  <si>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</si>
  <si>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</si>
  <si>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</si>
  <si>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</si>
  <si>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</si>
  <si>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</si>
  <si>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</si>
  <si>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</si>
  <si>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</si>
  <si>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</si>
  <si>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</si>
  <si>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</si>
  <si>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</si>
  <si>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</si>
  <si>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</si>
  <si>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</si>
  <si>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</si>
  <si>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</si>
  <si>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</si>
  <si>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</si>
  <si>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</si>
  <si>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</si>
  <si>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</si>
  <si>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</si>
  <si>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</si>
  <si>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</si>
  <si>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</si>
  <si>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</si>
  <si>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</si>
  <si>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</si>
  <si>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</si>
  <si>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</si>
  <si>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</si>
  <si>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</si>
  <si>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</si>
  <si>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</si>
  <si>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</si>
  <si>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</si>
  <si>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</si>
  <si>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</si>
  <si>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</si>
  <si>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</si>
  <si>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</si>
  <si>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</si>
  <si>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</si>
  <si>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</si>
  <si>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</si>
  <si>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</si>
  <si>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</si>
  <si>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</si>
  <si>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</si>
  <si>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</si>
  <si>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</si>
  <si>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</si>
  <si>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</si>
  <si>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</si>
  <si>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</si>
  <si>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</si>
  <si>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</si>
  <si>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</si>
  <si>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</si>
  <si>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</si>
  <si>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</si>
  <si>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</si>
  <si>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</si>
  <si>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</si>
  <si>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</si>
  <si>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</si>
  <si>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</si>
  <si>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</si>
  <si>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</si>
  <si>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</si>
  <si>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</si>
  <si>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</si>
  <si>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</si>
  <si>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</si>
  <si>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</si>
  <si>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</si>
  <si>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</si>
  <si>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</si>
  <si>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</si>
  <si>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</si>
  <si>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</si>
  <si>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</si>
  <si>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</si>
  <si>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</si>
  <si>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</si>
  <si>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</si>
  <si>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</si>
  <si>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</si>
  <si>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</si>
  <si>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</si>
  <si>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</si>
  <si>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</si>
  <si>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</si>
  <si>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</si>
  <si>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</si>
  <si>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</si>
  <si>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</si>
  <si>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</si>
  <si>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</si>
  <si>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</si>
  <si>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</si>
  <si>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</si>
  <si>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</si>
  <si>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</si>
  <si>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</si>
  <si>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</si>
  <si>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</si>
  <si>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</si>
  <si>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</si>
  <si>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</si>
  <si>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</si>
  <si>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</si>
  <si>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</si>
  <si>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</si>
  <si>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</si>
  <si>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</si>
  <si>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</si>
  <si>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</si>
  <si>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</si>
  <si>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</si>
  <si>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</si>
  <si>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</si>
  <si>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</si>
  <si>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</si>
  <si>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</si>
  <si>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</si>
  <si>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</si>
  <si>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</si>
  <si>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</si>
  <si>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</si>
  <si>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</si>
  <si>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</si>
  <si>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</si>
  <si>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</si>
  <si>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</si>
  <si>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</si>
  <si>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</si>
  <si>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</si>
  <si>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</si>
  <si>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</si>
  <si>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</si>
  <si>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</si>
  <si>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</si>
  <si>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</si>
  <si>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</si>
  <si>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</si>
  <si>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</si>
  <si>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</si>
  <si>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</si>
  <si>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</si>
  <si>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</si>
  <si>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</si>
  <si>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</si>
  <si>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</si>
  <si>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</si>
  <si>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</si>
  <si>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</si>
  <si>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</si>
  <si>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</si>
  <si>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</si>
  <si>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</si>
  <si>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</si>
  <si>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</si>
  <si>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</si>
  <si>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</si>
  <si>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</si>
  <si>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</si>
  <si>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</si>
  <si>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</si>
  <si>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</si>
  <si>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</si>
  <si>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</si>
  <si>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</si>
  <si>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</si>
  <si>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</si>
  <si>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</si>
  <si>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</si>
  <si>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</si>
  <si>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</si>
  <si>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</si>
  <si>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</si>
  <si>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</si>
  <si>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</si>
  <si>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</si>
  <si>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</si>
  <si>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</si>
  <si>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</si>
  <si>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</si>
  <si>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</si>
  <si>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</si>
  <si>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</si>
  <si>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</si>
  <si>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</si>
  <si>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</si>
  <si>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</si>
  <si>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</si>
  <si>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</si>
  <si>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</si>
  <si>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</si>
  <si>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</si>
  <si>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</si>
  <si>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</si>
  <si>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</si>
  <si>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</si>
  <si>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</si>
  <si>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</si>
  <si>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</si>
  <si>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</si>
  <si>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</si>
  <si>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</si>
  <si>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</si>
  <si>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</si>
  <si>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</si>
  <si>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</si>
  <si>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</si>
  <si>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</si>
  <si>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</si>
  <si>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</si>
  <si>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</si>
  <si>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</si>
  <si>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</si>
  <si>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</si>
  <si>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</si>
  <si>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</si>
  <si>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</si>
  <si>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</si>
  <si>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</si>
  <si>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</si>
  <si>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</si>
  <si>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</si>
  <si>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</si>
  <si>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</si>
  <si>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</si>
  <si>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</si>
  <si>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</si>
  <si>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</si>
  <si>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</si>
  <si>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</si>
  <si>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</si>
  <si>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</si>
  <si>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</si>
  <si>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</si>
  <si>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</si>
  <si>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</si>
  <si>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</si>
  <si>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</si>
  <si>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</si>
  <si>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</si>
  <si>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</si>
  <si>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</si>
  <si>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</si>
  <si>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</si>
  <si>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</si>
  <si>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</si>
  <si>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</si>
  <si>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</si>
  <si>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</si>
  <si>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</si>
  <si>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</si>
  <si>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</si>
  <si>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</si>
  <si>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</si>
  <si>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</si>
  <si>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</si>
  <si>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</si>
  <si>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</si>
  <si>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</si>
  <si>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</si>
  <si>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</si>
  <si>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</si>
  <si>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</si>
  <si>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</si>
  <si>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</si>
  <si>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</si>
  <si>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</si>
  <si>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</si>
  <si>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</si>
  <si>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</si>
  <si>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</si>
  <si>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</si>
  <si>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</si>
  <si>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</si>
  <si>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</si>
  <si>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</si>
  <si>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</si>
  <si>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</si>
  <si>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</si>
  <si>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</si>
  <si>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</si>
  <si>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</si>
  <si>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</si>
  <si>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</si>
  <si>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</si>
  <si>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</si>
  <si>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</si>
  <si>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</si>
  <si>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</si>
  <si>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</si>
  <si>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</si>
  <si>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</si>
  <si>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</si>
  <si>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</si>
  <si>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</si>
  <si>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</si>
  <si>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</si>
  <si>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</si>
  <si>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</si>
  <si>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</si>
  <si>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</si>
  <si>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</si>
  <si>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</si>
  <si>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</si>
  <si>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</si>
  <si>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</si>
  <si>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</si>
  <si>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</si>
  <si>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</si>
  <si>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</si>
  <si>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</si>
  <si>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</si>
  <si>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</si>
  <si>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</si>
  <si>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</si>
  <si>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</si>
  <si>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</si>
  <si>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</si>
  <si>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</si>
  <si>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</si>
  <si>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</si>
  <si>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</si>
  <si>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</si>
  <si>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</si>
  <si>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</si>
  <si>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</si>
  <si>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</si>
  <si>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</si>
  <si>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</si>
  <si>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</si>
  <si>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</si>
  <si>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</si>
  <si>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</si>
  <si>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</si>
  <si>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</si>
  <si>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</si>
  <si>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</si>
  <si>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</si>
  <si>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</si>
  <si>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</si>
  <si>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</si>
  <si>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</si>
  <si>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</si>
  <si>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</si>
  <si>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</si>
  <si>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</si>
  <si>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</si>
  <si>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</si>
  <si>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</si>
  <si>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</si>
  <si>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</si>
  <si>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</si>
  <si>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</si>
  <si>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</si>
  <si>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</si>
  <si>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</si>
  <si>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</si>
  <si>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</si>
  <si>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</si>
  <si>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</si>
  <si>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</si>
  <si>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</si>
  <si>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</si>
  <si>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</si>
  <si>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</si>
  <si>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</si>
  <si>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</si>
  <si>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</si>
  <si>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</si>
  <si>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</si>
  <si>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</si>
  <si>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</si>
  <si>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</si>
  <si>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</si>
  <si>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</si>
  <si>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</si>
  <si>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</si>
  <si>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</si>
  <si>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</si>
  <si>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</si>
  <si>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</si>
  <si>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</si>
  <si>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</si>
  <si>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</si>
  <si>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</si>
  <si>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</si>
  <si>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</si>
  <si>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</si>
  <si>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</si>
  <si>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</si>
  <si>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</si>
  <si>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</si>
  <si>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</si>
  <si>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</si>
  <si>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</si>
  <si>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</si>
  <si>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</si>
  <si>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</si>
  <si>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</si>
  <si>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</si>
  <si>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</si>
  <si>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</si>
  <si>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</si>
  <si>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</si>
  <si>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</si>
  <si>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</si>
  <si>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</si>
  <si>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</si>
  <si>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</si>
  <si>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</si>
  <si>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</si>
  <si>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</si>
  <si>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</si>
  <si>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</si>
  <si>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</si>
  <si>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</si>
  <si>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</si>
  <si>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</si>
  <si>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</si>
  <si>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</si>
  <si>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</si>
  <si>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</si>
  <si>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</si>
  <si>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</si>
  <si>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</si>
  <si>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</si>
  <si>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</si>
  <si>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</si>
  <si>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</si>
  <si>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</si>
  <si>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</si>
  <si>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</si>
  <si>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</si>
  <si>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</si>
  <si>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</si>
  <si>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</si>
  <si>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</si>
  <si>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</si>
  <si>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</si>
  <si>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</si>
  <si>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</si>
  <si>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</si>
  <si>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</si>
  <si>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</si>
  <si>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</si>
  <si>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</si>
  <si>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</si>
  <si>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</si>
  <si>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</si>
  <si>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</si>
  <si>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</si>
  <si>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</si>
  <si>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</si>
  <si>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</si>
  <si>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</si>
  <si>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</si>
  <si>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</si>
  <si>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</si>
  <si>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</si>
  <si>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</si>
  <si>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</si>
  <si>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</si>
  <si>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</si>
  <si>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</si>
  <si>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</si>
  <si>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</si>
  <si>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</si>
  <si>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</si>
  <si>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</si>
  <si>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</si>
  <si>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</si>
  <si>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</si>
  <si>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</si>
  <si>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</si>
  <si>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</si>
  <si>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</si>
  <si>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</si>
  <si>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</si>
  <si>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</si>
  <si>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</si>
  <si>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</si>
  <si>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</si>
  <si>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</si>
  <si>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</si>
  <si>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</si>
  <si>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</si>
  <si>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</si>
  <si>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</si>
  <si>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</si>
  <si>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</si>
  <si>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</si>
  <si>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</si>
  <si>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</si>
  <si>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</si>
  <si>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</si>
  <si>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</si>
  <si>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</si>
  <si>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</si>
  <si>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</si>
  <si>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</si>
  <si>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</si>
  <si>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</si>
  <si>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</si>
  <si>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</si>
  <si>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</si>
  <si>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</si>
  <si>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</si>
  <si>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</si>
  <si>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</si>
  <si>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</si>
  <si>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</si>
  <si>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</si>
  <si>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</si>
  <si>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</si>
  <si>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</si>
  <si>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</si>
  <si>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</si>
  <si>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</si>
  <si>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</si>
  <si>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</si>
  <si>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</si>
  <si>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</si>
  <si>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</si>
  <si>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</si>
  <si>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</si>
  <si>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</si>
  <si>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</si>
  <si>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</si>
  <si>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</si>
  <si>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</si>
  <si>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</si>
  <si>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</si>
  <si>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</si>
  <si>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</si>
  <si>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</si>
  <si>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</si>
  <si>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</si>
  <si>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</si>
  <si>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</si>
  <si>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</si>
  <si>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</si>
  <si>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</si>
  <si>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</si>
  <si>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</si>
  <si>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</si>
  <si>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</si>
  <si>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</si>
  <si>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</si>
  <si>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</si>
  <si>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</si>
  <si>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</si>
  <si>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</si>
  <si>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</si>
  <si>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</si>
  <si>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</si>
  <si>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</si>
  <si>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</si>
  <si>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</si>
  <si>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</si>
  <si>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</si>
  <si>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</si>
  <si>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</si>
  <si>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</si>
  <si>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</si>
  <si>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</si>
  <si>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</si>
  <si>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</si>
  <si>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</si>
  <si>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</si>
  <si>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</si>
  <si>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</si>
  <si>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</si>
  <si>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</si>
  <si>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</si>
  <si>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</si>
  <si>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</si>
  <si>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</si>
  <si>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</si>
  <si>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</si>
  <si>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</si>
  <si>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</si>
  <si>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</si>
  <si>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</si>
  <si>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</si>
  <si>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</si>
  <si>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</si>
  <si>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</si>
  <si>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</si>
  <si>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</si>
  <si>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</si>
  <si>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</si>
  <si>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</si>
  <si>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</si>
  <si>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</si>
  <si>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</si>
  <si>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</si>
  <si>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</si>
  <si>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</si>
  <si>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</si>
  <si>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</si>
  <si>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</si>
  <si>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</si>
  <si>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</si>
  <si>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</si>
  <si>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</si>
  <si>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</si>
  <si>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</si>
  <si>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</si>
  <si>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</si>
  <si>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</si>
  <si>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</si>
  <si>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</si>
  <si>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</si>
  <si>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</si>
  <si>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</si>
  <si>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</si>
  <si>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</si>
  <si>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</si>
  <si>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</si>
  <si>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</si>
  <si>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</si>
  <si>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</si>
  <si>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</si>
  <si>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</si>
  <si>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</si>
  <si>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</si>
  <si>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</si>
  <si>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</si>
  <si>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</si>
  <si>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</si>
  <si>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</si>
  <si>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</si>
  <si>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</si>
  <si>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</si>
  <si>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</si>
  <si>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</si>
  <si>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</si>
  <si>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</si>
  <si>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</si>
  <si>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</si>
  <si>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</si>
  <si>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</si>
  <si>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</si>
  <si>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</si>
  <si>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</si>
  <si>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</si>
  <si>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</si>
  <si>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</si>
  <si>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</si>
  <si>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</si>
  <si>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</si>
  <si>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</si>
  <si>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</si>
  <si>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</si>
  <si>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</si>
  <si>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</si>
  <si>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</si>
  <si>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</si>
  <si>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</si>
  <si>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</si>
  <si>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</si>
  <si>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</si>
  <si>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</si>
  <si>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</si>
  <si>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</si>
  <si>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</si>
  <si>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</si>
  <si>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</si>
  <si>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</si>
  <si>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</si>
  <si>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</si>
  <si>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</si>
  <si>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</si>
  <si>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</si>
  <si>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</si>
  <si>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</si>
  <si>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</si>
  <si>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</si>
  <si>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</si>
  <si>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</si>
  <si>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</si>
  <si>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</si>
  <si>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</si>
  <si>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</si>
  <si>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</si>
  <si>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</si>
  <si>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</si>
  <si>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</si>
  <si>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</si>
  <si>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</si>
  <si>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</si>
  <si>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</si>
  <si>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</si>
  <si>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</si>
  <si>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</si>
  <si>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</si>
  <si>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</si>
  <si>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</si>
  <si>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</si>
  <si>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</si>
  <si>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</si>
  <si>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</si>
  <si>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</si>
  <si>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</si>
  <si>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</si>
  <si>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</si>
  <si>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</si>
  <si>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</si>
  <si>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</si>
  <si>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</si>
  <si>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</si>
  <si>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</si>
  <si>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</si>
  <si>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</si>
  <si>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</si>
  <si>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</si>
  <si>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</si>
  <si>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</si>
  <si>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</si>
  <si>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</si>
  <si>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</si>
  <si>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</si>
  <si>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</si>
  <si>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</si>
  <si>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</si>
  <si>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</si>
  <si>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</si>
  <si>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</si>
  <si>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</si>
  <si>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</si>
  <si>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</si>
  <si>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</si>
  <si>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</si>
  <si>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</si>
  <si>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</si>
  <si>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</si>
  <si>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</si>
  <si>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</si>
  <si>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</si>
  <si>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</si>
  <si>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</si>
  <si>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</si>
  <si>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</si>
  <si>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</si>
  <si>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</si>
  <si>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</si>
  <si>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</si>
  <si>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</si>
  <si>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</si>
  <si>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</si>
  <si>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</si>
  <si>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</si>
  <si>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</si>
  <si>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</si>
  <si>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</si>
  <si>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</si>
  <si>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</si>
  <si>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</si>
  <si>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</si>
  <si>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</si>
  <si>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</si>
  <si>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</si>
  <si>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</si>
  <si>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</si>
  <si>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</si>
  <si>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</si>
  <si>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</si>
  <si>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</si>
  <si>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</si>
  <si>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</si>
  <si>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</si>
  <si>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</si>
  <si>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</si>
  <si>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</si>
  <si>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</si>
  <si>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</si>
  <si>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</si>
  <si>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</si>
  <si>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</si>
  <si>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</si>
  <si>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</si>
  <si>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</si>
  <si>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</si>
  <si>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</si>
  <si>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</si>
  <si>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</si>
  <si>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</si>
  <si>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</si>
  <si>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</si>
  <si>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</si>
  <si>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</si>
  <si>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</si>
  <si>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</si>
  <si>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</si>
  <si>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</si>
  <si>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</si>
  <si>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</si>
  <si>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</si>
  <si>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</si>
  <si>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</si>
  <si>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</si>
  <si>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</si>
  <si>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</si>
  <si>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</si>
  <si>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</si>
  <si>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</si>
  <si>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</si>
  <si>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</si>
  <si>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</si>
  <si>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</si>
  <si>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</si>
  <si>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</si>
  <si>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</si>
  <si>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</si>
  <si>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</si>
  <si>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</si>
  <si>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</si>
  <si>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</si>
  <si>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</si>
  <si>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</si>
  <si>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</si>
  <si>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</si>
  <si>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</si>
  <si>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</si>
  <si>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</si>
  <si>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</si>
  <si>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</si>
  <si>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</si>
  <si>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</si>
  <si>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</si>
  <si>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</si>
  <si>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</si>
  <si>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</si>
  <si>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</si>
  <si>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</si>
  <si>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</si>
  <si>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</si>
  <si>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</si>
  <si>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</si>
  <si>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</si>
  <si>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</si>
  <si>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</si>
  <si>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</si>
  <si>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</si>
  <si>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</si>
  <si>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</si>
  <si>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</si>
  <si>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</si>
  <si>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</si>
  <si>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</si>
  <si>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</si>
  <si>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</si>
  <si>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</si>
  <si>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</si>
  <si>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</si>
  <si>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</si>
  <si>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</si>
  <si>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</si>
  <si>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</si>
  <si>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</si>
  <si>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</si>
  <si>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</si>
  <si>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</si>
  <si>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</si>
  <si>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</si>
  <si>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</si>
  <si>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</si>
  <si>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</si>
  <si>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</si>
  <si>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</si>
  <si>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</si>
  <si>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</si>
  <si>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</si>
  <si>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</si>
  <si>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</si>
  <si>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</si>
  <si>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</si>
  <si>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</si>
  <si>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</si>
  <si>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</si>
  <si>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</si>
  <si>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</si>
  <si>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</si>
  <si>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</si>
  <si>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</si>
  <si>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</si>
  <si>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</si>
  <si>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</si>
  <si>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</si>
  <si>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</si>
  <si>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</si>
  <si>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</si>
  <si>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</si>
  <si>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</si>
  <si>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</si>
  <si>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</si>
  <si>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</si>
  <si>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</si>
  <si>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</si>
  <si>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</si>
  <si>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</si>
  <si>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</si>
  <si>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</si>
  <si>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</si>
  <si>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</si>
  <si>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</si>
  <si>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</si>
  <si>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</si>
  <si>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</si>
  <si>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</si>
  <si>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</si>
  <si>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</si>
  <si>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</si>
  <si>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</si>
  <si>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</si>
  <si>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</si>
  <si>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</si>
  <si>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</si>
  <si>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</si>
  <si>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</si>
  <si>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</si>
  <si>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</si>
  <si>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</si>
  <si>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</si>
  <si>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</si>
  <si>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</si>
  <si>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</si>
  <si>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</si>
  <si>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</si>
  <si>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</si>
  <si>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</si>
  <si>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</si>
  <si>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</si>
  <si>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</si>
  <si>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</si>
  <si>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</si>
  <si>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</si>
  <si>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</si>
  <si>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</si>
  <si>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</si>
  <si>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</si>
  <si>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</si>
  <si>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</si>
  <si>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</si>
  <si>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</si>
  <si>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</si>
  <si>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</si>
  <si>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Rock Island</t>
  </si>
  <si>
    <t>1275 Avenue of the Cities</t>
  </si>
  <si>
    <t>East Moline</t>
  </si>
  <si>
    <t>jmorrow@uths.net</t>
  </si>
  <si>
    <t>Dr. Jay Morrow</t>
  </si>
  <si>
    <t>309-752-1622</t>
  </si>
  <si>
    <t>309-752-1615</t>
  </si>
  <si>
    <t>Bohnsack &amp; Frommelt LLP</t>
  </si>
  <si>
    <t>Sarah Bohnsack</t>
  </si>
  <si>
    <t>1500 River Drive, Suite 200</t>
  </si>
  <si>
    <t>Moline</t>
  </si>
  <si>
    <t>IL</t>
  </si>
  <si>
    <t>563-343-9595</t>
  </si>
  <si>
    <t>066.004397</t>
  </si>
  <si>
    <t>sarah@governmentalservice.com</t>
  </si>
  <si>
    <t>All Member Districts</t>
  </si>
  <si>
    <t>UTHS District 30</t>
  </si>
  <si>
    <t>UT Area Career Center</t>
  </si>
  <si>
    <t>Revenues 1999:  QCRVS / Other revenue from Counselor Academy</t>
  </si>
  <si>
    <t>Unmodified</t>
  </si>
  <si>
    <t>N/A</t>
  </si>
  <si>
    <t>X</t>
  </si>
  <si>
    <t>None</t>
  </si>
  <si>
    <t>U.S. Department of Education</t>
  </si>
  <si>
    <t>Pass-Through Illinois State Board of Education:</t>
  </si>
  <si>
    <t>CTE-Perkins-Secondary</t>
  </si>
  <si>
    <t>84.048A</t>
  </si>
  <si>
    <t>18-4745-00</t>
  </si>
  <si>
    <t>17-4745-00</t>
  </si>
  <si>
    <t>Of the federal expenditures presented in the schedule, Quad-City Career &amp; Technical Education Consortium provided federal awards to subrecipients as follows:</t>
  </si>
  <si>
    <t>Revenues 4799:  QC Perkins</t>
  </si>
  <si>
    <r>
      <t xml:space="preserve">The accompanying Schedule of Expenditures of Federal Awards includes the federal grant activity of </t>
    </r>
    <r>
      <rPr>
        <b/>
        <sz val="9"/>
        <rFont val="Calibri"/>
        <family val="2"/>
        <scheme val="minor"/>
      </rPr>
      <t>Quad-City Career &amp; Technical Education Consortium</t>
    </r>
    <r>
      <rPr>
        <sz val="9"/>
        <rFont val="Calibri"/>
        <family val="2"/>
        <scheme val="minor"/>
      </rPr>
      <t xml:space="preserve"> and is presented on the Cash</t>
    </r>
    <r>
      <rPr>
        <b/>
        <sz val="9"/>
        <rFont val="Calibri"/>
        <family val="2"/>
        <scheme val="minor"/>
      </rPr>
      <t xml:space="preserve"> </t>
    </r>
    <r>
      <rPr>
        <sz val="9"/>
        <rFont val="Calibri"/>
        <family val="2"/>
        <scheme val="minor"/>
      </rPr>
      <t>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</si>
  <si>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Quad-City Career &amp; Technical Education Consortium and </t>
    </r>
    <r>
      <rPr>
        <b/>
        <sz val="9"/>
        <rFont val="Calibri"/>
        <family val="2"/>
        <scheme val="minor"/>
      </rPr>
      <t>should be</t>
    </r>
    <r>
      <rPr>
        <sz val="9"/>
        <rFont val="Calibri"/>
        <family val="2"/>
        <scheme val="minor"/>
      </rPr>
      <t xml:space="preserve"> included in the Schedule of Expenditures of Federal Awards:</t>
    </r>
  </si>
  <si>
    <t>Total CTE-Perkins-Secondary / Total Expenditures of Federal Awards</t>
  </si>
  <si>
    <t>Ed - Instruction - Purchased Service</t>
  </si>
  <si>
    <t>10-1000-300</t>
  </si>
  <si>
    <t>Career Cruising</t>
  </si>
  <si>
    <t>Plasmacam</t>
  </si>
  <si>
    <t>IT Online Training</t>
  </si>
  <si>
    <t>Testout Corp</t>
  </si>
  <si>
    <t>Lampo Group</t>
  </si>
  <si>
    <t>QCALM</t>
  </si>
  <si>
    <t>PCMG</t>
  </si>
  <si>
    <t>Amanda Hoover</t>
  </si>
  <si>
    <t>Open Source Classroom</t>
  </si>
  <si>
    <t>Drone Camp</t>
  </si>
  <si>
    <t>United Township Area Career Center</t>
  </si>
  <si>
    <t>Advanced Business Systems</t>
  </si>
  <si>
    <t>Bohnsack and Frommelt</t>
  </si>
  <si>
    <t>Ed-Support Service-General Admin-Purchased Serv</t>
  </si>
  <si>
    <t>10-2300-300</t>
  </si>
  <si>
    <t>10-2100-300</t>
  </si>
  <si>
    <t>10-2200-300</t>
  </si>
  <si>
    <t>Ed-Support Services-Instructional Staff-Purchased Serv</t>
  </si>
  <si>
    <t>Ed-Support Services-Pupil-Purchased Service</t>
  </si>
  <si>
    <t>Cruse, Sharon</t>
  </si>
  <si>
    <t>The QCC TEC previously reported opinion units as of June 30, 2017, on the basis of cash receipts and disbursements which is a comprehensive basis of accounting other than accounting principles generally accepted in the United States of America.  As stated in Note 7 to the basic financial statements for the year ended June 30, 2018, management has reported the statement of net position for the governmental activities and major fund and the balance sheets for the governmental fund as of June 30, 2018 under accounting principles generally accepted in the United States of America.  The beginning net position of the governmental activities has been restated to record the effect of prior cash transactions that would have been reported as assets and liabilities under generally accepted accounting principles.  Management has not restated beginning net position/fund balances for assets earned or liabilities incurred through noncash transactions as of June 30, 2017.  The effect of the change from the basis of cash receipts and disbursements to the basis of accounting principles generally accepted in the United States of America is reported in the statement of activities and the statement of revenues, expenditures and changes in net position/fund balance as current period transactions.  The amount by which this departure would affect the beginning fund balances/net position, and revenues and expenses/expenditures of the governmental activities and major fund has not been determined.</t>
  </si>
  <si>
    <t>Quad-City Career &amp; Tech Ed Consortium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</si>
</sst>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3" fillId="0" borderId="22" xfId="3" applyNumberFormat="1" applyFont="1" applyBorder="1" applyAlignment="1" applyProtection="1">
      <alignment horizontal="left" vertical="center" wrapText="1"/>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285750</xdr:colOff>
          <xdr:row>15</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A34BC6C-57EC-4D92-A66F-8F27539BFAF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285750</xdr:colOff>
          <xdr:row>15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B00367CC-831D-4B3E-B2CB-491690D4F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285750</xdr:colOff>
          <xdr:row>15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4E030743-4254-4741-BCCD-32ECE64F17A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285750</xdr:colOff>
          <xdr:row>15</xdr:row>
          <xdr:rowOff>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5D8485F8-5C1D-4704-BB78-CAA7D66C26A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c r="C5" s="26" t="s">
        <v>966</v>
      </c>
      <c r="D5" s="84"/>
      <c r="E5" s="84"/>
      <c r="H5" s="38"/>
      <c r="I5" s="2047" t="s">
        <v>701</v>
      </c>
      <c r="J5" s="1991"/>
      <c r="K5" s="1991"/>
      <c r="L5" s="1991"/>
      <c r="M5" s="1991"/>
      <c r="N5" s="1991"/>
      <c r="O5" s="1991"/>
      <c r="P5" s="1991"/>
      <c r="Q5" s="1991"/>
      <c r="R5" s="1991"/>
      <c r="S5" s="1991"/>
    </row>
    <row r="6" spans="1:28" ht="14.1" customHeight="1" x14ac:dyDescent="0.2">
      <c r="B6" s="104" t="s">
        <v>2074</v>
      </c>
      <c r="C6" s="26" t="s">
        <v>967</v>
      </c>
      <c r="D6" s="84"/>
      <c r="E6" s="84"/>
      <c r="I6" s="2046" t="s">
        <v>938</v>
      </c>
      <c r="J6" s="1991"/>
      <c r="K6" s="1991"/>
      <c r="L6" s="1991"/>
      <c r="M6" s="1991"/>
      <c r="N6" s="1991"/>
      <c r="O6" s="1991"/>
      <c r="P6" s="1991"/>
      <c r="Q6" s="1991"/>
      <c r="R6" s="1991"/>
      <c r="S6" s="1991"/>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7" t="s">
        <v>554</v>
      </c>
      <c r="U9" s="1988"/>
      <c r="V9" s="1988"/>
      <c r="W9" s="1988"/>
      <c r="X9" s="1988"/>
      <c r="Y9" s="1988"/>
      <c r="Z9" s="1988"/>
      <c r="AA9" s="1989"/>
    </row>
    <row r="10" spans="1:28" ht="13.5" customHeight="1" x14ac:dyDescent="0.2">
      <c r="A10" s="1996" t="s">
        <v>696</v>
      </c>
      <c r="B10" s="1997"/>
      <c r="C10" s="1997"/>
      <c r="D10" s="1997"/>
      <c r="E10" s="1997"/>
      <c r="F10" s="1997"/>
      <c r="G10" s="1997"/>
      <c r="H10" s="1998"/>
      <c r="I10" s="29"/>
      <c r="J10" s="30"/>
      <c r="K10" s="28"/>
      <c r="R10" s="30"/>
      <c r="S10" s="30"/>
      <c r="T10" s="1990"/>
      <c r="U10" s="1991"/>
      <c r="V10" s="1991"/>
      <c r="W10" s="1991"/>
      <c r="X10" s="1991"/>
      <c r="Y10" s="1991"/>
      <c r="Z10" s="1991"/>
      <c r="AA10" s="1992"/>
    </row>
    <row r="11" spans="1:28" ht="14.25" customHeight="1" x14ac:dyDescent="0.2">
      <c r="A11" s="1999" t="s">
        <v>1012</v>
      </c>
      <c r="B11" s="2000"/>
      <c r="C11" s="2000"/>
      <c r="D11" s="2000"/>
      <c r="E11" s="2000"/>
      <c r="F11" s="2000"/>
      <c r="G11" s="2000"/>
      <c r="H11" s="2001"/>
      <c r="I11" s="27"/>
      <c r="J11" s="74"/>
      <c r="K11" s="27"/>
      <c r="O11" s="148" t="s">
        <v>2074</v>
      </c>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7">
        <v>49081030046</v>
      </c>
      <c r="B13" s="2008"/>
      <c r="C13" s="2008"/>
      <c r="D13" s="2008"/>
      <c r="E13" s="2008"/>
      <c r="F13" s="2008"/>
      <c r="G13" s="2008"/>
      <c r="H13" s="2009"/>
      <c r="I13" s="31"/>
      <c r="J13" s="30"/>
      <c r="K13" s="28"/>
      <c r="L13" s="30"/>
      <c r="M13" s="30"/>
      <c r="N13" s="30"/>
      <c r="O13" s="30"/>
      <c r="P13" s="30"/>
      <c r="Q13" s="30"/>
      <c r="R13" s="30"/>
      <c r="S13" s="30"/>
      <c r="T13" s="2012" t="s">
        <v>2082</v>
      </c>
      <c r="U13" s="2013"/>
      <c r="V13" s="2013"/>
      <c r="W13" s="2013"/>
      <c r="X13" s="2013"/>
      <c r="Y13" s="2014"/>
      <c r="Z13" s="2014"/>
      <c r="AA13" s="201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5" t="s">
        <v>2075</v>
      </c>
      <c r="B15" s="2010"/>
      <c r="C15" s="2010"/>
      <c r="D15" s="2010"/>
      <c r="E15" s="2010"/>
      <c r="F15" s="2010"/>
      <c r="G15" s="2010"/>
      <c r="H15" s="2011"/>
      <c r="T15" s="1973" t="s">
        <v>2083</v>
      </c>
      <c r="U15" s="1974"/>
      <c r="V15" s="1974"/>
      <c r="W15" s="1974"/>
      <c r="X15" s="1974"/>
      <c r="Y15" s="2016"/>
      <c r="Z15" s="2016"/>
      <c r="AA15" s="201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5" t="s">
        <v>2132</v>
      </c>
      <c r="B17" s="2036"/>
      <c r="C17" s="2036"/>
      <c r="D17" s="2036"/>
      <c r="E17" s="2036"/>
      <c r="F17" s="2036"/>
      <c r="G17" s="2036"/>
      <c r="H17" s="2037"/>
      <c r="T17" s="2022" t="s">
        <v>2084</v>
      </c>
      <c r="U17" s="2023"/>
      <c r="V17" s="2023"/>
      <c r="W17" s="2023"/>
      <c r="X17" s="2023"/>
      <c r="Y17" s="2023"/>
      <c r="Z17" s="2023"/>
      <c r="AA17" s="2024"/>
    </row>
    <row r="18" spans="1:27" ht="13.5" customHeight="1" x14ac:dyDescent="0.2">
      <c r="A18" s="85" t="s">
        <v>551</v>
      </c>
      <c r="B18" s="76"/>
      <c r="C18" s="72"/>
      <c r="D18" s="76"/>
      <c r="E18" s="76"/>
      <c r="F18" s="76"/>
      <c r="G18" s="76"/>
      <c r="H18" s="56"/>
      <c r="I18" s="2032" t="s">
        <v>697</v>
      </c>
      <c r="J18" s="2033"/>
      <c r="K18" s="2033"/>
      <c r="L18" s="2033"/>
      <c r="M18" s="2033"/>
      <c r="N18" s="2033"/>
      <c r="O18" s="2033"/>
      <c r="P18" s="2033"/>
      <c r="Q18" s="2033"/>
      <c r="R18" s="2033"/>
      <c r="S18" s="2034"/>
      <c r="T18" s="85" t="s">
        <v>735</v>
      </c>
      <c r="U18" s="51"/>
      <c r="V18" s="72"/>
      <c r="W18" s="50"/>
      <c r="X18" s="85" t="s">
        <v>284</v>
      </c>
      <c r="Y18" s="81"/>
      <c r="Z18" s="159" t="s">
        <v>698</v>
      </c>
      <c r="AA18" s="46"/>
    </row>
    <row r="19" spans="1:27" ht="13.5" customHeight="1" x14ac:dyDescent="0.2">
      <c r="A19" s="2005" t="s">
        <v>2076</v>
      </c>
      <c r="B19" s="2006"/>
      <c r="C19" s="2006"/>
      <c r="D19" s="2006"/>
      <c r="E19" s="2006"/>
      <c r="F19" s="2006"/>
      <c r="G19" s="2006"/>
      <c r="H19" s="2004"/>
      <c r="I19" s="30"/>
      <c r="J19" s="99"/>
      <c r="K19" s="40"/>
      <c r="L19" s="38"/>
      <c r="M19" s="112" t="s">
        <v>333</v>
      </c>
      <c r="P19" s="27"/>
      <c r="Q19" s="27"/>
      <c r="R19" s="27"/>
      <c r="S19" s="31"/>
      <c r="T19" s="2005" t="s">
        <v>2085</v>
      </c>
      <c r="U19" s="2003"/>
      <c r="V19" s="2003"/>
      <c r="W19" s="2004"/>
      <c r="X19" s="2020" t="s">
        <v>2086</v>
      </c>
      <c r="Y19" s="2021"/>
      <c r="Z19" s="2018">
        <v>61265</v>
      </c>
      <c r="AA19" s="201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2" t="s">
        <v>2077</v>
      </c>
      <c r="B21" s="2003"/>
      <c r="C21" s="2003"/>
      <c r="D21" s="2003"/>
      <c r="E21" s="2003"/>
      <c r="F21" s="2003"/>
      <c r="G21" s="2003"/>
      <c r="H21" s="2004"/>
      <c r="I21" s="2028" t="s">
        <v>699</v>
      </c>
      <c r="J21" s="1991"/>
      <c r="K21" s="1991"/>
      <c r="L21" s="1991"/>
      <c r="M21" s="1991"/>
      <c r="N21" s="1991"/>
      <c r="O21" s="1991"/>
      <c r="P21" s="1991"/>
      <c r="Q21" s="1991"/>
      <c r="R21" s="1991"/>
      <c r="S21" s="1992"/>
      <c r="T21" s="1970" t="s">
        <v>2087</v>
      </c>
      <c r="U21" s="1971"/>
      <c r="V21" s="1971"/>
      <c r="W21" s="1971"/>
      <c r="X21" s="1984"/>
      <c r="Y21" s="1985"/>
      <c r="Z21" s="1985"/>
      <c r="AA21" s="1986"/>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5" t="s">
        <v>2078</v>
      </c>
      <c r="B23" s="2026"/>
      <c r="C23" s="2026"/>
      <c r="D23" s="2026"/>
      <c r="E23" s="2026"/>
      <c r="F23" s="2026"/>
      <c r="G23" s="2026"/>
      <c r="H23" s="2027"/>
      <c r="T23" s="1965" t="s">
        <v>2088</v>
      </c>
      <c r="U23" s="1966"/>
      <c r="V23" s="1966"/>
      <c r="W23" s="1966"/>
      <c r="X23" s="1981">
        <v>44530</v>
      </c>
      <c r="Y23" s="1982"/>
      <c r="Z23" s="1982"/>
      <c r="AA23" s="1983"/>
    </row>
    <row r="24" spans="1:27" ht="14.1" customHeight="1" x14ac:dyDescent="0.2">
      <c r="A24" s="88" t="s">
        <v>698</v>
      </c>
      <c r="B24" s="49"/>
      <c r="C24" s="49"/>
      <c r="D24" s="49"/>
      <c r="E24" s="49"/>
      <c r="F24" s="49"/>
      <c r="G24" s="49"/>
      <c r="H24" s="61"/>
      <c r="J24" s="2068" t="str">
        <f>IF(B5="x",IF(AUDITCHECK!D29="AFR form Incomplete.","",IF(AUDITCHECK!D29="Deficit reduction plan is required.","School District must complete a deficit reduction plan in the 2018-2019 Budget",)),"")</f>
        <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2">
        <v>61244</v>
      </c>
      <c r="B25" s="2003"/>
      <c r="C25" s="2003"/>
      <c r="D25" s="2003"/>
      <c r="E25" s="2003"/>
      <c r="F25" s="2003"/>
      <c r="G25" s="2003"/>
      <c r="H25" s="2004"/>
      <c r="I25" s="113"/>
      <c r="J25" s="2070"/>
      <c r="K25" s="2070"/>
      <c r="L25" s="2070"/>
      <c r="M25" s="2070"/>
      <c r="N25" s="2070"/>
      <c r="O25" s="2070"/>
      <c r="P25" s="2070"/>
      <c r="Q25" s="2070"/>
      <c r="R25" s="2070"/>
      <c r="S25" s="2071"/>
      <c r="T25" s="1962" t="s">
        <v>2089</v>
      </c>
      <c r="U25" s="1963"/>
      <c r="V25" s="1963"/>
      <c r="W25" s="1963"/>
      <c r="X25" s="1963"/>
      <c r="Y25" s="1963"/>
      <c r="Z25" s="1963"/>
      <c r="AA25" s="19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3"/>
      <c r="K27" s="2033"/>
      <c r="L27" s="2033"/>
      <c r="M27" s="2033"/>
      <c r="N27" s="2033"/>
      <c r="O27" s="2033"/>
      <c r="P27" s="2033"/>
      <c r="Q27" s="2033"/>
      <c r="R27" s="2033"/>
      <c r="S27" s="203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2096</v>
      </c>
      <c r="C29" s="124" t="s">
        <v>874</v>
      </c>
      <c r="D29" s="114"/>
      <c r="E29" s="136"/>
      <c r="F29" s="141" t="s">
        <v>1383</v>
      </c>
      <c r="G29" s="114"/>
      <c r="I29" s="54"/>
      <c r="J29" s="102"/>
      <c r="K29" s="28" t="s">
        <v>597</v>
      </c>
      <c r="L29" s="148" t="s">
        <v>2074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2003"/>
      <c r="R35" s="200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5" t="s">
        <v>2079</v>
      </c>
      <c r="B38" s="2036"/>
      <c r="C38" s="2036"/>
      <c r="D38" s="2036"/>
      <c r="E38" s="2036"/>
      <c r="F38" s="2003"/>
      <c r="G38" s="2003"/>
      <c r="H38" s="2004"/>
      <c r="I38" s="2055"/>
      <c r="J38" s="1974"/>
      <c r="K38" s="1974"/>
      <c r="L38" s="1974"/>
      <c r="M38" s="1974"/>
      <c r="N38" s="1974"/>
      <c r="O38" s="1974"/>
      <c r="P38" s="1975"/>
      <c r="Q38" s="1975"/>
      <c r="R38" s="1975"/>
      <c r="S38" s="1976"/>
      <c r="T38" s="1973"/>
      <c r="U38" s="1974"/>
      <c r="V38" s="1974"/>
      <c r="W38" s="1974"/>
      <c r="X38" s="1975"/>
      <c r="Y38" s="1975"/>
      <c r="Z38" s="1975"/>
      <c r="AA38" s="1976"/>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t="s">
        <v>2078</v>
      </c>
      <c r="B40" s="2063"/>
      <c r="C40" s="2064"/>
      <c r="D40" s="2064"/>
      <c r="E40" s="2064"/>
      <c r="F40" s="2065"/>
      <c r="G40" s="2065"/>
      <c r="H40" s="2066"/>
      <c r="I40" s="1977"/>
      <c r="J40" s="1979"/>
      <c r="K40" s="1979"/>
      <c r="L40" s="1979"/>
      <c r="M40" s="1979"/>
      <c r="N40" s="1979"/>
      <c r="O40" s="1979"/>
      <c r="P40" s="1979"/>
      <c r="Q40" s="1979"/>
      <c r="R40" s="1979"/>
      <c r="S40" s="1980"/>
      <c r="T40" s="1977"/>
      <c r="U40" s="1978"/>
      <c r="V40" s="1979"/>
      <c r="W40" s="1979"/>
      <c r="X40" s="1979"/>
      <c r="Y40" s="1979"/>
      <c r="Z40" s="1979"/>
      <c r="AA40" s="198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t="s">
        <v>2080</v>
      </c>
      <c r="B42" s="2053"/>
      <c r="C42" s="2054"/>
      <c r="D42" s="2067" t="s">
        <v>2081</v>
      </c>
      <c r="E42" s="2053"/>
      <c r="F42" s="2053"/>
      <c r="G42" s="2053"/>
      <c r="H42" s="2054"/>
      <c r="I42" s="1972"/>
      <c r="J42" s="1968"/>
      <c r="K42" s="1968"/>
      <c r="L42" s="1968"/>
      <c r="M42" s="1968"/>
      <c r="N42" s="1968"/>
      <c r="O42" s="1969"/>
      <c r="P42" s="1967"/>
      <c r="Q42" s="1968"/>
      <c r="R42" s="1968"/>
      <c r="S42" s="1969"/>
      <c r="T42" s="1972"/>
      <c r="U42" s="1968"/>
      <c r="V42" s="1968"/>
      <c r="W42" s="1969"/>
      <c r="X42" s="1967"/>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6"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2096</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2131</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2082</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2163973</v>
      </c>
      <c r="E16" s="356"/>
      <c r="F16" s="1755">
        <f>SUM('Acct Summary 7-8'!C17,'Acct Summary 7-8'!D17,'Acct Summary 7-8'!F17)</f>
        <v>1966900</v>
      </c>
      <c r="G16" s="356"/>
      <c r="H16" s="1755">
        <f>SUM(D16-F16)</f>
        <v>197073</v>
      </c>
      <c r="I16" s="222"/>
      <c r="J16" s="1755">
        <f>SUM('Acct Summary 7-8'!C81,'Acct Summary 7-8'!D81,'Acct Summary 7-8'!F81,'Acct Summary 7-8'!I81)</f>
        <v>47022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Quad-City Career &amp; Tech Ed Consortium</v>
      </c>
      <c r="E7" s="391"/>
      <c r="G7" s="252"/>
      <c r="H7" s="387"/>
      <c r="I7" s="387"/>
      <c r="J7" s="387"/>
      <c r="K7" s="387"/>
      <c r="L7" s="329"/>
      <c r="M7" s="329"/>
      <c r="N7" s="329"/>
      <c r="O7" s="329"/>
      <c r="P7" s="329"/>
    </row>
    <row r="8" spans="1:18" ht="12.75" x14ac:dyDescent="0.2">
      <c r="A8" s="329"/>
      <c r="B8" s="329"/>
      <c r="C8" s="389" t="s">
        <v>1187</v>
      </c>
      <c r="D8" s="392">
        <f>COVER!A13</f>
        <v>49081030046</v>
      </c>
      <c r="E8" s="393"/>
      <c r="G8" s="329"/>
      <c r="H8" s="329"/>
      <c r="I8" s="329"/>
      <c r="J8" s="329"/>
      <c r="K8" s="329"/>
      <c r="L8" s="329"/>
      <c r="M8" s="329"/>
      <c r="N8" s="329"/>
      <c r="O8" s="329"/>
      <c r="P8" s="329"/>
    </row>
    <row r="9" spans="1:18" ht="12.75" x14ac:dyDescent="0.2">
      <c r="A9" s="329"/>
      <c r="B9" s="329"/>
      <c r="C9" s="389" t="s">
        <v>737</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47022</v>
      </c>
      <c r="I12" s="404"/>
      <c r="J12" s="404"/>
      <c r="K12" s="405">
        <f>TRUNC((H12/H13*100000),5)/100000</f>
        <v>2.17294762E-2</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2163973</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1966900</v>
      </c>
      <c r="I17" s="404"/>
      <c r="J17" s="416"/>
      <c r="K17" s="405">
        <f>TRUNC((H17/H18*100000),5)/100000</f>
        <v>0.90893000969999993</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2163973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47022</v>
      </c>
      <c r="I24" s="422"/>
      <c r="J24" s="422"/>
      <c r="K24" s="423">
        <f>TRUNC(((H24/H25*100000)/100000),2)</f>
        <v>8.6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5463.6111099999998</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22" zoomScaleNormal="122" workbookViewId="0">
      <pane ySplit="2" topLeftCell="A27" activePane="bottomLeft" state="frozen"/>
      <selection activeCell="A47" sqref="A47"/>
      <selection pane="bottomLeft" activeCell="M37" sqref="M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81"/>
      <c r="D3" s="1582"/>
      <c r="E3" s="1582"/>
      <c r="F3" s="1582"/>
      <c r="G3" s="1582"/>
      <c r="H3" s="1582"/>
      <c r="I3" s="1582"/>
      <c r="J3" s="1582"/>
      <c r="K3" s="1582"/>
      <c r="L3" s="1582"/>
      <c r="M3" s="1583"/>
      <c r="N3" s="1584"/>
    </row>
    <row r="4" spans="1:14" ht="13.5" customHeight="1" x14ac:dyDescent="0.2">
      <c r="A4" s="463" t="s">
        <v>1750</v>
      </c>
      <c r="B4" s="464"/>
      <c r="C4" s="465">
        <f>37495+9527</f>
        <v>47022</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47022</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32" t="s">
        <v>149</v>
      </c>
      <c r="B14" s="2133"/>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152607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152607</v>
      </c>
      <c r="N23" s="1710">
        <f>SUM(N21:N22)</f>
        <v>0</v>
      </c>
    </row>
    <row r="24" spans="1:14" ht="18" customHeight="1" thickTop="1" x14ac:dyDescent="0.2">
      <c r="A24" s="2134" t="s">
        <v>619</v>
      </c>
      <c r="B24" s="2135"/>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6" t="s">
        <v>550</v>
      </c>
      <c r="B35" s="213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f>37495+9527</f>
        <v>47022</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152607</v>
      </c>
      <c r="N40" s="497"/>
    </row>
    <row r="41" spans="1:14" ht="13.5" customHeight="1" thickBot="1" x14ac:dyDescent="0.25">
      <c r="A41" s="1758" t="s">
        <v>676</v>
      </c>
      <c r="B41" s="1728"/>
      <c r="C41" s="1710">
        <f>(SUM(C34,C37,C38,C39))</f>
        <v>47022</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152607</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23" sqref="J23"/>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5"/>
      <c r="D3" s="1596"/>
      <c r="E3" s="1596"/>
      <c r="F3" s="1596"/>
      <c r="G3" s="1596"/>
      <c r="H3" s="1596"/>
      <c r="I3" s="1596"/>
      <c r="J3" s="1596"/>
      <c r="K3" s="1597"/>
      <c r="L3" s="506"/>
    </row>
    <row r="4" spans="1:13" ht="15.75" customHeight="1" x14ac:dyDescent="0.2">
      <c r="A4" s="1953" t="s">
        <v>1579</v>
      </c>
      <c r="B4" s="1954">
        <v>1000</v>
      </c>
      <c r="C4" s="1764">
        <f>'Revenues 9-14'!C109</f>
        <v>24771</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1821688</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317514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2163973</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2163973</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32" t="s">
        <v>1238</v>
      </c>
      <c r="B11" s="2133"/>
      <c r="C11" s="1592"/>
      <c r="D11" s="1593"/>
      <c r="E11" s="1593"/>
      <c r="F11" s="1593"/>
      <c r="G11" s="1593"/>
      <c r="H11" s="1593"/>
      <c r="I11" s="1593"/>
      <c r="J11" s="1593"/>
      <c r="K11" s="1594"/>
      <c r="L11" s="518"/>
    </row>
    <row r="12" spans="1:13" ht="15.75" customHeight="1" x14ac:dyDescent="0.2">
      <c r="A12" s="1598" t="s">
        <v>476</v>
      </c>
      <c r="B12" s="1600">
        <v>1000</v>
      </c>
      <c r="C12" s="1764">
        <f>'Expenditures 15-22'!K33</f>
        <v>312908</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245727</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624</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1407641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1966900</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1966900</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8" t="s">
        <v>1754</v>
      </c>
      <c r="B20" s="2149"/>
      <c r="C20" s="1768">
        <f>C8-C17</f>
        <v>197073</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60" t="s">
        <v>616</v>
      </c>
      <c r="B21" s="2161"/>
      <c r="C21" s="1592"/>
      <c r="D21" s="1593"/>
      <c r="E21" s="1593"/>
      <c r="F21" s="1593"/>
      <c r="G21" s="1593"/>
      <c r="H21" s="1593"/>
      <c r="I21" s="1593"/>
      <c r="J21" s="1593"/>
      <c r="K21" s="1594"/>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8" t="s">
        <v>460</v>
      </c>
      <c r="B76" s="2139"/>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0" t="s">
        <v>1239</v>
      </c>
      <c r="B77" s="2141"/>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4" t="s">
        <v>618</v>
      </c>
      <c r="B78" s="2145"/>
      <c r="C78" s="1724">
        <f t="shared" ref="C78:K78" si="9">C20+C77</f>
        <v>197073</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2070</v>
      </c>
      <c r="B79" s="534"/>
      <c r="C79" s="478">
        <v>-150051</v>
      </c>
      <c r="D79" s="535"/>
      <c r="E79" s="535"/>
      <c r="F79" s="535"/>
      <c r="G79" s="535"/>
      <c r="H79" s="535"/>
      <c r="I79" s="535"/>
      <c r="J79" s="535"/>
      <c r="K79" s="535"/>
      <c r="L79" s="347"/>
    </row>
    <row r="80" spans="1:12" x14ac:dyDescent="0.2">
      <c r="A80" s="2150" t="s">
        <v>1895</v>
      </c>
      <c r="B80" s="2151"/>
      <c r="C80" s="467">
        <v>0</v>
      </c>
      <c r="D80" s="467"/>
      <c r="E80" s="467"/>
      <c r="F80" s="467"/>
      <c r="G80" s="467"/>
      <c r="H80" s="467"/>
      <c r="I80" s="467"/>
      <c r="J80" s="467"/>
      <c r="K80" s="467"/>
      <c r="L80" s="347"/>
    </row>
    <row r="81" spans="1:12" ht="13.5" thickBot="1" x14ac:dyDescent="0.25">
      <c r="A81" s="2142" t="s">
        <v>2071</v>
      </c>
      <c r="B81" s="2143"/>
      <c r="C81" s="1710">
        <f>(SUM(C78:C80))</f>
        <v>47022</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197073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4.1910807707030751</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23" sqref="J23"/>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1902</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1468</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1468</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21928</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1375</v>
      </c>
      <c r="D107" s="466"/>
      <c r="E107" s="466"/>
      <c r="F107" s="466"/>
      <c r="G107" s="466"/>
      <c r="H107" s="466"/>
      <c r="I107" s="466"/>
      <c r="J107" s="467"/>
      <c r="K107" s="466"/>
    </row>
    <row r="108" spans="1:12" ht="12.75" customHeight="1" thickBot="1" x14ac:dyDescent="0.25">
      <c r="A108" s="1730" t="s">
        <v>508</v>
      </c>
      <c r="B108" s="1734"/>
      <c r="C108" s="1729">
        <f>SUM(C95:C107)</f>
        <v>23303</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24771</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1821688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1821688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6" t="s">
        <v>418</v>
      </c>
      <c r="B172" s="2167"/>
      <c r="C172" s="1744">
        <f t="shared" ref="C172:K172" si="6">SUM(C131,C140,C144,C145:C149,C154,C155:C170,C171)</f>
        <v>1821688</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1821688</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0" t="s">
        <v>1903</v>
      </c>
      <c r="B185" s="2171"/>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f>307987+9527</f>
        <v>317514</v>
      </c>
      <c r="D227" s="466"/>
      <c r="E227" s="468"/>
      <c r="F227" s="468"/>
      <c r="G227" s="466"/>
      <c r="H227" s="468"/>
      <c r="I227" s="468"/>
      <c r="J227" s="468"/>
      <c r="K227" s="468"/>
    </row>
    <row r="228" spans="1:11" ht="12.75" customHeight="1" thickBot="1" x14ac:dyDescent="0.25">
      <c r="A228" s="1745" t="s">
        <v>1145</v>
      </c>
      <c r="B228" s="1746"/>
      <c r="C228" s="1729">
        <f>SUM(C226:C227)</f>
        <v>317514</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317514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317514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2163973</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84" activePane="bottomLeft" state="frozen"/>
      <selection activeCell="J23" sqref="J23"/>
      <selection pane="bottomLeft" activeCell="L99" sqref="L9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62903</v>
      </c>
      <c r="D13" s="466">
        <v>20910</v>
      </c>
      <c r="E13" s="466">
        <v>18264</v>
      </c>
      <c r="F13" s="466">
        <f>100476+309</f>
        <v>100785</v>
      </c>
      <c r="G13" s="466">
        <v>109831</v>
      </c>
      <c r="H13" s="466">
        <v>215</v>
      </c>
      <c r="I13" s="467"/>
      <c r="J13" s="467"/>
      <c r="K13" s="1693">
        <f t="shared" si="0"/>
        <v>312908</v>
      </c>
      <c r="L13" s="466">
        <v>292323</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62903</v>
      </c>
      <c r="D33" s="1692">
        <f t="shared" ref="D33:L33" si="1">SUM(D5:D32)</f>
        <v>20910</v>
      </c>
      <c r="E33" s="1692">
        <f t="shared" si="1"/>
        <v>18264</v>
      </c>
      <c r="F33" s="1692">
        <f t="shared" si="1"/>
        <v>100785</v>
      </c>
      <c r="G33" s="1692">
        <f t="shared" si="1"/>
        <v>109831</v>
      </c>
      <c r="H33" s="1692">
        <f t="shared" si="1"/>
        <v>215</v>
      </c>
      <c r="I33" s="1692">
        <f t="shared" si="1"/>
        <v>0</v>
      </c>
      <c r="J33" s="1692">
        <f t="shared" si="1"/>
        <v>0</v>
      </c>
      <c r="K33" s="1692">
        <f t="shared" si="1"/>
        <v>312908</v>
      </c>
      <c r="L33" s="1692">
        <f t="shared" si="1"/>
        <v>292323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16834</v>
      </c>
      <c r="D37" s="466">
        <v>3308</v>
      </c>
      <c r="E37" s="466">
        <v>6758</v>
      </c>
      <c r="F37" s="466">
        <v>1011</v>
      </c>
      <c r="G37" s="466"/>
      <c r="H37" s="466"/>
      <c r="I37" s="467"/>
      <c r="J37" s="467"/>
      <c r="K37" s="1693">
        <f t="shared" si="2"/>
        <v>27911</v>
      </c>
      <c r="L37" s="466">
        <v>36763</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16834</v>
      </c>
      <c r="D42" s="1692">
        <f t="shared" ref="D42:L42" si="3">SUM(D36:D41)</f>
        <v>3308</v>
      </c>
      <c r="E42" s="1692">
        <f t="shared" si="3"/>
        <v>6758</v>
      </c>
      <c r="F42" s="1692">
        <f t="shared" si="3"/>
        <v>1011</v>
      </c>
      <c r="G42" s="1692">
        <f t="shared" si="3"/>
        <v>0</v>
      </c>
      <c r="H42" s="1692">
        <f t="shared" si="3"/>
        <v>0</v>
      </c>
      <c r="I42" s="1692">
        <f t="shared" si="3"/>
        <v>0</v>
      </c>
      <c r="J42" s="1692">
        <f t="shared" si="3"/>
        <v>0</v>
      </c>
      <c r="K42" s="1692">
        <f t="shared" si="3"/>
        <v>27911</v>
      </c>
      <c r="L42" s="1692">
        <f t="shared" si="3"/>
        <v>36763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55784</v>
      </c>
      <c r="D44" s="481">
        <v>12172</v>
      </c>
      <c r="E44" s="481">
        <v>28058</v>
      </c>
      <c r="F44" s="481"/>
      <c r="G44" s="481"/>
      <c r="H44" s="481"/>
      <c r="I44" s="467"/>
      <c r="J44" s="467"/>
      <c r="K44" s="1694">
        <f>SUM(C44:J44)</f>
        <v>96014</v>
      </c>
      <c r="L44" s="481">
        <v>230345</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55784</v>
      </c>
      <c r="D47" s="1692">
        <f t="shared" ref="D47:K47" si="4">SUM(D44:D46)</f>
        <v>12172</v>
      </c>
      <c r="E47" s="1692">
        <f t="shared" si="4"/>
        <v>28058</v>
      </c>
      <c r="F47" s="1692">
        <f t="shared" si="4"/>
        <v>0</v>
      </c>
      <c r="G47" s="1692">
        <f t="shared" si="4"/>
        <v>0</v>
      </c>
      <c r="H47" s="1692">
        <f t="shared" si="4"/>
        <v>0</v>
      </c>
      <c r="I47" s="1692">
        <f t="shared" si="4"/>
        <v>0</v>
      </c>
      <c r="J47" s="1692">
        <f t="shared" si="4"/>
        <v>0</v>
      </c>
      <c r="K47" s="1692">
        <f t="shared" si="4"/>
        <v>96014</v>
      </c>
      <c r="L47" s="1692">
        <f>SUM(L44:L46)</f>
        <v>230345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v>77123</v>
      </c>
      <c r="D51" s="466">
        <v>20458</v>
      </c>
      <c r="E51" s="466">
        <v>9493</v>
      </c>
      <c r="F51" s="466">
        <v>351</v>
      </c>
      <c r="G51" s="466"/>
      <c r="H51" s="466"/>
      <c r="I51" s="467"/>
      <c r="J51" s="467"/>
      <c r="K51" s="1694">
        <f>SUM(C51:J51)</f>
        <v>107425</v>
      </c>
      <c r="L51" s="466">
        <v>115533</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77123</v>
      </c>
      <c r="D53" s="1692">
        <f t="shared" ref="D53:L53" si="5">SUM(D49:D52)</f>
        <v>20458</v>
      </c>
      <c r="E53" s="1692">
        <f t="shared" si="5"/>
        <v>9493</v>
      </c>
      <c r="F53" s="1692">
        <f t="shared" si="5"/>
        <v>351</v>
      </c>
      <c r="G53" s="1692">
        <f t="shared" si="5"/>
        <v>0</v>
      </c>
      <c r="H53" s="1692">
        <f t="shared" si="5"/>
        <v>0</v>
      </c>
      <c r="I53" s="1692">
        <f t="shared" si="5"/>
        <v>0</v>
      </c>
      <c r="J53" s="1692">
        <f t="shared" si="5"/>
        <v>0</v>
      </c>
      <c r="K53" s="1692">
        <f t="shared" si="5"/>
        <v>107425</v>
      </c>
      <c r="L53" s="1692">
        <f t="shared" si="5"/>
        <v>115533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5051</v>
      </c>
      <c r="D60" s="466">
        <v>970</v>
      </c>
      <c r="E60" s="466">
        <v>20</v>
      </c>
      <c r="F60" s="466"/>
      <c r="G60" s="466"/>
      <c r="H60" s="466"/>
      <c r="I60" s="467"/>
      <c r="J60" s="467"/>
      <c r="K60" s="1694">
        <f t="shared" si="7"/>
        <v>6041</v>
      </c>
      <c r="L60" s="466">
        <v>6585</v>
      </c>
      <c r="M60" s="610"/>
      <c r="N60" s="610"/>
    </row>
    <row r="61" spans="1:14" s="343" customFormat="1" x14ac:dyDescent="0.2">
      <c r="A61" s="1526" t="s">
        <v>206</v>
      </c>
      <c r="B61" s="615">
        <v>2540</v>
      </c>
      <c r="C61" s="466"/>
      <c r="D61" s="466"/>
      <c r="E61" s="466">
        <v>6758</v>
      </c>
      <c r="F61" s="466">
        <v>1578</v>
      </c>
      <c r="G61" s="466"/>
      <c r="H61" s="466"/>
      <c r="I61" s="467"/>
      <c r="J61" s="467"/>
      <c r="K61" s="1694">
        <f t="shared" si="7"/>
        <v>8336</v>
      </c>
      <c r="L61" s="466">
        <v>16672</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5051</v>
      </c>
      <c r="D65" s="1692">
        <f t="shared" ref="D65:L65" si="8">SUM(D59:D64)</f>
        <v>970</v>
      </c>
      <c r="E65" s="1692">
        <f t="shared" si="8"/>
        <v>6778</v>
      </c>
      <c r="F65" s="1692">
        <f t="shared" si="8"/>
        <v>1578</v>
      </c>
      <c r="G65" s="1692">
        <f t="shared" si="8"/>
        <v>0</v>
      </c>
      <c r="H65" s="1692">
        <f t="shared" si="8"/>
        <v>0</v>
      </c>
      <c r="I65" s="1692">
        <f t="shared" si="8"/>
        <v>0</v>
      </c>
      <c r="J65" s="1692">
        <f t="shared" si="8"/>
        <v>0</v>
      </c>
      <c r="K65" s="1692">
        <f t="shared" si="8"/>
        <v>14377</v>
      </c>
      <c r="L65" s="1692">
        <f t="shared" si="8"/>
        <v>23257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154792</v>
      </c>
      <c r="D74" s="1699">
        <f t="shared" ref="D74:K74" si="10">SUM(D42,D47,D53,D57,D65,D72,D73)</f>
        <v>36908</v>
      </c>
      <c r="E74" s="1699">
        <f t="shared" si="10"/>
        <v>51087</v>
      </c>
      <c r="F74" s="1699">
        <f t="shared" si="10"/>
        <v>2940</v>
      </c>
      <c r="G74" s="1699">
        <f t="shared" si="10"/>
        <v>0</v>
      </c>
      <c r="H74" s="1699">
        <f t="shared" si="10"/>
        <v>0</v>
      </c>
      <c r="I74" s="1699">
        <f t="shared" si="10"/>
        <v>0</v>
      </c>
      <c r="J74" s="1699">
        <f t="shared" si="10"/>
        <v>0</v>
      </c>
      <c r="K74" s="1699">
        <f t="shared" si="10"/>
        <v>245727</v>
      </c>
      <c r="L74" s="1699">
        <f>SUM(L42,L47,L53,L57,L65,L72,L73)</f>
        <v>405898</v>
      </c>
    </row>
    <row r="75" spans="1:14" s="259" customFormat="1" ht="15.75" customHeight="1" thickTop="1" thickBot="1" x14ac:dyDescent="0.25">
      <c r="A75" s="1632" t="s">
        <v>49</v>
      </c>
      <c r="B75" s="1633" t="s">
        <v>596</v>
      </c>
      <c r="C75" s="573"/>
      <c r="D75" s="573"/>
      <c r="E75" s="573">
        <v>524</v>
      </c>
      <c r="F75" s="573">
        <v>100</v>
      </c>
      <c r="G75" s="573"/>
      <c r="H75" s="573"/>
      <c r="I75" s="531"/>
      <c r="J75" s="531"/>
      <c r="K75" s="1692">
        <f>SUM(C75:J75)</f>
        <v>624</v>
      </c>
      <c r="L75" s="576">
        <v>1000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8102</v>
      </c>
      <c r="F81" s="617"/>
      <c r="G81" s="617"/>
      <c r="H81" s="466">
        <v>6167</v>
      </c>
      <c r="I81" s="477"/>
      <c r="J81" s="477"/>
      <c r="K81" s="1693">
        <f t="shared" si="11"/>
        <v>14269</v>
      </c>
      <c r="L81" s="466">
        <v>21394</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8102</v>
      </c>
      <c r="F84" s="617"/>
      <c r="G84" s="617"/>
      <c r="H84" s="1692">
        <f>SUM(H78:H83)</f>
        <v>6167</v>
      </c>
      <c r="I84" s="477"/>
      <c r="J84" s="477"/>
      <c r="K84" s="1692">
        <f>SUM(K78:K83)</f>
        <v>14269</v>
      </c>
      <c r="L84" s="1692">
        <f>SUM(L78:L83)</f>
        <v>21394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v>1393372</v>
      </c>
      <c r="I96" s="477"/>
      <c r="J96" s="477"/>
      <c r="K96" s="1699">
        <f t="shared" si="12"/>
        <v>1393372</v>
      </c>
      <c r="L96" s="530">
        <v>1433372</v>
      </c>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v>150051</v>
      </c>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1393372</v>
      </c>
      <c r="I100" s="477"/>
      <c r="J100" s="477"/>
      <c r="K100" s="1699">
        <f>SUM(K93:K99)</f>
        <v>1393372</v>
      </c>
      <c r="L100" s="1699">
        <f>SUM(L93:L99)</f>
        <v>1583423</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8102</v>
      </c>
      <c r="F102" s="617"/>
      <c r="G102" s="617"/>
      <c r="H102" s="1699">
        <f>SUM(H84,H92,H100,H101)</f>
        <v>1399539</v>
      </c>
      <c r="I102" s="477"/>
      <c r="J102" s="477"/>
      <c r="K102" s="1699">
        <f>SUM(K84,K92,K100,K101)</f>
        <v>1407641</v>
      </c>
      <c r="L102" s="1699">
        <f>SUM(L84,L92,L100,L101)</f>
        <v>1604817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217695</v>
      </c>
      <c r="D114" s="1692">
        <f t="shared" ref="D114:K114" si="13">SUM(D33,D74,D75,D102,D112,D113)</f>
        <v>57818</v>
      </c>
      <c r="E114" s="1692">
        <f t="shared" si="13"/>
        <v>77977</v>
      </c>
      <c r="F114" s="1692">
        <f t="shared" si="13"/>
        <v>103825</v>
      </c>
      <c r="G114" s="1692">
        <f t="shared" si="13"/>
        <v>109831</v>
      </c>
      <c r="H114" s="1692">
        <f>SUM(H33,H74,H75,H102,H112,H113)</f>
        <v>1399754</v>
      </c>
      <c r="I114" s="1692">
        <f t="shared" si="13"/>
        <v>0</v>
      </c>
      <c r="J114" s="1692">
        <f t="shared" si="13"/>
        <v>0</v>
      </c>
      <c r="K114" s="1692">
        <f t="shared" si="13"/>
        <v>1966900</v>
      </c>
      <c r="L114" s="1692">
        <f>SUM(L33,L74,L75,L102,L112,L113)</f>
        <v>2304038</v>
      </c>
    </row>
    <row r="115" spans="1:14" ht="13.5" thickTop="1" x14ac:dyDescent="0.2">
      <c r="A115" s="2203" t="s">
        <v>1053</v>
      </c>
      <c r="B115" s="2204"/>
      <c r="C115" s="619"/>
      <c r="D115" s="619"/>
      <c r="E115" s="619"/>
      <c r="F115" s="619"/>
      <c r="G115" s="619"/>
      <c r="H115" s="619"/>
      <c r="I115" s="619"/>
      <c r="J115" s="619"/>
      <c r="K115" s="1706">
        <f>'Revenues 9-14'!C275-'Expenditures 15-22'!K114</f>
        <v>197073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3" t="s">
        <v>641</v>
      </c>
      <c r="B151" s="2175"/>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6" t="s">
        <v>1240</v>
      </c>
      <c r="B152" s="2197"/>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203" t="s">
        <v>1053</v>
      </c>
      <c r="B175" s="2204"/>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203" t="s">
        <v>1053</v>
      </c>
      <c r="B211" s="2204"/>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4" t="s">
        <v>526</v>
      </c>
      <c r="B295" s="2195"/>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203" t="s">
        <v>1053</v>
      </c>
      <c r="B296" s="2204"/>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1" t="s">
        <v>295</v>
      </c>
      <c r="B312" s="2192"/>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7" t="s">
        <v>1053</v>
      </c>
      <c r="B313" s="2188"/>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9" t="s">
        <v>1053</v>
      </c>
      <c r="B343" s="2190"/>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3" t="s">
        <v>1053</v>
      </c>
      <c r="B368" s="2204"/>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5" t="s">
        <v>1902</v>
      </c>
      <c r="B2" s="1550" t="s">
        <v>2034</v>
      </c>
      <c r="C2" s="715" t="s">
        <v>1907</v>
      </c>
      <c r="D2" s="715" t="s">
        <v>1908</v>
      </c>
      <c r="E2" s="715" t="s">
        <v>1909</v>
      </c>
      <c r="F2" s="715" t="s">
        <v>1910</v>
      </c>
    </row>
    <row r="3" spans="1:6" ht="12" customHeight="1" x14ac:dyDescent="0.2">
      <c r="A3" s="2206"/>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12"/>
      <c r="C1" s="722"/>
    </row>
    <row r="2" spans="1:7" ht="33.75" x14ac:dyDescent="0.2">
      <c r="A2" s="2220" t="s">
        <v>1902</v>
      </c>
      <c r="B2" s="2221"/>
      <c r="C2" s="1908" t="s">
        <v>2035</v>
      </c>
      <c r="D2" s="724" t="s">
        <v>2042</v>
      </c>
      <c r="E2" s="724" t="s">
        <v>2043</v>
      </c>
      <c r="F2" s="1908" t="s">
        <v>2036</v>
      </c>
    </row>
    <row r="3" spans="1:7" ht="15.75" customHeight="1" x14ac:dyDescent="0.2">
      <c r="A3" s="2224" t="s">
        <v>1176</v>
      </c>
      <c r="B3" s="2225"/>
      <c r="C3" s="2213"/>
      <c r="D3" s="2214"/>
      <c r="E3" s="2214"/>
      <c r="F3" s="2215"/>
    </row>
    <row r="4" spans="1:7" ht="12.75" customHeight="1" thickBot="1" x14ac:dyDescent="0.25">
      <c r="A4" s="2222" t="s">
        <v>651</v>
      </c>
      <c r="B4" s="2223"/>
      <c r="C4" s="581"/>
      <c r="D4" s="581"/>
      <c r="E4" s="581"/>
      <c r="F4" s="1777">
        <f>SUM(C4+D4)-E4</f>
        <v>0</v>
      </c>
    </row>
    <row r="5" spans="1:7" ht="15.75" customHeight="1" thickTop="1" x14ac:dyDescent="0.2">
      <c r="A5" s="2207" t="s">
        <v>1172</v>
      </c>
      <c r="B5" s="2208"/>
      <c r="C5" s="2216"/>
      <c r="D5" s="2217"/>
      <c r="E5" s="2217"/>
      <c r="F5" s="2218"/>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9" t="s">
        <v>652</v>
      </c>
      <c r="B15" s="2210"/>
      <c r="C15" s="1777">
        <f>SUM(C6:C14)</f>
        <v>0</v>
      </c>
      <c r="D15" s="1777">
        <f>SUM(D6:D14)</f>
        <v>0</v>
      </c>
      <c r="E15" s="1777">
        <f>SUM(E6:E14)</f>
        <v>0</v>
      </c>
      <c r="F15" s="1777">
        <f>SUM(F6:F14)</f>
        <v>0</v>
      </c>
      <c r="G15" s="552"/>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7"/>
      <c r="D17" s="585"/>
      <c r="E17" s="727"/>
      <c r="F17" s="1777">
        <f>SUM(C17+D17)-E17</f>
        <v>0</v>
      </c>
    </row>
    <row r="18" spans="1:11" ht="12.75" customHeight="1" thickTop="1" thickBot="1" x14ac:dyDescent="0.25">
      <c r="A18" s="2232" t="s">
        <v>6</v>
      </c>
      <c r="B18" s="2233"/>
      <c r="C18" s="727"/>
      <c r="D18" s="585"/>
      <c r="E18" s="727"/>
      <c r="F18" s="1777">
        <f>SUM(C18+D18)-E18</f>
        <v>0</v>
      </c>
    </row>
    <row r="19" spans="1:11" ht="12.75" customHeight="1" thickTop="1" thickBot="1" x14ac:dyDescent="0.25">
      <c r="A19" s="2232" t="s">
        <v>406</v>
      </c>
      <c r="B19" s="2233"/>
      <c r="C19" s="727"/>
      <c r="D19" s="585"/>
      <c r="E19" s="727"/>
      <c r="F19" s="1777">
        <f>SUM(C19+D19)-E19</f>
        <v>0</v>
      </c>
    </row>
    <row r="20" spans="1:11" ht="12.75" customHeight="1" thickTop="1" thickBot="1" x14ac:dyDescent="0.25">
      <c r="A20" s="2232" t="s">
        <v>468</v>
      </c>
      <c r="B20" s="2233"/>
      <c r="C20" s="727"/>
      <c r="D20" s="585"/>
      <c r="E20" s="727"/>
      <c r="F20" s="1777">
        <f>SUM(C20+D20)-E20</f>
        <v>0</v>
      </c>
    </row>
    <row r="21" spans="1:11" ht="14.25" thickTop="1" thickBot="1" x14ac:dyDescent="0.25">
      <c r="A21" s="2209" t="s">
        <v>653</v>
      </c>
      <c r="B21" s="2210"/>
      <c r="C21" s="1777">
        <f>SUM(C17:C20)</f>
        <v>0</v>
      </c>
      <c r="D21" s="1777">
        <f>SUM(D17:D20)</f>
        <v>0</v>
      </c>
      <c r="E21" s="1777">
        <f>SUM(E17:E20)</f>
        <v>0</v>
      </c>
      <c r="F21" s="1777">
        <f>SUM(F17:F20)</f>
        <v>0</v>
      </c>
      <c r="G21" s="552"/>
    </row>
    <row r="22" spans="1:11" ht="15.75" customHeight="1" thickTop="1" x14ac:dyDescent="0.2">
      <c r="A22" s="2234" t="s">
        <v>1174</v>
      </c>
      <c r="B22" s="2208"/>
      <c r="C22" s="2216"/>
      <c r="D22" s="2217"/>
      <c r="E22" s="2217"/>
      <c r="F22" s="2218"/>
    </row>
    <row r="23" spans="1:11" ht="13.5" thickBot="1" x14ac:dyDescent="0.25">
      <c r="A23" s="2222" t="s">
        <v>654</v>
      </c>
      <c r="B23" s="2223"/>
      <c r="C23" s="581"/>
      <c r="D23" s="581"/>
      <c r="E23" s="581"/>
      <c r="F23" s="1777">
        <f>SUM(C23+D23)-E23</f>
        <v>0</v>
      </c>
      <c r="G23" s="552"/>
    </row>
    <row r="24" spans="1:11" ht="15.75" customHeight="1" thickTop="1" x14ac:dyDescent="0.2">
      <c r="A24" s="2234" t="s">
        <v>1175</v>
      </c>
      <c r="B24" s="2208"/>
      <c r="C24" s="2216"/>
      <c r="D24" s="2217"/>
      <c r="E24" s="2217"/>
      <c r="F24" s="2218"/>
    </row>
    <row r="25" spans="1:11" ht="13.5" thickBot="1" x14ac:dyDescent="0.25">
      <c r="A25" s="2222" t="s">
        <v>655</v>
      </c>
      <c r="B25" s="2223"/>
      <c r="C25" s="581"/>
      <c r="D25" s="581"/>
      <c r="E25" s="581"/>
      <c r="F25" s="1777">
        <f>SUM(C25+D25)-E25</f>
        <v>0</v>
      </c>
      <c r="G25" s="552"/>
    </row>
    <row r="26" spans="1:11" ht="15.75" customHeight="1" thickTop="1" x14ac:dyDescent="0.2">
      <c r="A26" s="2207" t="s">
        <v>678</v>
      </c>
      <c r="B26" s="2208"/>
      <c r="C26" s="728"/>
      <c r="D26" s="728"/>
      <c r="E26" s="728"/>
      <c r="F26" s="729"/>
    </row>
    <row r="27" spans="1:11" ht="13.5" thickBot="1" x14ac:dyDescent="0.25">
      <c r="A27" s="2209" t="s">
        <v>1130</v>
      </c>
      <c r="B27" s="2210"/>
      <c r="C27" s="585"/>
      <c r="D27" s="585"/>
      <c r="E27" s="585"/>
      <c r="F27" s="1777">
        <f>SUM(C27+D27)-E27</f>
        <v>0</v>
      </c>
      <c r="G27" s="552"/>
    </row>
    <row r="28" spans="1:11" ht="7.5" customHeight="1" thickTop="1" x14ac:dyDescent="0.2">
      <c r="A28" s="594"/>
    </row>
    <row r="29" spans="1:11" ht="23.25" customHeight="1" x14ac:dyDescent="0.2">
      <c r="A29" s="2235" t="s">
        <v>603</v>
      </c>
      <c r="B29" s="2212"/>
      <c r="C29" s="730"/>
      <c r="D29" s="730"/>
      <c r="E29" s="730"/>
      <c r="F29" s="730"/>
      <c r="G29" s="730"/>
      <c r="H29" s="730"/>
      <c r="I29" s="730"/>
      <c r="J29" s="730"/>
    </row>
    <row r="30" spans="1:11" ht="33.75" x14ac:dyDescent="0.2">
      <c r="A30" s="1551" t="s">
        <v>1131</v>
      </c>
      <c r="B30" s="731" t="s">
        <v>1186</v>
      </c>
      <c r="C30" s="1909" t="s">
        <v>604</v>
      </c>
      <c r="D30" s="1909" t="s">
        <v>1772</v>
      </c>
      <c r="E30" s="1909" t="s">
        <v>2037</v>
      </c>
      <c r="F30" s="1909" t="s">
        <v>2038</v>
      </c>
      <c r="G30" s="1909" t="s">
        <v>2041</v>
      </c>
      <c r="H30" s="1909" t="s">
        <v>2039</v>
      </c>
      <c r="I30" s="1909" t="s">
        <v>2040</v>
      </c>
      <c r="J30" s="1910"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6" t="s">
        <v>605</v>
      </c>
      <c r="C52" s="2227"/>
      <c r="D52" s="2227"/>
      <c r="E52" s="750" t="s">
        <v>900</v>
      </c>
      <c r="F52" s="2228"/>
      <c r="G52" s="2229"/>
      <c r="H52" s="737"/>
      <c r="I52" s="737"/>
      <c r="J52" s="747"/>
    </row>
    <row r="53" spans="1:11" ht="11.25" customHeight="1" x14ac:dyDescent="0.2">
      <c r="A53" s="751" t="s">
        <v>969</v>
      </c>
      <c r="B53" s="752" t="s">
        <v>1008</v>
      </c>
      <c r="C53" s="747"/>
      <c r="D53" s="738"/>
      <c r="E53" s="750" t="s">
        <v>518</v>
      </c>
      <c r="F53" s="2230"/>
      <c r="G53" s="2231"/>
      <c r="H53" s="737"/>
      <c r="I53" s="737"/>
      <c r="J53" s="747"/>
    </row>
    <row r="54" spans="1:11" ht="11.25" customHeight="1" x14ac:dyDescent="0.2">
      <c r="A54" s="753" t="s">
        <v>970</v>
      </c>
      <c r="B54" s="748" t="s">
        <v>1009</v>
      </c>
      <c r="C54" s="747"/>
      <c r="D54" s="738"/>
      <c r="E54" s="750" t="s">
        <v>519</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52"/>
      <c r="I1" s="761"/>
      <c r="J1" s="433"/>
    </row>
    <row r="2" spans="1:11" ht="26.25" x14ac:dyDescent="0.2">
      <c r="A2" s="2239" t="s">
        <v>1776</v>
      </c>
      <c r="B2" s="2240"/>
      <c r="C2" s="2240"/>
      <c r="D2" s="2240"/>
      <c r="E2" s="2241"/>
      <c r="F2" s="762" t="s">
        <v>960</v>
      </c>
      <c r="G2" s="763" t="s">
        <v>1773</v>
      </c>
      <c r="H2" s="763" t="s">
        <v>430</v>
      </c>
      <c r="I2" s="763" t="s">
        <v>1220</v>
      </c>
      <c r="J2" s="763" t="s">
        <v>1916</v>
      </c>
      <c r="K2" s="763" t="s">
        <v>140</v>
      </c>
    </row>
    <row r="3" spans="1:11" x14ac:dyDescent="0.2">
      <c r="A3" s="2242" t="s">
        <v>1698</v>
      </c>
      <c r="B3" s="2243"/>
      <c r="C3" s="2243"/>
      <c r="D3" s="2243"/>
      <c r="E3" s="2244"/>
      <c r="F3" s="764"/>
      <c r="G3" s="765"/>
      <c r="H3" s="765"/>
      <c r="I3" s="765"/>
      <c r="J3" s="766"/>
      <c r="K3" s="766"/>
    </row>
    <row r="4" spans="1:11" x14ac:dyDescent="0.2">
      <c r="A4" s="2245" t="s">
        <v>387</v>
      </c>
      <c r="B4" s="2246"/>
      <c r="C4" s="2246"/>
      <c r="D4" s="2246"/>
      <c r="E4" s="2227"/>
      <c r="F4" s="767"/>
      <c r="G4" s="768"/>
      <c r="H4" s="769"/>
      <c r="I4" s="768"/>
      <c r="J4" s="770"/>
      <c r="K4" s="770"/>
    </row>
    <row r="5" spans="1:11" x14ac:dyDescent="0.2">
      <c r="A5" s="2263" t="s">
        <v>1129</v>
      </c>
      <c r="B5" s="2236"/>
      <c r="C5" s="2236"/>
      <c r="D5" s="2236"/>
      <c r="E5" s="2264"/>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3" t="s">
        <v>1917</v>
      </c>
      <c r="B10" s="2236"/>
      <c r="C10" s="2236"/>
      <c r="D10" s="2236"/>
      <c r="E10" s="2265"/>
      <c r="F10" s="784" t="s">
        <v>917</v>
      </c>
      <c r="G10" s="783"/>
      <c r="H10" s="785"/>
      <c r="I10" s="765"/>
      <c r="J10" s="766"/>
      <c r="K10" s="766"/>
    </row>
    <row r="11" spans="1:11" x14ac:dyDescent="0.2">
      <c r="A11" s="2263" t="s">
        <v>162</v>
      </c>
      <c r="B11" s="2236"/>
      <c r="C11" s="2236"/>
      <c r="D11" s="2236"/>
      <c r="E11" s="2264"/>
      <c r="F11" s="771" t="s">
        <v>907</v>
      </c>
      <c r="G11" s="772"/>
      <c r="H11" s="765"/>
      <c r="I11" s="765"/>
      <c r="J11" s="766"/>
      <c r="K11" s="774"/>
    </row>
    <row r="12" spans="1:11" ht="13.5" thickBot="1" x14ac:dyDescent="0.25">
      <c r="A12" s="2253" t="s">
        <v>961</v>
      </c>
      <c r="B12" s="2254"/>
      <c r="C12" s="2254"/>
      <c r="D12" s="2254"/>
      <c r="E12" s="2255"/>
      <c r="F12" s="1779"/>
      <c r="G12" s="1780">
        <f>SUM(G5:G11)</f>
        <v>0</v>
      </c>
      <c r="H12" s="1780">
        <f>SUM(H5:H11)</f>
        <v>0</v>
      </c>
      <c r="I12" s="1780">
        <f>SUM(I5:I11)</f>
        <v>0</v>
      </c>
      <c r="J12" s="1780">
        <f>SUM(J5:J11)</f>
        <v>0</v>
      </c>
      <c r="K12" s="1780">
        <f>SUM(K5:K11)</f>
        <v>0</v>
      </c>
    </row>
    <row r="13" spans="1:11" ht="13.5" thickTop="1" x14ac:dyDescent="0.2">
      <c r="A13" s="2247" t="s">
        <v>388</v>
      </c>
      <c r="B13" s="2248"/>
      <c r="C13" s="2248"/>
      <c r="D13" s="2248"/>
      <c r="E13" s="2249"/>
      <c r="F13" s="786"/>
      <c r="G13" s="787"/>
      <c r="H13" s="788"/>
      <c r="I13" s="789"/>
      <c r="J13" s="789"/>
      <c r="K13" s="789"/>
    </row>
    <row r="14" spans="1:11" x14ac:dyDescent="0.2">
      <c r="A14" s="2269" t="s">
        <v>476</v>
      </c>
      <c r="B14" s="2269"/>
      <c r="C14" s="2269"/>
      <c r="D14" s="2269"/>
      <c r="E14" s="2270"/>
      <c r="F14" s="790" t="s">
        <v>909</v>
      </c>
      <c r="G14" s="783"/>
      <c r="H14" s="765"/>
      <c r="I14" s="772"/>
      <c r="J14" s="774"/>
      <c r="K14" s="766"/>
    </row>
    <row r="15" spans="1:11" x14ac:dyDescent="0.2">
      <c r="A15" s="2236" t="s">
        <v>4</v>
      </c>
      <c r="B15" s="2236"/>
      <c r="C15" s="2236"/>
      <c r="D15" s="2236"/>
      <c r="E15" s="2264"/>
      <c r="F15" s="790" t="s">
        <v>910</v>
      </c>
      <c r="G15" s="772"/>
      <c r="H15" s="765"/>
      <c r="I15" s="765"/>
      <c r="J15" s="766"/>
      <c r="K15" s="766"/>
    </row>
    <row r="16" spans="1:11" x14ac:dyDescent="0.2">
      <c r="A16" s="2236" t="s">
        <v>316</v>
      </c>
      <c r="B16" s="2236"/>
      <c r="C16" s="2236"/>
      <c r="D16" s="2236"/>
      <c r="E16" s="2264"/>
      <c r="F16" s="790" t="s">
        <v>980</v>
      </c>
      <c r="G16" s="773"/>
      <c r="H16" s="768"/>
      <c r="I16" s="768"/>
      <c r="J16" s="770"/>
      <c r="K16" s="770"/>
    </row>
    <row r="17" spans="1:11" x14ac:dyDescent="0.2">
      <c r="A17" s="2258" t="s">
        <v>992</v>
      </c>
      <c r="B17" s="2258"/>
      <c r="C17" s="2258"/>
      <c r="D17" s="2258"/>
      <c r="E17" s="2259"/>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71" t="s">
        <v>1913</v>
      </c>
      <c r="B19" s="2271"/>
      <c r="C19" s="2271"/>
      <c r="D19" s="2271"/>
      <c r="E19" s="2272"/>
      <c r="F19" s="790" t="s">
        <v>990</v>
      </c>
      <c r="G19" s="783"/>
      <c r="H19" s="783"/>
      <c r="I19" s="783"/>
      <c r="J19" s="766"/>
      <c r="K19" s="796"/>
    </row>
    <row r="20" spans="1:11" x14ac:dyDescent="0.2">
      <c r="A20" s="2250" t="s">
        <v>1918</v>
      </c>
      <c r="B20" s="2251"/>
      <c r="C20" s="2251"/>
      <c r="D20" s="2251"/>
      <c r="E20" s="2252"/>
      <c r="F20" s="790" t="s">
        <v>991</v>
      </c>
      <c r="G20" s="783"/>
      <c r="H20" s="783"/>
      <c r="I20" s="783"/>
      <c r="J20" s="766"/>
      <c r="K20" s="796"/>
    </row>
    <row r="21" spans="1:11" ht="13.5" thickBot="1" x14ac:dyDescent="0.25">
      <c r="A21" s="2256" t="s">
        <v>659</v>
      </c>
      <c r="B21" s="2256"/>
      <c r="C21" s="2256"/>
      <c r="D21" s="2256"/>
      <c r="E21" s="2256"/>
      <c r="F21" s="1781"/>
      <c r="G21" s="793"/>
      <c r="H21" s="797"/>
      <c r="I21" s="797"/>
      <c r="J21" s="1782">
        <f>SUM(J18:J20)</f>
        <v>0</v>
      </c>
      <c r="K21" s="794"/>
    </row>
    <row r="22" spans="1:11" ht="13.5" thickTop="1" x14ac:dyDescent="0.2">
      <c r="A22" s="2236" t="s">
        <v>1919</v>
      </c>
      <c r="B22" s="2236"/>
      <c r="C22" s="2236"/>
      <c r="D22" s="2236"/>
      <c r="E22" s="2264"/>
      <c r="F22" s="790" t="s">
        <v>917</v>
      </c>
      <c r="G22" s="783"/>
      <c r="H22" s="765"/>
      <c r="I22" s="765"/>
      <c r="J22" s="798"/>
      <c r="K22" s="766"/>
    </row>
    <row r="23" spans="1:11" ht="13.5" thickBot="1" x14ac:dyDescent="0.25">
      <c r="A23" s="2257" t="s">
        <v>962</v>
      </c>
      <c r="B23" s="2256"/>
      <c r="C23" s="2256"/>
      <c r="D23" s="2256"/>
      <c r="E23" s="2256"/>
      <c r="F23" s="1783"/>
      <c r="G23" s="1780">
        <f>SUM(G14:G16,G21,G22)</f>
        <v>0</v>
      </c>
      <c r="H23" s="1780">
        <f>SUM(H14:H16,H21,H22)</f>
        <v>0</v>
      </c>
      <c r="I23" s="1780">
        <f>SUM(I14:I16,I21,I22)</f>
        <v>0</v>
      </c>
      <c r="J23" s="1780">
        <f>SUM(J14:J16,J21,J22)</f>
        <v>0</v>
      </c>
      <c r="K23" s="1780">
        <f>SUM(K14:K16,K21,K22)</f>
        <v>0</v>
      </c>
    </row>
    <row r="24" spans="1:11" ht="14.25" thickTop="1" thickBot="1" x14ac:dyDescent="0.25">
      <c r="A24" s="2257" t="s">
        <v>2023</v>
      </c>
      <c r="B24" s="2256"/>
      <c r="C24" s="2256"/>
      <c r="D24" s="2256"/>
      <c r="E24" s="225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2033</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6"/>
      <c r="I31" s="2267"/>
      <c r="J31" s="2267"/>
      <c r="K31" s="2267"/>
    </row>
    <row r="32" spans="1:11" x14ac:dyDescent="0.2">
      <c r="A32" s="810"/>
      <c r="B32" s="237"/>
      <c r="C32" s="237"/>
      <c r="D32" s="237"/>
      <c r="E32" s="806"/>
      <c r="F32" s="812" t="s">
        <v>561</v>
      </c>
      <c r="G32" s="765"/>
      <c r="H32" s="2268"/>
      <c r="I32" s="2267"/>
      <c r="J32" s="2267"/>
      <c r="K32" s="2267"/>
    </row>
    <row r="33" spans="1:11" ht="1.5" customHeight="1" x14ac:dyDescent="0.2">
      <c r="A33" s="813" t="s">
        <v>1231</v>
      </c>
      <c r="B33" s="364"/>
      <c r="C33" s="364"/>
      <c r="D33" s="364"/>
      <c r="E33" s="364"/>
      <c r="F33" s="364"/>
      <c r="G33" s="814"/>
      <c r="H33" s="2268"/>
      <c r="I33" s="2267"/>
      <c r="J33" s="2267"/>
      <c r="K33" s="2267"/>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37"/>
      <c r="C41" s="2237"/>
      <c r="D41" s="2237"/>
      <c r="E41" s="2237"/>
      <c r="F41" s="223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2032</v>
      </c>
      <c r="B1" s="2276"/>
      <c r="C1" s="2277"/>
      <c r="D1" s="827"/>
      <c r="E1" s="828"/>
      <c r="F1" s="828"/>
      <c r="G1" s="829"/>
      <c r="H1" s="830"/>
      <c r="I1" s="831"/>
      <c r="J1" s="2273"/>
      <c r="K1" s="2274"/>
      <c r="L1" s="2274"/>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934558</v>
      </c>
      <c r="D12" s="845">
        <v>13295</v>
      </c>
      <c r="E12" s="845"/>
      <c r="F12" s="1782">
        <f>(C12+D12)-E12</f>
        <v>947853</v>
      </c>
      <c r="G12" s="844">
        <v>10</v>
      </c>
      <c r="H12" s="766">
        <v>782986</v>
      </c>
      <c r="I12" s="766">
        <v>50782</v>
      </c>
      <c r="J12" s="766"/>
      <c r="K12" s="1791">
        <f>(H12+I12)-J12</f>
        <v>833768</v>
      </c>
      <c r="L12" s="1791">
        <f>F12-K12</f>
        <v>114085</v>
      </c>
    </row>
    <row r="13" spans="1:14" ht="14.25" thickTop="1" thickBot="1" x14ac:dyDescent="0.25">
      <c r="A13" s="849" t="s">
        <v>1184</v>
      </c>
      <c r="B13" s="841">
        <v>252</v>
      </c>
      <c r="C13" s="845">
        <v>17823</v>
      </c>
      <c r="D13" s="845">
        <v>36496</v>
      </c>
      <c r="E13" s="845"/>
      <c r="F13" s="1782">
        <f>(C13+D13)-E13</f>
        <v>54319</v>
      </c>
      <c r="G13" s="844">
        <v>5</v>
      </c>
      <c r="H13" s="766">
        <v>4933</v>
      </c>
      <c r="I13" s="766">
        <v>10864</v>
      </c>
      <c r="J13" s="766"/>
      <c r="K13" s="1791">
        <f>(H13+I13)-J13</f>
        <v>15797</v>
      </c>
      <c r="L13" s="1791">
        <f>F13-K13</f>
        <v>38522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952381</v>
      </c>
      <c r="D16" s="1782">
        <f>SUM(D3,D5:D6,D8:D10,D12:D15)</f>
        <v>49791</v>
      </c>
      <c r="E16" s="1782">
        <f>SUM(E3,E5:E6,E8:E10,E12:E15)</f>
        <v>0</v>
      </c>
      <c r="F16" s="1782">
        <f>SUM(F3,F5:F6,F8:F10,F12:F15)</f>
        <v>1002172</v>
      </c>
      <c r="G16" s="844"/>
      <c r="H16" s="1782">
        <f>SUM(H3,H6,H8:H10,H12:H14,)</f>
        <v>787919</v>
      </c>
      <c r="I16" s="1782">
        <f>SUM(I3,I6,I8:I10,I12:I14,)</f>
        <v>61646</v>
      </c>
      <c r="J16" s="1782">
        <f>SUM(J3,J6,J8:J10,J12:J14,)</f>
        <v>0</v>
      </c>
      <c r="K16" s="1782">
        <f>(H16+I16)-J16</f>
        <v>849565</v>
      </c>
      <c r="L16" s="1782">
        <f>F16-K16</f>
        <v>152607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61646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1966900</v>
      </c>
      <c r="G8" s="866"/>
    </row>
    <row r="9" spans="1:7" x14ac:dyDescent="0.2">
      <c r="A9" s="870" t="s">
        <v>480</v>
      </c>
      <c r="B9" s="871" t="s">
        <v>1986</v>
      </c>
      <c r="C9" s="872"/>
      <c r="D9" s="870" t="s">
        <v>522</v>
      </c>
      <c r="E9" s="869"/>
      <c r="F9" s="1934">
        <f>'Expenditures 15-22'!K151</f>
        <v>0</v>
      </c>
      <c r="G9" s="873"/>
    </row>
    <row r="10" spans="1:7" x14ac:dyDescent="0.2">
      <c r="A10" s="870" t="s">
        <v>520</v>
      </c>
      <c r="B10" s="871" t="s">
        <v>1987</v>
      </c>
      <c r="C10" s="872"/>
      <c r="D10" s="870" t="s">
        <v>522</v>
      </c>
      <c r="E10" s="869"/>
      <c r="F10" s="1934">
        <f>'Expenditures 15-22'!K174</f>
        <v>0</v>
      </c>
      <c r="G10" s="873"/>
    </row>
    <row r="11" spans="1:7" x14ac:dyDescent="0.2">
      <c r="A11" s="870" t="s">
        <v>481</v>
      </c>
      <c r="B11" s="871" t="s">
        <v>1988</v>
      </c>
      <c r="C11" s="872"/>
      <c r="D11" s="870" t="s">
        <v>522</v>
      </c>
      <c r="E11" s="869"/>
      <c r="F11" s="1934">
        <f>'Expenditures 15-22'!K210</f>
        <v>0</v>
      </c>
      <c r="G11" s="873"/>
    </row>
    <row r="12" spans="1:7" x14ac:dyDescent="0.2">
      <c r="A12" s="870" t="s">
        <v>482</v>
      </c>
      <c r="B12" s="871" t="s">
        <v>1989</v>
      </c>
      <c r="C12" s="872"/>
      <c r="D12" s="870" t="s">
        <v>522</v>
      </c>
      <c r="E12" s="869"/>
      <c r="F12" s="1934">
        <f>'Expenditures 15-22'!K295</f>
        <v>0</v>
      </c>
      <c r="G12" s="873"/>
    </row>
    <row r="13" spans="1:7" x14ac:dyDescent="0.2">
      <c r="A13" s="870" t="s">
        <v>108</v>
      </c>
      <c r="B13" s="871" t="s">
        <v>1990</v>
      </c>
      <c r="C13" s="872"/>
      <c r="D13" s="870" t="s">
        <v>522</v>
      </c>
      <c r="E13" s="869"/>
      <c r="F13" s="1934">
        <f>'Expenditures 15-22'!K342</f>
        <v>0</v>
      </c>
      <c r="G13" s="874"/>
    </row>
    <row r="14" spans="1:7" ht="12" customHeight="1" thickBot="1" x14ac:dyDescent="0.25">
      <c r="A14" s="1792"/>
      <c r="B14" s="1793"/>
      <c r="C14" s="1794"/>
      <c r="D14" s="1795" t="s">
        <v>522</v>
      </c>
      <c r="E14" s="1796" t="s">
        <v>1015</v>
      </c>
      <c r="F14" s="1797">
        <f>SUM(F8:F13)</f>
        <v>1966900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624</v>
      </c>
      <c r="G52" s="866"/>
    </row>
    <row r="53" spans="1:7" x14ac:dyDescent="0.2">
      <c r="A53" s="870" t="s">
        <v>479</v>
      </c>
      <c r="B53" s="870" t="s">
        <v>1551</v>
      </c>
      <c r="C53" s="890">
        <f>'Expenditures 15-22'!B102</f>
        <v>4000</v>
      </c>
      <c r="D53" s="889" t="str">
        <f>'Expenditures 15-22'!A102</f>
        <v>Total Payments to Other Govt Units</v>
      </c>
      <c r="E53" s="869"/>
      <c r="F53" s="1938">
        <f>'Expenditures 15-22'!K102</f>
        <v>1407641</v>
      </c>
      <c r="G53" s="866"/>
    </row>
    <row r="54" spans="1:7" x14ac:dyDescent="0.2">
      <c r="A54" s="870" t="s">
        <v>479</v>
      </c>
      <c r="B54" s="870" t="s">
        <v>1552</v>
      </c>
      <c r="C54" s="890" t="s">
        <v>1039</v>
      </c>
      <c r="D54" s="886" t="s">
        <v>1157</v>
      </c>
      <c r="E54" s="869"/>
      <c r="F54" s="1938">
        <f>'Expenditures 15-22'!G114</f>
        <v>109831</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8">
        <f>'Expenditures 15-22'!K139</f>
        <v>0</v>
      </c>
      <c r="G57" s="866"/>
    </row>
    <row r="58" spans="1:7" x14ac:dyDescent="0.2">
      <c r="A58" s="870" t="s">
        <v>480</v>
      </c>
      <c r="B58" s="870" t="s">
        <v>1992</v>
      </c>
      <c r="C58" s="887" t="s">
        <v>1039</v>
      </c>
      <c r="D58" s="886" t="s">
        <v>1157</v>
      </c>
      <c r="E58" s="869"/>
      <c r="F58" s="1940">
        <f>'Expenditures 15-22'!G151</f>
        <v>0</v>
      </c>
      <c r="G58" s="866"/>
    </row>
    <row r="59" spans="1:7" x14ac:dyDescent="0.2">
      <c r="A59" s="894" t="s">
        <v>480</v>
      </c>
      <c r="B59" s="857" t="s">
        <v>1993</v>
      </c>
      <c r="C59" s="895" t="s">
        <v>1039</v>
      </c>
      <c r="D59" s="857" t="s">
        <v>309</v>
      </c>
      <c r="F59" s="1941">
        <f>'Expenditures 15-22'!I151</f>
        <v>0</v>
      </c>
      <c r="G59" s="866"/>
    </row>
    <row r="60" spans="1:7" x14ac:dyDescent="0.2">
      <c r="A60" s="894" t="s">
        <v>520</v>
      </c>
      <c r="B60" s="857" t="s">
        <v>1994</v>
      </c>
      <c r="C60" s="895">
        <v>4000</v>
      </c>
      <c r="D60" s="857" t="s">
        <v>330</v>
      </c>
      <c r="F60" s="1939">
        <f>'Expenditures 15-22'!K160</f>
        <v>0</v>
      </c>
      <c r="G60" s="866"/>
    </row>
    <row r="61" spans="1:7" x14ac:dyDescent="0.2">
      <c r="A61" s="896" t="s">
        <v>520</v>
      </c>
      <c r="B61" s="896" t="s">
        <v>1995</v>
      </c>
      <c r="C61" s="897" t="str">
        <f>'Expenditures 15-22'!B170</f>
        <v>5300</v>
      </c>
      <c r="D61" s="898" t="s">
        <v>329</v>
      </c>
      <c r="E61" s="880"/>
      <c r="F61" s="1938">
        <f>'Expenditures 15-22'!K170</f>
        <v>0</v>
      </c>
      <c r="G61" s="866"/>
    </row>
    <row r="62" spans="1:7" x14ac:dyDescent="0.2">
      <c r="A62" s="870" t="s">
        <v>481</v>
      </c>
      <c r="B62" s="870" t="s">
        <v>1996</v>
      </c>
      <c r="C62" s="887">
        <f>'Expenditures 15-22'!B185</f>
        <v>3000</v>
      </c>
      <c r="D62" s="877" t="s">
        <v>469</v>
      </c>
      <c r="E62" s="869"/>
      <c r="F62" s="1938">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8">
        <f>'Expenditures 15-22'!K196</f>
        <v>0</v>
      </c>
      <c r="G63" s="866"/>
    </row>
    <row r="64" spans="1:7" x14ac:dyDescent="0.2">
      <c r="A64" s="896" t="s">
        <v>481</v>
      </c>
      <c r="B64" s="896" t="s">
        <v>1998</v>
      </c>
      <c r="C64" s="897" t="str">
        <f>'Expenditures 15-22'!B206</f>
        <v>5300</v>
      </c>
      <c r="D64" s="893" t="s">
        <v>329</v>
      </c>
      <c r="E64" s="869"/>
      <c r="F64" s="1938">
        <f>'Expenditures 15-22'!K206</f>
        <v>0</v>
      </c>
      <c r="G64" s="866"/>
    </row>
    <row r="65" spans="1:8" x14ac:dyDescent="0.2">
      <c r="A65" s="870" t="s">
        <v>481</v>
      </c>
      <c r="B65" s="870" t="s">
        <v>1999</v>
      </c>
      <c r="C65" s="887" t="s">
        <v>1039</v>
      </c>
      <c r="D65" s="886" t="s">
        <v>1157</v>
      </c>
      <c r="E65" s="869"/>
      <c r="F65" s="1938">
        <f>'Expenditures 15-22'!G210</f>
        <v>0</v>
      </c>
      <c r="G65" s="866"/>
    </row>
    <row r="66" spans="1:8" x14ac:dyDescent="0.2">
      <c r="A66" s="870" t="s">
        <v>481</v>
      </c>
      <c r="B66" s="870" t="s">
        <v>2000</v>
      </c>
      <c r="C66" s="887" t="s">
        <v>1039</v>
      </c>
      <c r="D66" s="886" t="s">
        <v>309</v>
      </c>
      <c r="E66" s="869"/>
      <c r="F66" s="1938">
        <f>'Expenditures 15-22'!I210</f>
        <v>0</v>
      </c>
      <c r="G66" s="866"/>
    </row>
    <row r="67" spans="1:8" x14ac:dyDescent="0.2">
      <c r="A67" s="870" t="s">
        <v>482</v>
      </c>
      <c r="B67" s="870" t="s">
        <v>2001</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2003</v>
      </c>
      <c r="C70" s="887">
        <f>'Expenditures 15-22'!B221</f>
        <v>1300</v>
      </c>
      <c r="D70" s="888" t="str">
        <f>'Expenditures 15-22'!A221</f>
        <v>Adult/Continuing Education Programs</v>
      </c>
      <c r="E70" s="869"/>
      <c r="F70" s="1938">
        <f>'Expenditures 15-22'!K221</f>
        <v>0</v>
      </c>
      <c r="G70" s="866"/>
    </row>
    <row r="71" spans="1:8" x14ac:dyDescent="0.2">
      <c r="A71" s="870" t="s">
        <v>482</v>
      </c>
      <c r="B71" s="870" t="s">
        <v>2004</v>
      </c>
      <c r="C71" s="887">
        <f>'Expenditures 15-22'!B224</f>
        <v>1600</v>
      </c>
      <c r="D71" s="888" t="str">
        <f>'Expenditures 15-22'!A224</f>
        <v>Summer School Programs</v>
      </c>
      <c r="E71" s="869"/>
      <c r="F71" s="1938">
        <f>'Expenditures 15-22'!K224</f>
        <v>0</v>
      </c>
      <c r="G71" s="866"/>
    </row>
    <row r="72" spans="1:8" x14ac:dyDescent="0.2">
      <c r="A72" s="870" t="s">
        <v>482</v>
      </c>
      <c r="B72" s="870" t="s">
        <v>2005</v>
      </c>
      <c r="C72" s="887">
        <f>'Expenditures 15-22'!B280</f>
        <v>3000</v>
      </c>
      <c r="D72" s="877" t="s">
        <v>469</v>
      </c>
      <c r="E72" s="869"/>
      <c r="F72" s="1938">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2007</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1518096</v>
      </c>
      <c r="G76" s="866"/>
    </row>
    <row r="77" spans="1:8" s="894" customFormat="1" ht="12" customHeight="1" thickTop="1" thickBot="1" x14ac:dyDescent="0.25">
      <c r="A77" s="1801"/>
      <c r="B77" s="1798"/>
      <c r="C77" s="1794"/>
      <c r="D77" s="1799" t="s">
        <v>2009</v>
      </c>
      <c r="E77" s="1796"/>
      <c r="F77" s="1802">
        <f>(F14-F76)</f>
        <v>448804</v>
      </c>
      <c r="G77" s="870"/>
    </row>
    <row r="78" spans="1:8" s="894" customFormat="1" ht="12" customHeight="1" thickTop="1" x14ac:dyDescent="0.2">
      <c r="A78" s="1803"/>
      <c r="B78" s="1798"/>
      <c r="C78" s="1794"/>
      <c r="D78" s="1799" t="s">
        <v>2056</v>
      </c>
      <c r="E78" s="1796"/>
      <c r="F78" s="899">
        <v>0</v>
      </c>
      <c r="G78" s="900"/>
      <c r="H78" s="870"/>
    </row>
    <row r="79" spans="1:8" s="894" customFormat="1" ht="12" customHeight="1" thickBot="1" x14ac:dyDescent="0.25">
      <c r="A79" s="1804"/>
      <c r="B79" s="1798"/>
      <c r="C79" s="1794"/>
      <c r="D79" s="1799" t="s">
        <v>2010</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21928</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1821688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317514</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2055</v>
      </c>
      <c r="C175" s="1945">
        <v>3100</v>
      </c>
      <c r="D175" s="1946" t="s">
        <v>2058</v>
      </c>
      <c r="E175" s="907"/>
      <c r="F175" s="1930"/>
      <c r="G175" s="928"/>
    </row>
    <row r="176" spans="1:7" x14ac:dyDescent="0.2">
      <c r="A176" s="1943" t="s">
        <v>685</v>
      </c>
      <c r="B176" s="1944" t="s">
        <v>2055</v>
      </c>
      <c r="C176" s="1945">
        <v>3300</v>
      </c>
      <c r="D176" s="1946" t="s">
        <v>2059</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2161130</v>
      </c>
    </row>
    <row r="179" spans="1:7" ht="12" customHeight="1" x14ac:dyDescent="0.2">
      <c r="A179" s="1792"/>
      <c r="B179" s="1806"/>
      <c r="C179" s="1807"/>
      <c r="D179" s="1808" t="s">
        <v>2012</v>
      </c>
      <c r="E179" s="1809"/>
      <c r="F179" s="1811">
        <f>'PCTC-OEPP 27-28'!F77-F178</f>
        <v>-1712326</v>
      </c>
    </row>
    <row r="180" spans="1:7" ht="12" customHeight="1" x14ac:dyDescent="0.2">
      <c r="A180" s="1792"/>
      <c r="B180" s="1806"/>
      <c r="C180" s="1807"/>
      <c r="D180" s="1808" t="s">
        <v>1921</v>
      </c>
      <c r="E180" s="1809"/>
      <c r="F180" s="1811">
        <f>'Cap Outlay Deprec 26'!I18</f>
        <v>61646</v>
      </c>
    </row>
    <row r="181" spans="1:7" ht="12" customHeight="1" x14ac:dyDescent="0.2">
      <c r="A181" s="1792"/>
      <c r="B181" s="1806"/>
      <c r="C181" s="1807"/>
      <c r="D181" s="1808" t="s">
        <v>2013</v>
      </c>
      <c r="E181" s="1809"/>
      <c r="F181" s="1811">
        <f>F179+F180</f>
        <v>-1650680</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2014</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7" customFormat="1" ht="12.2" customHeight="1" x14ac:dyDescent="0.2">
      <c r="A186" s="1947" t="s">
        <v>2062</v>
      </c>
      <c r="B186" s="1948"/>
      <c r="C186" s="1949"/>
      <c r="D186" s="1948"/>
      <c r="E186" s="1949"/>
      <c r="F186" s="1948"/>
      <c r="G186" s="1948"/>
    </row>
    <row r="187" spans="1:7" s="1947" customFormat="1" ht="12.2" customHeight="1" x14ac:dyDescent="0.2">
      <c r="A187" s="1950" t="s">
        <v>2063</v>
      </c>
      <c r="C187" s="1949"/>
      <c r="D187" s="1948"/>
      <c r="E187" s="1949"/>
      <c r="F187" s="1948"/>
      <c r="G187" s="1948"/>
    </row>
    <row r="188" spans="1:7" ht="12" customHeight="1" x14ac:dyDescent="0.2">
      <c r="C188" s="950"/>
      <c r="D188" s="931"/>
      <c r="E188" s="950"/>
      <c r="F188" s="931"/>
      <c r="G188" s="931"/>
    </row>
    <row r="189" spans="1:7" x14ac:dyDescent="0.2">
      <c r="A189" s="1951" t="s">
        <v>2061</v>
      </c>
      <c r="B189" s="1952"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26" sqref="A26"/>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2" t="s">
        <v>1922</v>
      </c>
      <c r="B4" s="2293"/>
      <c r="C4" s="2293"/>
      <c r="D4" s="2293"/>
      <c r="E4" s="2293"/>
      <c r="F4" s="2293"/>
      <c r="G4" s="2294"/>
    </row>
    <row r="5" spans="1:7" x14ac:dyDescent="0.25">
      <c r="A5" s="2295"/>
      <c r="B5" s="2296"/>
      <c r="C5" s="2296"/>
      <c r="D5" s="2296"/>
      <c r="E5" s="2296"/>
      <c r="F5" s="2296"/>
      <c r="G5" s="2297"/>
    </row>
    <row r="6" spans="1:7" ht="18.75" x14ac:dyDescent="0.25">
      <c r="A6" s="1556" t="s">
        <v>1923</v>
      </c>
      <c r="B6" s="1557"/>
      <c r="C6" s="1557"/>
      <c r="D6" s="1557"/>
      <c r="E6" s="1557"/>
      <c r="F6" s="1557"/>
      <c r="G6" s="1558"/>
    </row>
    <row r="7" spans="1:7" ht="30.75" customHeight="1" x14ac:dyDescent="0.25">
      <c r="A7" s="2298" t="s">
        <v>2072</v>
      </c>
      <c r="B7" s="2299"/>
      <c r="C7" s="2299"/>
      <c r="D7" s="2299"/>
      <c r="E7" s="2299"/>
      <c r="F7" s="2299"/>
      <c r="G7" s="2300"/>
    </row>
    <row r="8" spans="1:7" ht="15.75" customHeight="1" x14ac:dyDescent="0.25">
      <c r="A8" s="2301" t="s">
        <v>2021</v>
      </c>
      <c r="B8" s="2302"/>
      <c r="C8" s="2302"/>
      <c r="D8" s="2302"/>
      <c r="E8" s="2302"/>
      <c r="F8" s="2302"/>
      <c r="G8" s="2303"/>
    </row>
    <row r="9" spans="1:7" ht="35.25" customHeight="1" x14ac:dyDescent="0.25">
      <c r="A9" s="2298" t="s">
        <v>2020</v>
      </c>
      <c r="B9" s="2299"/>
      <c r="C9" s="2299"/>
      <c r="D9" s="2299"/>
      <c r="E9" s="2299"/>
      <c r="F9" s="2299"/>
      <c r="G9" s="2300"/>
    </row>
    <row r="10" spans="1:7" ht="15" customHeight="1" x14ac:dyDescent="0.25">
      <c r="A10" s="1559" t="s">
        <v>1924</v>
      </c>
      <c r="B10" s="1560"/>
      <c r="C10" s="1560"/>
      <c r="D10" s="1560"/>
      <c r="E10" s="1560"/>
      <c r="F10" s="1560"/>
      <c r="G10" s="1561"/>
    </row>
    <row r="11" spans="1:7" ht="17.25" customHeight="1" x14ac:dyDescent="0.25">
      <c r="A11" s="2298" t="s">
        <v>1938</v>
      </c>
      <c r="B11" s="2299"/>
      <c r="C11" s="2299"/>
      <c r="D11" s="2299"/>
      <c r="E11" s="2299"/>
      <c r="F11" s="2299"/>
      <c r="G11" s="2300"/>
    </row>
    <row r="12" spans="1:7" ht="15" customHeight="1" x14ac:dyDescent="0.25">
      <c r="A12" s="1559" t="s">
        <v>1929</v>
      </c>
      <c r="B12" s="1560"/>
      <c r="C12" s="1560"/>
      <c r="D12" s="1560"/>
      <c r="E12" s="1560"/>
      <c r="F12" s="1560"/>
      <c r="G12" s="1561"/>
    </row>
    <row r="13" spans="1:7" ht="32.25" customHeight="1" x14ac:dyDescent="0.25">
      <c r="A13" s="2289" t="s">
        <v>1930</v>
      </c>
      <c r="B13" s="2290"/>
      <c r="C13" s="2290"/>
      <c r="D13" s="2290"/>
      <c r="E13" s="2290"/>
      <c r="F13" s="2290"/>
      <c r="G13" s="2291"/>
    </row>
    <row r="14" spans="1:7" x14ac:dyDescent="0.25">
      <c r="A14" s="1683" t="s">
        <v>1939</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2109</v>
      </c>
      <c r="B17" s="1957" t="s">
        <v>2110</v>
      </c>
      <c r="C17" s="1958" t="s">
        <v>2111</v>
      </c>
      <c r="D17" s="1867">
        <v>8175</v>
      </c>
      <c r="E17" s="1562">
        <f t="shared" ref="E17:E141" si="1">IF(D17&lt;=25000,D17,IF(D17&gt;25000,25000,0))</f>
        <v>8175</v>
      </c>
      <c r="F17" s="1815">
        <f t="shared" si="0"/>
        <v>8175</v>
      </c>
      <c r="G17" s="1816">
        <f>IF(F17=0,0,D17-F17)</f>
        <v>0</v>
      </c>
      <c r="H17" s="1669"/>
    </row>
    <row r="18" spans="1:8" x14ac:dyDescent="0.25">
      <c r="A18" s="1956" t="s">
        <v>2109</v>
      </c>
      <c r="B18" s="1957" t="s">
        <v>2110</v>
      </c>
      <c r="C18" s="1958" t="s">
        <v>2112</v>
      </c>
      <c r="D18" s="1867">
        <v>1995</v>
      </c>
      <c r="E18" s="1562">
        <f t="shared" ref="E18:E140" si="2">IF(D18&lt;=25000,D18,IF(D18&gt;25000,25000,0))</f>
        <v>1995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1995</v>
      </c>
      <c r="G18" s="1816">
        <f t="shared" ref="G18:G140" si="4">IF(F18=0,0,D18-F18)</f>
        <v>0</v>
      </c>
    </row>
    <row r="19" spans="1:8" x14ac:dyDescent="0.25">
      <c r="A19" s="1956" t="s">
        <v>2109</v>
      </c>
      <c r="B19" s="1957" t="s">
        <v>2110</v>
      </c>
      <c r="C19" s="1958" t="s">
        <v>2113</v>
      </c>
      <c r="D19" s="1867">
        <v>1250</v>
      </c>
      <c r="E19" s="1562">
        <f t="shared" si="2"/>
        <v>1250</v>
      </c>
      <c r="F19" s="1815">
        <f t="shared" si="3"/>
        <v>1250</v>
      </c>
      <c r="G19" s="1816">
        <f t="shared" si="4"/>
        <v>0</v>
      </c>
    </row>
    <row r="20" spans="1:8" x14ac:dyDescent="0.25">
      <c r="A20" s="1956" t="s">
        <v>2109</v>
      </c>
      <c r="B20" s="1957" t="s">
        <v>2110</v>
      </c>
      <c r="C20" s="1958" t="s">
        <v>2114</v>
      </c>
      <c r="D20" s="1867">
        <v>1250</v>
      </c>
      <c r="E20" s="1562">
        <f t="shared" si="2"/>
        <v>1250</v>
      </c>
      <c r="F20" s="1815">
        <f t="shared" si="3"/>
        <v>1250</v>
      </c>
      <c r="G20" s="1816">
        <f t="shared" si="4"/>
        <v>0</v>
      </c>
    </row>
    <row r="21" spans="1:8" x14ac:dyDescent="0.25">
      <c r="A21" s="1956" t="s">
        <v>2109</v>
      </c>
      <c r="B21" s="1957" t="s">
        <v>2110</v>
      </c>
      <c r="C21" s="1958" t="s">
        <v>2115</v>
      </c>
      <c r="D21" s="1867">
        <v>3500</v>
      </c>
      <c r="E21" s="1562">
        <f t="shared" si="2"/>
        <v>3500</v>
      </c>
      <c r="F21" s="1815">
        <f t="shared" si="3"/>
        <v>3500</v>
      </c>
      <c r="G21" s="1816">
        <f t="shared" si="4"/>
        <v>0</v>
      </c>
    </row>
    <row r="22" spans="1:8" x14ac:dyDescent="0.25">
      <c r="A22" s="1956" t="s">
        <v>2109</v>
      </c>
      <c r="B22" s="1957" t="s">
        <v>2110</v>
      </c>
      <c r="C22" s="1958" t="s">
        <v>2116</v>
      </c>
      <c r="D22" s="1867">
        <v>1200</v>
      </c>
      <c r="E22" s="1562">
        <f t="shared" si="2"/>
        <v>1200</v>
      </c>
      <c r="F22" s="1815">
        <f t="shared" si="3"/>
        <v>1200</v>
      </c>
      <c r="G22" s="1816">
        <f t="shared" si="4"/>
        <v>0</v>
      </c>
    </row>
    <row r="23" spans="1:8" x14ac:dyDescent="0.25">
      <c r="A23" s="1956" t="s">
        <v>2109</v>
      </c>
      <c r="B23" s="1957" t="s">
        <v>2110</v>
      </c>
      <c r="C23" s="1958" t="s">
        <v>2117</v>
      </c>
      <c r="D23" s="1867">
        <v>577</v>
      </c>
      <c r="E23" s="1562">
        <f t="shared" si="2"/>
        <v>577</v>
      </c>
      <c r="F23" s="1815">
        <f t="shared" si="3"/>
        <v>577</v>
      </c>
      <c r="G23" s="1816">
        <f t="shared" si="4"/>
        <v>0</v>
      </c>
    </row>
    <row r="24" spans="1:8" x14ac:dyDescent="0.25">
      <c r="A24" s="1959" t="s">
        <v>2129</v>
      </c>
      <c r="B24" s="1960" t="s">
        <v>2126</v>
      </c>
      <c r="C24" s="1958" t="s">
        <v>2118</v>
      </c>
      <c r="D24" s="1867">
        <v>500</v>
      </c>
      <c r="E24" s="1562">
        <f t="shared" si="2"/>
        <v>500</v>
      </c>
      <c r="F24" s="1815">
        <f t="shared" si="3"/>
        <v>500</v>
      </c>
      <c r="G24" s="1816">
        <f t="shared" si="4"/>
        <v>0</v>
      </c>
    </row>
    <row r="25" spans="1:8" x14ac:dyDescent="0.25">
      <c r="A25" s="1959" t="s">
        <v>2128</v>
      </c>
      <c r="B25" s="1960" t="s">
        <v>2127</v>
      </c>
      <c r="C25" s="1958" t="s">
        <v>2119</v>
      </c>
      <c r="D25" s="1867">
        <v>5400</v>
      </c>
      <c r="E25" s="1562">
        <f t="shared" si="2"/>
        <v>5400</v>
      </c>
      <c r="F25" s="1815">
        <f t="shared" si="3"/>
        <v>5400</v>
      </c>
      <c r="G25" s="1816">
        <f t="shared" si="4"/>
        <v>0</v>
      </c>
    </row>
    <row r="26" spans="1:8" x14ac:dyDescent="0.25">
      <c r="A26" s="1959" t="s">
        <v>2128</v>
      </c>
      <c r="B26" s="1960" t="s">
        <v>2127</v>
      </c>
      <c r="C26" s="1958" t="s">
        <v>2120</v>
      </c>
      <c r="D26" s="1867">
        <v>3685</v>
      </c>
      <c r="E26" s="1562">
        <f t="shared" si="2"/>
        <v>3685</v>
      </c>
      <c r="F26" s="1815">
        <f t="shared" si="3"/>
        <v>3685</v>
      </c>
      <c r="G26" s="1816">
        <f t="shared" si="4"/>
        <v>0</v>
      </c>
    </row>
    <row r="27" spans="1:8" x14ac:dyDescent="0.25">
      <c r="A27" s="1959" t="s">
        <v>2124</v>
      </c>
      <c r="B27" s="1960" t="s">
        <v>2125</v>
      </c>
      <c r="C27" s="1958" t="s">
        <v>2121</v>
      </c>
      <c r="D27" s="1867">
        <v>2381</v>
      </c>
      <c r="E27" s="1562">
        <f t="shared" si="2"/>
        <v>2381</v>
      </c>
      <c r="F27" s="1815">
        <f t="shared" si="3"/>
        <v>2381</v>
      </c>
      <c r="G27" s="1816">
        <f t="shared" si="4"/>
        <v>0</v>
      </c>
    </row>
    <row r="28" spans="1:8" x14ac:dyDescent="0.25">
      <c r="A28" s="1959" t="s">
        <v>2124</v>
      </c>
      <c r="B28" s="1960" t="s">
        <v>2125</v>
      </c>
      <c r="C28" s="1958" t="s">
        <v>2122</v>
      </c>
      <c r="D28" s="1867">
        <v>1106</v>
      </c>
      <c r="E28" s="1562">
        <f t="shared" si="2"/>
        <v>1106</v>
      </c>
      <c r="F28" s="1815">
        <f t="shared" si="3"/>
        <v>1106</v>
      </c>
      <c r="G28" s="1816">
        <f t="shared" si="4"/>
        <v>0</v>
      </c>
    </row>
    <row r="29" spans="1:8" x14ac:dyDescent="0.25">
      <c r="A29" s="1959" t="s">
        <v>2124</v>
      </c>
      <c r="B29" s="1960" t="s">
        <v>2125</v>
      </c>
      <c r="C29" s="1958" t="s">
        <v>2123</v>
      </c>
      <c r="D29" s="1867">
        <v>3760</v>
      </c>
      <c r="E29" s="1562">
        <f t="shared" si="2"/>
        <v>3760</v>
      </c>
      <c r="F29" s="1815">
        <f t="shared" si="3"/>
        <v>3760</v>
      </c>
      <c r="G29" s="1816">
        <f t="shared" si="4"/>
        <v>0</v>
      </c>
    </row>
    <row r="30" spans="1:8" x14ac:dyDescent="0.25">
      <c r="A30" s="1959" t="s">
        <v>2124</v>
      </c>
      <c r="B30" s="1960" t="s">
        <v>2125</v>
      </c>
      <c r="C30" s="1961" t="s">
        <v>2130</v>
      </c>
      <c r="D30" s="1867">
        <v>319</v>
      </c>
      <c r="E30" s="1562">
        <f t="shared" si="2"/>
        <v>319</v>
      </c>
      <c r="F30" s="1815">
        <f t="shared" si="3"/>
        <v>319</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35098</v>
      </c>
      <c r="E141" s="1563">
        <f t="shared" si="1"/>
        <v>25000</v>
      </c>
      <c r="F141" s="1817">
        <f>SUM(F17:F140)</f>
        <v>35098</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09" t="s">
        <v>1942</v>
      </c>
      <c r="B11" s="2310"/>
      <c r="C11" s="2310"/>
      <c r="D11" s="2311"/>
      <c r="E11" s="978">
        <v>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203077</v>
      </c>
      <c r="F19" s="1822"/>
      <c r="G19" s="1824">
        <f>'Expenditures 15-22'!K33-SUM('Expenditures 15-22'!G33,'Expenditures 15-22'!I33)+'Expenditures 15-22'!D229</f>
        <v>203077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27911</v>
      </c>
      <c r="F21" s="1825"/>
      <c r="G21" s="1828">
        <f>'Expenditures 15-22'!K42-SUM('Expenditures 15-22'!G42,'Expenditures 15-22'!I42)+'Expenditures 15-22'!K120-SUM('Expenditures 15-22'!G120,'Expenditures 15-22'!I120)+'Expenditures 15-22'!K180-SUM('Expenditures 15-22'!G180,'Expenditures 15-22'!I180)+'Expenditures 15-22'!D238</f>
        <v>27911</v>
      </c>
      <c r="H21" s="988"/>
      <c r="I21" s="162"/>
    </row>
    <row r="22" spans="1:9" s="669" customFormat="1" ht="12" customHeight="1" x14ac:dyDescent="0.2">
      <c r="A22" s="995" t="s">
        <v>585</v>
      </c>
      <c r="B22" s="996"/>
      <c r="C22" s="994">
        <v>2200</v>
      </c>
      <c r="D22" s="1825"/>
      <c r="E22" s="1827">
        <f>'Expenditures 15-22'!K47-SUM('Expenditures 15-22'!G47,'Expenditures 15-22'!I47)+'Expenditures 15-22'!D243</f>
        <v>96014</v>
      </c>
      <c r="F22" s="1825"/>
      <c r="G22" s="1828">
        <f>'Expenditures 15-22'!K47-SUM('Expenditures 15-22'!G47,'Expenditures 15-22'!I47)+'Expenditures 15-22'!D243</f>
        <v>96014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107425</v>
      </c>
      <c r="F23" s="1825"/>
      <c r="G23" s="1827">
        <f>'Expenditures 15-22'!K53-SUM('Expenditures 15-22'!G53,'Expenditures 15-22'!I53)+'Expenditures 15-22'!D257+'Expenditures 15-22'!K330-SUM('Expenditures 15-22'!G330,'Expenditures 15-22'!I330)</f>
        <v>107425</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6041</v>
      </c>
      <c r="E27" s="1827">
        <f>E8</f>
        <v>0</v>
      </c>
      <c r="F27" s="1827">
        <f>'Expenditures 15-22'!K60-SUM('Expenditures 15-22'!G60,'Expenditures 15-22'!I60)+'Expenditures 15-22'!D264-E8</f>
        <v>6041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8336</v>
      </c>
      <c r="F28" s="1829">
        <f>'Expenditures 15-22'!K61-SUM('Expenditures 15-22'!G61,'Expenditures 15-22'!I61)+'Expenditures 15-22'!K124-SUM('Expenditures 15-22'!G124,'Expenditures 15-22'!I124)+'Expenditures 15-22'!D266-E9</f>
        <v>8336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624</v>
      </c>
      <c r="F39" s="1825"/>
      <c r="G39" s="1827">
        <f>'Expenditures 15-22'!K75-SUM('Expenditures 15-22'!G75,'Expenditures 15-22'!I75)+'Expenditures 15-22'!K130-SUM('Expenditures 15-22'!G130,'Expenditures 15-22'!I130)+'Expenditures 15-22'!K185-SUM('Expenditures 15-22'!G185,'Expenditures 15-22'!I185)+'Expenditures 15-22'!D280</f>
        <v>624</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6041</v>
      </c>
      <c r="E41" s="1829">
        <f>SUM(E19:E40)</f>
        <v>443387</v>
      </c>
      <c r="F41" s="1829">
        <f>SUM(F19:F39)</f>
        <v>14377</v>
      </c>
      <c r="G41" s="1829">
        <f>SUM(G19:G40)</f>
        <v>435051</v>
      </c>
    </row>
    <row r="42" spans="1:7" x14ac:dyDescent="0.2">
      <c r="A42" s="988"/>
      <c r="B42" s="162"/>
      <c r="C42" s="1002"/>
      <c r="D42" s="2307" t="s">
        <v>543</v>
      </c>
      <c r="E42" s="2308"/>
      <c r="F42" s="1003" t="s">
        <v>544</v>
      </c>
      <c r="G42" s="1004"/>
    </row>
    <row r="43" spans="1:7" ht="12" customHeight="1" x14ac:dyDescent="0.2">
      <c r="A43" s="988"/>
      <c r="B43" s="162"/>
      <c r="C43" s="1002"/>
      <c r="D43" s="1830" t="s">
        <v>493</v>
      </c>
      <c r="E43" s="1831">
        <f>D41</f>
        <v>6041</v>
      </c>
      <c r="F43" s="1830" t="s">
        <v>495</v>
      </c>
      <c r="G43" s="1831">
        <f>F41</f>
        <v>14377</v>
      </c>
    </row>
    <row r="44" spans="1:7" ht="12" customHeight="1" x14ac:dyDescent="0.2">
      <c r="A44" s="988"/>
      <c r="B44" s="162"/>
      <c r="C44" s="1002"/>
      <c r="D44" s="1830" t="s">
        <v>494</v>
      </c>
      <c r="E44" s="1831">
        <f>E41</f>
        <v>443387</v>
      </c>
      <c r="F44" s="1830" t="s">
        <v>494</v>
      </c>
      <c r="G44" s="1831">
        <f>G41</f>
        <v>435051</v>
      </c>
    </row>
    <row r="45" spans="1:7" ht="12" customHeight="1" x14ac:dyDescent="0.2">
      <c r="A45" s="988"/>
      <c r="B45" s="162"/>
      <c r="C45" s="162"/>
      <c r="D45" s="1832" t="s">
        <v>1063</v>
      </c>
      <c r="E45" s="1833">
        <f>(E43/E44)</f>
        <v>1.3624666487740958E-2</v>
      </c>
      <c r="F45" s="1832" t="s">
        <v>1063</v>
      </c>
      <c r="G45" s="1833">
        <f>(G43/G44)</f>
        <v>3.3046700271922143E-2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2" sqref="F32"/>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5" t="s">
        <v>1446</v>
      </c>
      <c r="B1" s="2315"/>
      <c r="C1" s="2315"/>
      <c r="D1" s="2315"/>
      <c r="E1" s="2315"/>
      <c r="F1" s="2315"/>
    </row>
    <row r="2" spans="1:10" x14ac:dyDescent="0.2">
      <c r="A2" s="1911" t="s">
        <v>2045</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6" t="s">
        <v>1627</v>
      </c>
      <c r="B5" s="2317"/>
      <c r="C5" s="2318"/>
      <c r="D5" s="2318"/>
      <c r="E5" s="2318"/>
      <c r="F5" s="2318"/>
    </row>
    <row r="6" spans="1:10" ht="12" customHeight="1" x14ac:dyDescent="0.25">
      <c r="A6" s="1874"/>
      <c r="B6" s="1875"/>
      <c r="C6" s="2319" t="str">
        <f>COVER!A17</f>
        <v>Quad-City Career &amp; Tech Ed Consortium</v>
      </c>
      <c r="D6" s="2319"/>
      <c r="E6" s="2319"/>
      <c r="F6" s="1876"/>
    </row>
    <row r="7" spans="1:10" ht="11.25" customHeight="1" thickBot="1" x14ac:dyDescent="0.3">
      <c r="A7" s="1874"/>
      <c r="B7" s="1875"/>
      <c r="C7" s="2320">
        <f>COVER!A13</f>
        <v>49081030046</v>
      </c>
      <c r="D7" s="2320"/>
      <c r="E7" s="2320"/>
      <c r="F7" s="1876"/>
    </row>
    <row r="8" spans="1:10" ht="25.5" customHeight="1" thickBot="1" x14ac:dyDescent="0.25">
      <c r="A8" s="1917" t="s">
        <v>2022</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t="s">
        <v>2074</v>
      </c>
      <c r="D11" s="1889" t="s">
        <v>2074</v>
      </c>
      <c r="E11" s="1890"/>
      <c r="F11" s="1891" t="s">
        <v>2090</v>
      </c>
      <c r="H11" s="1902">
        <f>IF(C11="X",5,0)</f>
        <v>5</v>
      </c>
      <c r="I11" s="1902">
        <f>IF(D11="X",5,0)</f>
        <v>5</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t="s">
        <v>2074</v>
      </c>
      <c r="D14" s="1889" t="s">
        <v>2074</v>
      </c>
      <c r="E14" s="1892"/>
      <c r="F14" s="1891" t="s">
        <v>2091</v>
      </c>
      <c r="H14" s="1902">
        <f t="shared" si="0"/>
        <v>5</v>
      </c>
      <c r="I14" s="1902">
        <f t="shared" si="1"/>
        <v>5</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t="s">
        <v>2074</v>
      </c>
      <c r="D17" s="1889" t="s">
        <v>2074</v>
      </c>
      <c r="E17" s="1892"/>
      <c r="F17" s="1891" t="s">
        <v>2090</v>
      </c>
      <c r="H17" s="1902">
        <f t="shared" si="0"/>
        <v>5</v>
      </c>
      <c r="I17" s="1902">
        <f t="shared" si="1"/>
        <v>5</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2074</v>
      </c>
      <c r="D24" s="1889" t="s">
        <v>2074</v>
      </c>
      <c r="E24" s="1892"/>
      <c r="F24" s="1891" t="s">
        <v>2091</v>
      </c>
      <c r="H24" s="1902">
        <f t="shared" si="0"/>
        <v>5</v>
      </c>
      <c r="I24" s="1902">
        <f t="shared" si="1"/>
        <v>5</v>
      </c>
      <c r="J24" s="1902">
        <f t="shared" si="2"/>
        <v>0</v>
      </c>
    </row>
    <row r="25" spans="1:12" ht="12" customHeight="1" x14ac:dyDescent="0.2">
      <c r="A25" s="1887" t="s">
        <v>1614</v>
      </c>
      <c r="B25" s="1888"/>
      <c r="C25" s="1889" t="s">
        <v>2074</v>
      </c>
      <c r="D25" s="1889" t="s">
        <v>2074</v>
      </c>
      <c r="E25" s="1892"/>
      <c r="F25" s="1891" t="s">
        <v>2090</v>
      </c>
      <c r="H25" s="1902">
        <f t="shared" si="0"/>
        <v>5</v>
      </c>
      <c r="I25" s="1902">
        <f t="shared" si="1"/>
        <v>5</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t="s">
        <v>2074</v>
      </c>
      <c r="D27" s="1889" t="s">
        <v>2074</v>
      </c>
      <c r="E27" s="1892"/>
      <c r="F27" s="1891" t="s">
        <v>2090</v>
      </c>
      <c r="H27" s="1902">
        <f t="shared" si="0"/>
        <v>5</v>
      </c>
      <c r="I27" s="1902">
        <f t="shared" si="1"/>
        <v>5</v>
      </c>
      <c r="J27" s="1902">
        <f t="shared" si="2"/>
        <v>0</v>
      </c>
    </row>
    <row r="28" spans="1:12" ht="12" customHeight="1" x14ac:dyDescent="0.2">
      <c r="A28" s="1887" t="s">
        <v>1617</v>
      </c>
      <c r="B28" s="1888"/>
      <c r="C28" s="1889" t="s">
        <v>2074</v>
      </c>
      <c r="D28" s="1889" t="s">
        <v>2074</v>
      </c>
      <c r="E28" s="1892"/>
      <c r="F28" s="1891" t="s">
        <v>2090</v>
      </c>
      <c r="H28" s="1902">
        <f t="shared" si="0"/>
        <v>5</v>
      </c>
      <c r="I28" s="1902">
        <f t="shared" si="1"/>
        <v>5</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2074</v>
      </c>
      <c r="D31" s="1889" t="s">
        <v>2074</v>
      </c>
      <c r="E31" s="1892"/>
      <c r="F31" s="1891" t="s">
        <v>2092</v>
      </c>
      <c r="H31" s="1902">
        <f t="shared" si="0"/>
        <v>5</v>
      </c>
      <c r="I31" s="1902">
        <f t="shared" si="1"/>
        <v>5</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40</v>
      </c>
      <c r="I34" s="1902">
        <f>SUM(I11:I32)</f>
        <v>40</v>
      </c>
      <c r="J34" s="1902">
        <f>SUM(J11:J32)</f>
        <v>0</v>
      </c>
      <c r="K34" s="1902">
        <f>SUM(H34:J34)</f>
        <v>80</v>
      </c>
    </row>
    <row r="35" spans="1:11" ht="12" customHeight="1" x14ac:dyDescent="0.2">
      <c r="A35" s="1895" t="s">
        <v>1459</v>
      </c>
      <c r="B35" s="1896"/>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7"/>
      <c r="B39" s="1897"/>
      <c r="C39" s="1897"/>
      <c r="D39" s="1897"/>
      <c r="E39" s="1897"/>
      <c r="F39" s="1897"/>
    </row>
    <row r="40" spans="1:11" s="1894" customFormat="1" ht="12" customHeight="1" x14ac:dyDescent="0.25">
      <c r="A40" s="1898" t="s">
        <v>1458</v>
      </c>
      <c r="B40" s="1899"/>
      <c r="C40" s="2329"/>
      <c r="D40" s="2329"/>
      <c r="E40" s="2329"/>
      <c r="F40" s="2330"/>
      <c r="H40" s="1903"/>
      <c r="I40" s="1903"/>
      <c r="J40" s="1903"/>
      <c r="K40" s="1903"/>
    </row>
    <row r="41" spans="1:11" s="1894" customFormat="1" ht="12" customHeight="1" x14ac:dyDescent="0.25">
      <c r="A41" s="2331"/>
      <c r="B41" s="2332"/>
      <c r="C41" s="2332"/>
      <c r="D41" s="2332"/>
      <c r="E41" s="2332"/>
      <c r="F41" s="2333"/>
      <c r="H41" s="1903"/>
      <c r="I41" s="1903"/>
      <c r="J41" s="1903"/>
      <c r="K41" s="1903"/>
    </row>
    <row r="42" spans="1:11" s="1894" customFormat="1" ht="12" customHeight="1" x14ac:dyDescent="0.25">
      <c r="A42" s="2331"/>
      <c r="B42" s="2332"/>
      <c r="C42" s="2332"/>
      <c r="D42" s="2332"/>
      <c r="E42" s="2332"/>
      <c r="F42" s="2333"/>
      <c r="H42" s="1903"/>
      <c r="I42" s="1903"/>
      <c r="J42" s="1903"/>
      <c r="K42" s="1903"/>
    </row>
    <row r="43" spans="1:11" s="1894" customFormat="1" ht="15" x14ac:dyDescent="0.25">
      <c r="A43" s="2323"/>
      <c r="B43" s="2324"/>
      <c r="C43" s="2324"/>
      <c r="D43" s="2324"/>
      <c r="E43" s="2324"/>
      <c r="F43" s="2325"/>
      <c r="H43" s="1903"/>
      <c r="I43" s="1903"/>
      <c r="J43" s="1903"/>
      <c r="K43" s="1903"/>
    </row>
    <row r="44" spans="1:11" s="1894" customFormat="1" ht="12" hidden="1" customHeight="1" x14ac:dyDescent="0.25">
      <c r="A44" s="2323"/>
      <c r="B44" s="2324"/>
      <c r="C44" s="2324"/>
      <c r="D44" s="2324"/>
      <c r="E44" s="2324"/>
      <c r="F44" s="2325"/>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44" sqref="C4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9" t="str">
        <f>COVER!A17</f>
        <v>Quad-City Career &amp; Tech Ed Consortium</v>
      </c>
      <c r="J6" s="2340"/>
      <c r="Q6" s="1686"/>
    </row>
    <row r="7" spans="1:17" x14ac:dyDescent="0.2">
      <c r="A7" s="2341" t="s">
        <v>924</v>
      </c>
      <c r="B7" s="2342"/>
      <c r="C7" s="2342"/>
      <c r="D7" s="2342"/>
      <c r="E7" s="2343"/>
      <c r="F7" s="1018"/>
      <c r="G7" s="1010"/>
      <c r="H7" s="1017" t="s">
        <v>390</v>
      </c>
      <c r="I7" s="2344">
        <f>COVER!A13</f>
        <v>49081030046</v>
      </c>
      <c r="J7" s="2344"/>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107425</v>
      </c>
      <c r="F13" s="1040"/>
      <c r="G13" s="1834">
        <f t="shared" si="0"/>
        <v>107425</v>
      </c>
      <c r="H13" s="1041">
        <v>127233</v>
      </c>
      <c r="I13" s="1040"/>
      <c r="J13" s="1834">
        <f t="shared" si="1"/>
        <v>127233</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8" t="s">
        <v>7</v>
      </c>
      <c r="C18" s="2349"/>
      <c r="D18" s="2350"/>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107425</v>
      </c>
      <c r="F19" s="1836">
        <f t="shared" si="2"/>
        <v>0</v>
      </c>
      <c r="G19" s="1836">
        <f t="shared" si="2"/>
        <v>107425</v>
      </c>
      <c r="H19" s="1836">
        <f t="shared" si="2"/>
        <v>127233</v>
      </c>
      <c r="I19" s="1836">
        <f t="shared" si="2"/>
        <v>0</v>
      </c>
      <c r="J19" s="1836">
        <f t="shared" si="2"/>
        <v>127233</v>
      </c>
    </row>
    <row r="20" spans="1:10" ht="13.5" thickTop="1" x14ac:dyDescent="0.2">
      <c r="A20" s="1036">
        <v>9</v>
      </c>
      <c r="B20" s="2351" t="s">
        <v>1703</v>
      </c>
      <c r="C20" s="2351"/>
      <c r="D20" s="2352"/>
      <c r="E20" s="1047"/>
      <c r="F20" s="1047"/>
      <c r="G20" s="1047"/>
      <c r="H20" s="1047"/>
      <c r="I20" s="1047"/>
      <c r="J20" s="1837">
        <f>IF(AND(G19&gt;0,J19&gt;0),(((J19-G19)/G19)),"Enter Budget Data")</f>
        <v>0.18438910868047476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1941</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t="s">
        <v>2074</v>
      </c>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29" sqref="B2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2093</v>
      </c>
    </row>
    <row r="6" spans="1:2" x14ac:dyDescent="0.2">
      <c r="A6" s="1069">
        <v>2</v>
      </c>
      <c r="B6" s="329" t="s">
        <v>2105</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Quad-City Career &amp; Tech Ed Consortium</v>
      </c>
    </row>
    <row r="65" spans="2:2" x14ac:dyDescent="0.2">
      <c r="B65" s="1071">
        <f>COVER!A13</f>
        <v>49081030046</v>
      </c>
    </row>
  </sheetData>
  <phoneticPr fontId="14" type="noConversion"/>
  <pageMargins left="0.2" right="0.2" top="1.17" bottom="0.75" header="0.19" footer="0.16"/>
  <pageSetup scale="77"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8" t="s">
        <v>1784</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4</xdr:col>
                <xdr:colOff>0</xdr:colOff>
                <xdr:row>11</xdr:row>
                <xdr:rowOff>0</xdr:rowOff>
              </from>
              <to>
                <xdr:col>5</xdr:col>
                <xdr:colOff>285750</xdr:colOff>
                <xdr:row>15</xdr:row>
                <xdr:rowOff>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6</xdr:col>
                <xdr:colOff>0</xdr:colOff>
                <xdr:row>11</xdr:row>
                <xdr:rowOff>0</xdr:rowOff>
              </from>
              <to>
                <xdr:col>7</xdr:col>
                <xdr:colOff>285750</xdr:colOff>
                <xdr:row>15</xdr:row>
                <xdr:rowOff>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8</xdr:col>
                <xdr:colOff>0</xdr:colOff>
                <xdr:row>11</xdr:row>
                <xdr:rowOff>0</xdr:rowOff>
              </from>
              <to>
                <xdr:col>9</xdr:col>
                <xdr:colOff>285750</xdr:colOff>
                <xdr:row>15</xdr:row>
                <xdr:rowOff>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10</xdr:col>
                <xdr:colOff>0</xdr:colOff>
                <xdr:row>11</xdr:row>
                <xdr:rowOff>0</xdr:rowOff>
              </from>
              <to>
                <xdr:col>11</xdr:col>
                <xdr:colOff>285750</xdr:colOff>
                <xdr:row>15</xdr:row>
                <xdr:rowOff>0</xdr:rowOff>
              </to>
            </anchor>
          </objectPr>
        </oleObject>
      </mc:Choice>
      <mc:Fallback>
        <oleObject progId="AcroExch.Document.7"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5"/>
      <c r="H2" s="1075"/>
    </row>
    <row r="3" spans="1:8" ht="57" customHeight="1" x14ac:dyDescent="0.2">
      <c r="A3" s="2372" t="s">
        <v>1786</v>
      </c>
      <c r="B3" s="2373"/>
      <c r="C3" s="2373"/>
      <c r="D3" s="2373"/>
      <c r="E3" s="2373"/>
      <c r="F3" s="2374"/>
      <c r="G3" s="1075"/>
      <c r="H3" s="1075"/>
    </row>
    <row r="4" spans="1:8" ht="14.25" customHeight="1" x14ac:dyDescent="0.2">
      <c r="A4" s="2378" t="s">
        <v>2053</v>
      </c>
      <c r="B4" s="2379"/>
      <c r="C4" s="2379"/>
      <c r="D4" s="2379"/>
      <c r="E4" s="2379"/>
      <c r="F4" s="2380"/>
      <c r="G4" s="1075"/>
      <c r="H4" s="1075"/>
    </row>
    <row r="5" spans="1:8" ht="14.25" customHeight="1" x14ac:dyDescent="0.2">
      <c r="A5" s="2381" t="s">
        <v>2054</v>
      </c>
      <c r="B5" s="2382"/>
      <c r="C5" s="2382"/>
      <c r="D5" s="2382"/>
      <c r="E5" s="2382"/>
      <c r="F5" s="2383"/>
      <c r="G5" s="1075"/>
      <c r="H5" s="1075"/>
    </row>
    <row r="6" spans="1:8" s="1076" customFormat="1" ht="41.25" customHeight="1" x14ac:dyDescent="0.2">
      <c r="A6" s="2375" t="s">
        <v>1792</v>
      </c>
      <c r="B6" s="2376"/>
      <c r="C6" s="2376"/>
      <c r="D6" s="2376"/>
      <c r="E6" s="2376"/>
      <c r="F6" s="237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2163973</v>
      </c>
      <c r="C8" s="1838">
        <f>'Acct Summary 7-8'!D8</f>
        <v>0</v>
      </c>
      <c r="D8" s="1838">
        <f>'Acct Summary 7-8'!F8</f>
        <v>0</v>
      </c>
      <c r="E8" s="1838">
        <f>'Acct Summary 7-8'!I8</f>
        <v>0</v>
      </c>
      <c r="F8" s="1838">
        <f>SUM(B8:E8)</f>
        <v>2163973</v>
      </c>
    </row>
    <row r="9" spans="1:8" s="1080" customFormat="1" ht="14.25" customHeight="1" thickBot="1" x14ac:dyDescent="0.25">
      <c r="A9" s="1079" t="s">
        <v>1436</v>
      </c>
      <c r="B9" s="1839">
        <f>'Acct Summary 7-8'!C17</f>
        <v>1966900</v>
      </c>
      <c r="C9" s="1839">
        <f>'Acct Summary 7-8'!D17</f>
        <v>0</v>
      </c>
      <c r="D9" s="1839">
        <f>'Acct Summary 7-8'!F17</f>
        <v>0</v>
      </c>
      <c r="E9" s="1838"/>
      <c r="F9" s="1838">
        <f>SUM(B9:E9)</f>
        <v>1966900</v>
      </c>
    </row>
    <row r="10" spans="1:8" s="1080" customFormat="1" ht="14.25" thickTop="1" thickBot="1" x14ac:dyDescent="0.25">
      <c r="A10" s="1081" t="s">
        <v>1437</v>
      </c>
      <c r="B10" s="1840">
        <f>(B8-B9)</f>
        <v>197073</v>
      </c>
      <c r="C10" s="1840">
        <f>(C8-C9)</f>
        <v>0</v>
      </c>
      <c r="D10" s="1840">
        <f>(D8-D9)</f>
        <v>0</v>
      </c>
      <c r="E10" s="1839">
        <f>(E8-E9)</f>
        <v>0</v>
      </c>
      <c r="F10" s="1841">
        <f>SUM(F8-F9)</f>
        <v>197073</v>
      </c>
    </row>
    <row r="11" spans="1:8" s="1080" customFormat="1" ht="14.25" thickTop="1" thickBot="1" x14ac:dyDescent="0.25">
      <c r="A11" s="1082" t="s">
        <v>1785</v>
      </c>
      <c r="B11" s="1842">
        <f>'Acct Summary 7-8'!C81</f>
        <v>47022</v>
      </c>
      <c r="C11" s="1842">
        <f>'Acct Summary 7-8'!D81</f>
        <v>0</v>
      </c>
      <c r="D11" s="1842">
        <f>'Acct Summary 7-8'!F81</f>
        <v>0</v>
      </c>
      <c r="E11" s="1842">
        <f>'Acct Summary 7-8'!I81</f>
        <v>0</v>
      </c>
      <c r="F11" s="1843">
        <f>SUM(B11:E11)</f>
        <v>47022</v>
      </c>
    </row>
    <row r="12" spans="1:8" ht="16.5" customHeight="1" thickTop="1" x14ac:dyDescent="0.2">
      <c r="A12" s="1083"/>
      <c r="B12" s="1084"/>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1787</v>
      </c>
      <c r="B16" s="2362"/>
      <c r="C16" s="2362"/>
      <c r="D16" s="2362"/>
      <c r="E16" s="236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4" t="s">
        <v>686</v>
      </c>
      <c r="B3" s="2385"/>
      <c r="C3" s="2385"/>
      <c r="D3" s="2386"/>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5" t="s">
        <v>1584</v>
      </c>
      <c r="D7" s="2396"/>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9" t="s">
        <v>332</v>
      </c>
      <c r="D21" s="2400"/>
    </row>
    <row r="22" spans="1:10" ht="12.75" x14ac:dyDescent="0.2">
      <c r="A22" s="1140"/>
      <c r="B22" s="1141">
        <v>2</v>
      </c>
      <c r="C22" s="2397" t="s">
        <v>1605</v>
      </c>
      <c r="D22" s="239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1" t="s">
        <v>557</v>
      </c>
      <c r="D43" s="240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3" t="s">
        <v>817</v>
      </c>
      <c r="D56" s="239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3" t="s">
        <v>1797</v>
      </c>
      <c r="D70" s="239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49081030046</v>
      </c>
    </row>
    <row r="3" spans="1:2" x14ac:dyDescent="0.2">
      <c r="A3" t="s">
        <v>1013</v>
      </c>
      <c r="B3" s="138" t="str">
        <f>COVER!A15</f>
        <v>Rock Island</v>
      </c>
    </row>
    <row r="4" spans="1:2" x14ac:dyDescent="0.2">
      <c r="A4" t="s">
        <v>1064</v>
      </c>
      <c r="B4" s="138" t="str">
        <f>COVER!A17</f>
        <v>Quad-City Career &amp; Tech Ed Consortium</v>
      </c>
    </row>
    <row r="5" spans="1:2" x14ac:dyDescent="0.2">
      <c r="A5" t="s">
        <v>728</v>
      </c>
      <c r="B5" s="138" t="str">
        <f>COVER!A38</f>
        <v>Dr. Jay Morrow</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066.004397</v>
      </c>
    </row>
    <row r="16" spans="1:2" x14ac:dyDescent="0.2">
      <c r="A16" t="s">
        <v>442</v>
      </c>
      <c r="B16" s="138" t="str">
        <f>COVER!T13</f>
        <v>Bohnsack &amp; Frommelt LLP</v>
      </c>
    </row>
    <row r="17" spans="1:2" x14ac:dyDescent="0.2">
      <c r="A17" t="s">
        <v>939</v>
      </c>
      <c r="B17" s="138" t="str">
        <f>COVER!T15</f>
        <v>Sarah Bohnsack</v>
      </c>
    </row>
    <row r="18" spans="1:2" x14ac:dyDescent="0.2">
      <c r="A18" t="s">
        <v>1212</v>
      </c>
      <c r="B18" s="138" t="str">
        <f>COVER!T17</f>
        <v>1500 River Drive, Suite 200</v>
      </c>
    </row>
    <row r="19" spans="1:2" x14ac:dyDescent="0.2">
      <c r="A19" t="s">
        <v>941</v>
      </c>
      <c r="B19" s="138" t="str">
        <f>COVER!T25</f>
        <v>sarah@governmentalservice.com</v>
      </c>
    </row>
    <row r="20" spans="1:2" x14ac:dyDescent="0.2">
      <c r="A20" t="s">
        <v>942</v>
      </c>
      <c r="B20" s="138" t="str">
        <f>COVER!T19</f>
        <v>Moline</v>
      </c>
    </row>
    <row r="21" spans="1:2" x14ac:dyDescent="0.2">
      <c r="A21" t="s">
        <v>500</v>
      </c>
      <c r="B21" s="138" t="str">
        <f>COVER!X19</f>
        <v>IL</v>
      </c>
    </row>
    <row r="22" spans="1:2" x14ac:dyDescent="0.2">
      <c r="A22" t="s">
        <v>943</v>
      </c>
      <c r="B22" s="138">
        <f>COVER!Z19</f>
        <v>61265</v>
      </c>
    </row>
    <row r="23" spans="1:2" x14ac:dyDescent="0.2">
      <c r="A23" t="s">
        <v>1214</v>
      </c>
      <c r="B23" s="138" t="str">
        <f>COVER!T21</f>
        <v>563-343-9595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47022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47022</v>
      </c>
      <c r="D92" s="2" t="str">
        <f t="shared" si="0"/>
        <v>Error?</v>
      </c>
    </row>
    <row r="93" spans="1:4" x14ac:dyDescent="0.2">
      <c r="A93" s="5">
        <v>32</v>
      </c>
      <c r="B93" s="138">
        <f>'Assets-Liab 5-6'!C41</f>
        <v>47022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152607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152607</v>
      </c>
      <c r="C279" s="2" t="s">
        <v>594</v>
      </c>
      <c r="D279" s="2" t="str">
        <f t="shared" si="3"/>
        <v>Error?</v>
      </c>
    </row>
    <row r="280" spans="1:4" x14ac:dyDescent="0.2">
      <c r="A280" s="5">
        <v>219</v>
      </c>
      <c r="B280" s="138">
        <f>'Assets-Liab 5-6'!M40</f>
        <v>152607</v>
      </c>
      <c r="D280" s="2" t="str">
        <f t="shared" si="3"/>
        <v>Error?</v>
      </c>
    </row>
    <row r="281" spans="1:4" x14ac:dyDescent="0.2">
      <c r="A281" s="5">
        <v>220</v>
      </c>
      <c r="B281" s="138">
        <f>'Assets-Liab 5-6'!M41</f>
        <v>152607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62903</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62903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16834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16834</v>
      </c>
      <c r="C727" s="2" t="s">
        <v>594</v>
      </c>
      <c r="D727" s="2" t="str">
        <f t="shared" si="10"/>
        <v>Error?</v>
      </c>
    </row>
    <row r="728" spans="1:4" x14ac:dyDescent="0.2">
      <c r="A728" s="5">
        <v>667</v>
      </c>
      <c r="B728" s="138">
        <f>'Expenditures 15-22'!C44</f>
        <v>55784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55784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77123</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5051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154792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217695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20910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20910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3308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3308</v>
      </c>
      <c r="C785" s="2" t="s">
        <v>594</v>
      </c>
      <c r="D785" s="2" t="str">
        <f t="shared" si="11"/>
        <v>Error?</v>
      </c>
    </row>
    <row r="786" spans="1:4" x14ac:dyDescent="0.2">
      <c r="A786" s="5">
        <v>725</v>
      </c>
      <c r="B786" s="138">
        <f>'Expenditures 15-22'!D44</f>
        <v>12172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12172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20458</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970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36908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57818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18264</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18264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6758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6758</v>
      </c>
      <c r="C843" s="2" t="s">
        <v>594</v>
      </c>
      <c r="D843" s="2" t="str">
        <f t="shared" si="12"/>
        <v>Error?</v>
      </c>
    </row>
    <row r="844" spans="1:4" x14ac:dyDescent="0.2">
      <c r="A844" s="5">
        <v>783</v>
      </c>
      <c r="B844" s="138">
        <f>'Expenditures 15-22'!E44</f>
        <v>28058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28058</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9493</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v>
      </c>
      <c r="D855" s="2" t="str">
        <f t="shared" si="12"/>
        <v>Error?</v>
      </c>
    </row>
    <row r="856" spans="1:4" x14ac:dyDescent="0.2">
      <c r="A856" s="5">
        <v>795</v>
      </c>
      <c r="B856" s="138">
        <f>'Expenditures 15-22'!E61</f>
        <v>6758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6778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51087</v>
      </c>
      <c r="C871" s="2" t="s">
        <v>594</v>
      </c>
      <c r="D871" s="2" t="str">
        <f t="shared" si="12"/>
        <v>Error?</v>
      </c>
    </row>
    <row r="872" spans="1:4" x14ac:dyDescent="0.2">
      <c r="A872" s="5">
        <v>811</v>
      </c>
      <c r="B872" s="138">
        <f>'Expenditures 15-22'!E75</f>
        <v>524</v>
      </c>
      <c r="D872" s="2" t="str">
        <f t="shared" si="12"/>
        <v>Error?</v>
      </c>
    </row>
    <row r="873" spans="1:4" x14ac:dyDescent="0.2">
      <c r="A873" s="5">
        <v>812</v>
      </c>
      <c r="B873" s="138">
        <f>'Expenditures 15-22'!E114</f>
        <v>77977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100785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100785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1011</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1011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351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1578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1578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2940</v>
      </c>
      <c r="C929" s="2" t="s">
        <v>594</v>
      </c>
      <c r="D929" s="2" t="str">
        <f t="shared" si="13"/>
        <v>Error?</v>
      </c>
    </row>
    <row r="930" spans="1:4" x14ac:dyDescent="0.2">
      <c r="A930" s="5">
        <v>869</v>
      </c>
      <c r="B930" s="138">
        <f>'Expenditures 15-22'!F75</f>
        <v>100</v>
      </c>
      <c r="D930" s="2" t="str">
        <f t="shared" si="13"/>
        <v>Error?</v>
      </c>
    </row>
    <row r="931" spans="1:4" x14ac:dyDescent="0.2">
      <c r="A931" s="5">
        <v>870</v>
      </c>
      <c r="B931" s="138">
        <f>'Expenditures 15-22'!F114</f>
        <v>103825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109831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109831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109831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215</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1399539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1399754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312908</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312908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27911</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27911</v>
      </c>
      <c r="C1115" s="2" t="s">
        <v>594</v>
      </c>
      <c r="D1115" s="2" t="str">
        <f t="shared" si="16"/>
        <v>Error?</v>
      </c>
    </row>
    <row r="1116" spans="1:4" x14ac:dyDescent="0.2">
      <c r="A1116" s="5">
        <v>1055</v>
      </c>
      <c r="B1116" s="138">
        <f>'Expenditures 15-22'!K44</f>
        <v>96014</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96014</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107425</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6041</v>
      </c>
      <c r="C1127" s="2" t="s">
        <v>594</v>
      </c>
      <c r="D1127" s="2" t="str">
        <f t="shared" si="16"/>
        <v>Error?</v>
      </c>
    </row>
    <row r="1128" spans="1:4" x14ac:dyDescent="0.2">
      <c r="A1128" s="5">
        <v>1067</v>
      </c>
      <c r="B1128" s="138">
        <f>'Expenditures 15-22'!K61</f>
        <v>8336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14377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245727</v>
      </c>
      <c r="C1143" s="2" t="s">
        <v>594</v>
      </c>
      <c r="D1143" s="2" t="str">
        <f t="shared" si="16"/>
        <v>Error?</v>
      </c>
    </row>
    <row r="1144" spans="1:4" x14ac:dyDescent="0.2">
      <c r="A1144" s="5">
        <v>1083</v>
      </c>
      <c r="B1144" s="138">
        <f>'Expenditures 15-22'!K75</f>
        <v>624</v>
      </c>
      <c r="C1144" s="2" t="s">
        <v>594</v>
      </c>
      <c r="D1144" s="2" t="str">
        <f t="shared" si="16"/>
        <v>Error?</v>
      </c>
    </row>
    <row r="1145" spans="1:4" x14ac:dyDescent="0.2">
      <c r="A1145" s="5">
        <v>1084</v>
      </c>
      <c r="B1145" s="138">
        <f>'Expenditures 15-22'!K102</f>
        <v>1407641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1966900</v>
      </c>
      <c r="C1152" s="2" t="s">
        <v>594</v>
      </c>
      <c r="D1152" s="2" t="str">
        <f t="shared" si="17"/>
        <v>Error?</v>
      </c>
    </row>
    <row r="1153" spans="1:4" x14ac:dyDescent="0.2">
      <c r="A1153" s="5">
        <v>1092</v>
      </c>
      <c r="B1153" s="138">
        <f>'Expenditures 15-22'!K115</f>
        <v>197073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-150051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47022</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934558</v>
      </c>
      <c r="D2011" s="2" t="str">
        <f t="shared" si="30"/>
        <v>Error?</v>
      </c>
    </row>
    <row r="2012" spans="1:4" x14ac:dyDescent="0.2">
      <c r="A2012" s="5">
        <v>1951</v>
      </c>
      <c r="B2012" s="138">
        <f>'Cap Outlay Deprec 26'!C13</f>
        <v>17823</v>
      </c>
      <c r="D2012" s="2" t="str">
        <f t="shared" si="30"/>
        <v>Error?</v>
      </c>
    </row>
    <row r="2013" spans="1:4" x14ac:dyDescent="0.2">
      <c r="A2013" s="5">
        <v>1952</v>
      </c>
      <c r="B2013" s="138">
        <f>'Cap Outlay Deprec 26'!C16</f>
        <v>952381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13295</v>
      </c>
      <c r="D2017" s="2" t="str">
        <f t="shared" si="30"/>
        <v>Error?</v>
      </c>
    </row>
    <row r="2018" spans="1:4" x14ac:dyDescent="0.2">
      <c r="A2018" s="5">
        <v>1957</v>
      </c>
      <c r="B2018" s="138">
        <f>'Cap Outlay Deprec 26'!D13</f>
        <v>36496</v>
      </c>
      <c r="D2018" s="2" t="str">
        <f t="shared" si="30"/>
        <v>Error?</v>
      </c>
    </row>
    <row r="2019" spans="1:4" x14ac:dyDescent="0.2">
      <c r="A2019" s="5">
        <v>1958</v>
      </c>
      <c r="B2019" s="138">
        <f>'Cap Outlay Deprec 26'!D16</f>
        <v>49791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947853</v>
      </c>
      <c r="C2029" s="2" t="s">
        <v>594</v>
      </c>
      <c r="D2029" s="2" t="str">
        <f t="shared" si="30"/>
        <v>Error?</v>
      </c>
    </row>
    <row r="2030" spans="1:4" x14ac:dyDescent="0.2">
      <c r="A2030" s="5">
        <v>1969</v>
      </c>
      <c r="B2030" s="138">
        <f>'Cap Outlay Deprec 26'!F13</f>
        <v>54319</v>
      </c>
      <c r="C2030" s="2" t="s">
        <v>594</v>
      </c>
      <c r="D2030" s="2" t="str">
        <f t="shared" si="30"/>
        <v>Error?</v>
      </c>
    </row>
    <row r="2031" spans="1:4" x14ac:dyDescent="0.2">
      <c r="A2031" s="5">
        <v>1970</v>
      </c>
      <c r="B2031" s="138">
        <f>'Cap Outlay Deprec 26'!F16</f>
        <v>1002172</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782986</v>
      </c>
      <c r="D2035" s="2" t="str">
        <f t="shared" si="30"/>
        <v>Error?</v>
      </c>
    </row>
    <row r="2036" spans="1:4" x14ac:dyDescent="0.2">
      <c r="A2036" s="5">
        <v>1975</v>
      </c>
      <c r="B2036" s="138">
        <f>'Cap Outlay Deprec 26'!H13</f>
        <v>4933</v>
      </c>
      <c r="D2036" s="2" t="str">
        <f t="shared" si="30"/>
        <v>Error?</v>
      </c>
    </row>
    <row r="2037" spans="1:4" x14ac:dyDescent="0.2">
      <c r="A2037" s="5">
        <v>1976</v>
      </c>
      <c r="B2037" s="138">
        <f>'Cap Outlay Deprec 26'!H16</f>
        <v>787919</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50782</v>
      </c>
      <c r="D2041" s="2" t="str">
        <f t="shared" si="30"/>
        <v>Error?</v>
      </c>
    </row>
    <row r="2042" spans="1:4" x14ac:dyDescent="0.2">
      <c r="A2042" s="5">
        <v>1981</v>
      </c>
      <c r="B2042" s="138">
        <f>'Cap Outlay Deprec 26'!I13</f>
        <v>10864</v>
      </c>
      <c r="D2042" s="2" t="str">
        <f t="shared" si="30"/>
        <v>Error?</v>
      </c>
    </row>
    <row r="2043" spans="1:4" x14ac:dyDescent="0.2">
      <c r="A2043" s="5">
        <v>1982</v>
      </c>
      <c r="B2043" s="138">
        <f>'Cap Outlay Deprec 26'!I16</f>
        <v>61646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833768</v>
      </c>
      <c r="C2053" s="2" t="s">
        <v>594</v>
      </c>
      <c r="D2053" s="2" t="str">
        <f t="shared" si="31"/>
        <v>Error?</v>
      </c>
    </row>
    <row r="2054" spans="1:4" x14ac:dyDescent="0.2">
      <c r="A2054" s="5">
        <v>1993</v>
      </c>
      <c r="B2054" s="138">
        <f>'Cap Outlay Deprec 26'!K13</f>
        <v>15797</v>
      </c>
      <c r="C2054" s="2" t="s">
        <v>594</v>
      </c>
      <c r="D2054" s="2" t="str">
        <f t="shared" si="31"/>
        <v>Error?</v>
      </c>
    </row>
    <row r="2055" spans="1:4" x14ac:dyDescent="0.2">
      <c r="A2055" s="5">
        <v>1994</v>
      </c>
      <c r="B2055" s="138">
        <f>'Cap Outlay Deprec 26'!K16</f>
        <v>849565</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114085</v>
      </c>
      <c r="C2059" s="2" t="s">
        <v>594</v>
      </c>
      <c r="D2059" s="2" t="str">
        <f t="shared" si="31"/>
        <v>Error?</v>
      </c>
    </row>
    <row r="2060" spans="1:4" x14ac:dyDescent="0.2">
      <c r="A2060" s="5">
        <v>1999</v>
      </c>
      <c r="B2060" s="138">
        <f>'Cap Outlay Deprec 26'!L13</f>
        <v>38522</v>
      </c>
      <c r="C2060" s="2" t="s">
        <v>594</v>
      </c>
      <c r="D2060" s="2" t="str">
        <f t="shared" si="31"/>
        <v>Error?</v>
      </c>
    </row>
    <row r="2061" spans="1:4" x14ac:dyDescent="0.2">
      <c r="A2061" s="5">
        <v>2000</v>
      </c>
      <c r="B2061" s="138">
        <f>'Cap Outlay Deprec 26'!L16</f>
        <v>152607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6167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14269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24771</v>
      </c>
      <c r="C2551" s="2" t="s">
        <v>594</v>
      </c>
      <c r="D2551" s="2" t="str">
        <f t="shared" si="38"/>
        <v>Error?</v>
      </c>
    </row>
    <row r="2552" spans="1:4" x14ac:dyDescent="0.2">
      <c r="A2552" s="10">
        <v>2491</v>
      </c>
      <c r="D2552" s="2" t="str">
        <f t="shared" si="38"/>
        <v>OK</v>
      </c>
    </row>
    <row r="2553" spans="1:4" x14ac:dyDescent="0.2">
      <c r="A2553" s="5">
        <v>2492</v>
      </c>
      <c r="B2553" s="138">
        <f>'Acct Summary 7-8'!C6</f>
        <v>1821688</v>
      </c>
      <c r="C2553" s="2" t="s">
        <v>594</v>
      </c>
      <c r="D2553" s="2" t="str">
        <f t="shared" si="38"/>
        <v>Error?</v>
      </c>
    </row>
    <row r="2554" spans="1:4" x14ac:dyDescent="0.2">
      <c r="A2554" s="5">
        <v>2493</v>
      </c>
      <c r="B2554" s="138">
        <f>'Acct Summary 7-8'!C7</f>
        <v>317514</v>
      </c>
      <c r="C2554" s="2" t="s">
        <v>594</v>
      </c>
      <c r="D2554" s="2" t="str">
        <f t="shared" si="38"/>
        <v>Error?</v>
      </c>
    </row>
    <row r="2555" spans="1:4" x14ac:dyDescent="0.2">
      <c r="A2555" s="5">
        <v>2494</v>
      </c>
      <c r="B2555" s="138">
        <f>'Acct Summary 7-8'!C8</f>
        <v>2163973</v>
      </c>
      <c r="C2555" s="2" t="s">
        <v>594</v>
      </c>
      <c r="D2555" s="2" t="str">
        <f t="shared" si="38"/>
        <v>Error?</v>
      </c>
    </row>
    <row r="2556" spans="1:4" x14ac:dyDescent="0.2">
      <c r="A2556" s="5">
        <v>2495</v>
      </c>
      <c r="B2556" s="138">
        <f>'Acct Summary 7-8'!C12</f>
        <v>312908</v>
      </c>
      <c r="C2556" s="2" t="s">
        <v>594</v>
      </c>
      <c r="D2556" s="2" t="str">
        <f t="shared" si="38"/>
        <v>Error?</v>
      </c>
    </row>
    <row r="2557" spans="1:4" x14ac:dyDescent="0.2">
      <c r="A2557" s="5">
        <v>2496</v>
      </c>
      <c r="B2557" s="138">
        <f>'Acct Summary 7-8'!C13</f>
        <v>245727</v>
      </c>
      <c r="C2557" s="2" t="s">
        <v>594</v>
      </c>
      <c r="D2557" s="2" t="str">
        <f t="shared" si="38"/>
        <v>Error?</v>
      </c>
    </row>
    <row r="2558" spans="1:4" x14ac:dyDescent="0.2">
      <c r="A2558" s="5">
        <v>2497</v>
      </c>
      <c r="B2558" s="138">
        <f>'Acct Summary 7-8'!C14</f>
        <v>624</v>
      </c>
      <c r="C2558" s="2" t="s">
        <v>594</v>
      </c>
      <c r="D2558" s="2" t="str">
        <f t="shared" si="38"/>
        <v>Error?</v>
      </c>
    </row>
    <row r="2559" spans="1:4" x14ac:dyDescent="0.2">
      <c r="A2559" s="5">
        <v>2498</v>
      </c>
      <c r="B2559" s="138">
        <f>'Acct Summary 7-8'!C15</f>
        <v>1407641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1966900</v>
      </c>
      <c r="C2561" s="2" t="s">
        <v>594</v>
      </c>
      <c r="D2561" s="2" t="str">
        <f t="shared" si="39"/>
        <v>Error?</v>
      </c>
    </row>
    <row r="2562" spans="1:4" x14ac:dyDescent="0.2">
      <c r="A2562" s="5">
        <v>2501</v>
      </c>
      <c r="B2562" s="138">
        <f>'Acct Summary 7-8'!C20</f>
        <v>197073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77123</v>
      </c>
      <c r="D2718" s="2" t="str">
        <f t="shared" si="41"/>
        <v>Error?</v>
      </c>
    </row>
    <row r="2719" spans="1:4" x14ac:dyDescent="0.2">
      <c r="A2719" s="5">
        <v>2658</v>
      </c>
      <c r="B2719" s="138">
        <f>'Expenditures 15-22'!D51</f>
        <v>20458</v>
      </c>
      <c r="D2719" s="2" t="str">
        <f t="shared" si="41"/>
        <v>Error?</v>
      </c>
    </row>
    <row r="2720" spans="1:4" x14ac:dyDescent="0.2">
      <c r="A2720" s="5">
        <v>2659</v>
      </c>
      <c r="B2720" s="138">
        <f>'Expenditures 15-22'!E51</f>
        <v>9493</v>
      </c>
      <c r="D2720" s="2" t="str">
        <f t="shared" si="41"/>
        <v>Error?</v>
      </c>
    </row>
    <row r="2721" spans="1:4" x14ac:dyDescent="0.2">
      <c r="A2721" s="5">
        <v>2660</v>
      </c>
      <c r="B2721" s="138">
        <f>'Expenditures 15-22'!F51</f>
        <v>351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107425</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8102</v>
      </c>
      <c r="C2789" s="2" t="s">
        <v>594</v>
      </c>
      <c r="D2789" s="2" t="str">
        <f t="shared" si="42"/>
        <v>Error?</v>
      </c>
    </row>
    <row r="2790" spans="1:4" x14ac:dyDescent="0.2">
      <c r="A2790" s="5">
        <v>2729</v>
      </c>
      <c r="B2790" s="138">
        <f>'Expenditures 15-22'!E102</f>
        <v>8102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8102</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6167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14269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197073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47022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2163973</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1966900</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47022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317514</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21928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1468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1375</v>
      </c>
      <c r="D5119" s="2" t="str">
        <f t="shared" ref="D5119:D5182" si="79">IF(ISBLANK(B5119),"OK",IF(A5119-B5119=0,"OK","Error?"))</f>
        <v>Error?</v>
      </c>
    </row>
    <row r="5120" spans="1:4" x14ac:dyDescent="0.2">
      <c r="A5120" s="5">
        <v>5059</v>
      </c>
      <c r="B5120" s="138">
        <f>'Revenues 9-14'!C108</f>
        <v>23303</v>
      </c>
      <c r="C5120" s="2" t="s">
        <v>594</v>
      </c>
      <c r="D5120" s="2" t="str">
        <f t="shared" si="79"/>
        <v>Error?</v>
      </c>
    </row>
    <row r="5121" spans="1:4" x14ac:dyDescent="0.2">
      <c r="A5121" s="5">
        <v>5060</v>
      </c>
      <c r="B5121" s="138">
        <f>'Revenues 9-14'!C109</f>
        <v>24771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1821688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1821688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1821688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1821688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317514</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317514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317514</v>
      </c>
      <c r="C5326" s="2" t="s">
        <v>594</v>
      </c>
      <c r="D5326" s="2" t="str">
        <f t="shared" si="82"/>
        <v>Error?</v>
      </c>
    </row>
    <row r="5327" spans="1:4" x14ac:dyDescent="0.2">
      <c r="A5327" s="5">
        <v>5266</v>
      </c>
      <c r="B5327" s="138">
        <f>'Revenues 9-14'!C275</f>
        <v>2163973</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197073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4.1910807707030751</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1393372</v>
      </c>
      <c r="D7002" s="2" t="str">
        <f t="shared" si="108"/>
        <v>Error?</v>
      </c>
    </row>
    <row r="7003" spans="1:4" x14ac:dyDescent="0.2">
      <c r="A7003">
        <v>6942</v>
      </c>
      <c r="B7003" s="138">
        <f>'Expenditures 15-22'!K96</f>
        <v>1393372</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1393372</v>
      </c>
      <c r="D7012" s="2" t="str">
        <f t="shared" si="108"/>
        <v>Error?</v>
      </c>
    </row>
    <row r="7013" spans="1:4" x14ac:dyDescent="0.2">
      <c r="A7013">
        <v>6952</v>
      </c>
      <c r="B7013" s="138">
        <f>'Expenditures 15-22'!K100</f>
        <v>1393372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61646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35098</v>
      </c>
      <c r="D7797" s="2" t="str">
        <f t="shared" si="127"/>
        <v>Error?</v>
      </c>
      <c r="E7797" s="4" t="s">
        <v>2017</v>
      </c>
    </row>
    <row r="7798" spans="1:5" x14ac:dyDescent="0.2">
      <c r="A7798">
        <v>7737</v>
      </c>
      <c r="B7798" s="138">
        <f>'Contracts Paid in CY 29'!F141</f>
        <v>35098</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110" zoomScaleNormal="110" workbookViewId="0">
      <selection activeCell="G12" sqref="G12:L1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1799</v>
      </c>
      <c r="B4" s="2424"/>
      <c r="C4" s="2424"/>
      <c r="D4" s="2424"/>
      <c r="E4" s="2424"/>
      <c r="F4" s="2424"/>
      <c r="G4" s="2424"/>
      <c r="H4" s="2424"/>
      <c r="I4" s="2424"/>
      <c r="J4" s="2424"/>
      <c r="K4" s="2424"/>
      <c r="L4" s="242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5" t="str">
        <f>COVER!A17</f>
        <v>Quad-City Career &amp; Tech Ed Consortium</v>
      </c>
      <c r="B7" s="2426"/>
      <c r="C7" s="2426"/>
      <c r="D7" s="2427"/>
      <c r="E7" s="2428">
        <f>COVER!A13</f>
        <v>49081030046</v>
      </c>
      <c r="F7" s="2429"/>
      <c r="G7" s="2435" t="str">
        <f>COVER!T23</f>
        <v>066.004397</v>
      </c>
      <c r="H7" s="2436"/>
      <c r="I7" s="2436"/>
      <c r="J7" s="2436"/>
      <c r="K7" s="2436"/>
      <c r="L7" s="243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8"/>
      <c r="B9" s="2439"/>
      <c r="C9" s="2439"/>
      <c r="D9" s="2439"/>
      <c r="E9" s="2439"/>
      <c r="F9" s="2440"/>
      <c r="G9" s="2409" t="str">
        <f>COVER!T13</f>
        <v>Bohnsack &amp; Frommelt LLP</v>
      </c>
      <c r="H9" s="2441"/>
      <c r="I9" s="2441"/>
      <c r="J9" s="2441"/>
      <c r="K9" s="2441"/>
      <c r="L9" s="2442"/>
    </row>
    <row r="10" spans="1:29" ht="13.5" customHeight="1" x14ac:dyDescent="0.2">
      <c r="A10" s="2415" t="str">
        <f>COVER!A38</f>
        <v>Dr. Jay Morrow</v>
      </c>
      <c r="B10" s="2416"/>
      <c r="C10" s="2416"/>
      <c r="D10" s="2416"/>
      <c r="E10" s="2416"/>
      <c r="F10" s="2417"/>
      <c r="G10" s="2409" t="str">
        <f>COVER!T17</f>
        <v>1500 River Drive, Suite 200</v>
      </c>
      <c r="H10" s="2410"/>
      <c r="I10" s="2410"/>
      <c r="J10" s="2410"/>
      <c r="K10" s="2410"/>
      <c r="L10" s="2411"/>
    </row>
    <row r="11" spans="1:29" ht="13.5" customHeight="1" x14ac:dyDescent="0.2">
      <c r="A11" s="1185" t="s">
        <v>1599</v>
      </c>
      <c r="B11" s="1186"/>
      <c r="C11" s="1187"/>
      <c r="D11" s="1192"/>
      <c r="E11" s="1187"/>
      <c r="F11" s="1191"/>
      <c r="G11" s="2409" t="str">
        <f>COVER!T19</f>
        <v>Moline</v>
      </c>
      <c r="H11" s="2410"/>
      <c r="I11" s="2410"/>
      <c r="J11" s="2410"/>
      <c r="K11" s="2410"/>
      <c r="L11" s="2411"/>
    </row>
    <row r="12" spans="1:29" ht="13.5" customHeight="1" x14ac:dyDescent="0.2">
      <c r="A12" s="2418" t="s">
        <v>1598</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1600</v>
      </c>
      <c r="H13" s="2405"/>
      <c r="I13" s="2421" t="str">
        <f>COVER!T25</f>
        <v>sarah@governmentalservice.com</v>
      </c>
      <c r="J13" s="2422"/>
      <c r="K13" s="2422"/>
      <c r="L13" s="2423"/>
    </row>
    <row r="14" spans="1:29" ht="13.5" customHeight="1" x14ac:dyDescent="0.2">
      <c r="A14" s="2409" t="str">
        <f>COVER!A19</f>
        <v>1275 Avenue of the Cities</v>
      </c>
      <c r="B14" s="2410"/>
      <c r="C14" s="2410"/>
      <c r="D14" s="2410"/>
      <c r="E14" s="2410"/>
      <c r="F14" s="2411"/>
      <c r="G14" s="1196" t="s">
        <v>1247</v>
      </c>
      <c r="H14" s="1194"/>
      <c r="I14" s="1194"/>
      <c r="J14" s="1194"/>
      <c r="K14" s="1194"/>
      <c r="L14" s="1195"/>
    </row>
    <row r="15" spans="1:29" ht="13.5" customHeight="1" x14ac:dyDescent="0.2">
      <c r="A15" s="2409" t="str">
        <f>COVER!A21</f>
        <v>East Moline</v>
      </c>
      <c r="B15" s="2410"/>
      <c r="C15" s="2410"/>
      <c r="D15" s="2410"/>
      <c r="E15" s="2410"/>
      <c r="F15" s="2411"/>
      <c r="G15" s="2406" t="str">
        <f>COVER!T15</f>
        <v>Sarah Bohnsack</v>
      </c>
      <c r="H15" s="2407"/>
      <c r="I15" s="2407"/>
      <c r="J15" s="2407"/>
      <c r="K15" s="2407"/>
      <c r="L15" s="2408"/>
    </row>
    <row r="16" spans="1:29" ht="12.2" customHeight="1" x14ac:dyDescent="0.2">
      <c r="A16" s="2431">
        <f>COVER!A25</f>
        <v>61244</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6" t="s">
        <v>1246</v>
      </c>
      <c r="H17" s="1194"/>
      <c r="I17" s="1194"/>
      <c r="J17" s="1194"/>
      <c r="K17" s="1198" t="s">
        <v>1245</v>
      </c>
      <c r="L17" s="1191"/>
      <c r="M17" s="1184"/>
    </row>
    <row r="18" spans="1:13" ht="12.2" customHeight="1" x14ac:dyDescent="0.2">
      <c r="A18" s="2415"/>
      <c r="B18" s="2416"/>
      <c r="C18" s="2416"/>
      <c r="D18" s="2416"/>
      <c r="E18" s="2416"/>
      <c r="F18" s="2417"/>
      <c r="G18" s="2425" t="str">
        <f>COVER!T21</f>
        <v>563-343-9595</v>
      </c>
      <c r="H18" s="2426"/>
      <c r="I18" s="2426"/>
      <c r="J18" s="2426"/>
      <c r="K18" s="2425">
        <f>COVER!X21</f>
        <v>0</v>
      </c>
      <c r="L18" s="243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Quad-City Career &amp; Tech Ed Consortium</v>
      </c>
      <c r="B1" s="2424"/>
      <c r="C1" s="2424"/>
      <c r="D1" s="2424"/>
    </row>
    <row r="2" spans="1:11" s="1215" customFormat="1" ht="12.75" x14ac:dyDescent="0.2">
      <c r="A2" s="2448">
        <f>'Single Audit Cover'!E7</f>
        <v>49081030046</v>
      </c>
      <c r="B2" s="2449"/>
      <c r="C2" s="2449"/>
      <c r="D2" s="2449"/>
    </row>
    <row r="3" spans="1:11" s="1215" customFormat="1" ht="12.75" x14ac:dyDescent="0.2">
      <c r="A3" s="2447" t="s">
        <v>1593</v>
      </c>
      <c r="B3" s="2424"/>
      <c r="C3" s="2424"/>
      <c r="D3" s="242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Quad-City Career &amp; Tech Ed Consortium</v>
      </c>
      <c r="B1" s="2451"/>
      <c r="C1" s="2451"/>
      <c r="D1" s="2451"/>
      <c r="E1" s="2451"/>
    </row>
    <row r="2" spans="1:5" x14ac:dyDescent="0.2">
      <c r="A2" s="2452">
        <f>'Single Audit Cover'!E7</f>
        <v>49081030046</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60" t="s">
        <v>1305</v>
      </c>
    </row>
    <row r="10" spans="1:5" x14ac:dyDescent="0.2">
      <c r="A10" s="1261" t="s">
        <v>1304</v>
      </c>
      <c r="B10" s="1262" t="s">
        <v>1303</v>
      </c>
      <c r="C10" s="1262"/>
      <c r="D10" s="1263">
        <f>SUM('Acct Summary 7-8'!C7:K7)</f>
        <v>317514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317514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1295</v>
      </c>
      <c r="D32" s="1263">
        <f>SUM(D19:D30)</f>
        <v>317514</v>
      </c>
    </row>
    <row r="33" spans="1:4" x14ac:dyDescent="0.2">
      <c r="D33" s="1269"/>
    </row>
    <row r="34" spans="1:4" x14ac:dyDescent="0.2">
      <c r="A34" s="317" t="s">
        <v>1294</v>
      </c>
    </row>
    <row r="35" spans="1:4" x14ac:dyDescent="0.2">
      <c r="A35" s="317" t="s">
        <v>1293</v>
      </c>
      <c r="B35" s="1258" t="s">
        <v>1292</v>
      </c>
      <c r="D35" s="1270">
        <f>+' SEFA'!F15</f>
        <v>317514</v>
      </c>
    </row>
    <row r="37" spans="1:4" x14ac:dyDescent="0.2">
      <c r="A37" s="1260" t="s">
        <v>1291</v>
      </c>
    </row>
    <row r="39" spans="1:4" ht="13.35" customHeight="1" x14ac:dyDescent="0.2">
      <c r="A39" s="1267" t="s">
        <v>1290</v>
      </c>
    </row>
    <row r="40" spans="1:4" x14ac:dyDescent="0.2">
      <c r="A40" s="2450"/>
      <c r="B40" s="2450"/>
      <c r="D40" s="1268"/>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1289</v>
      </c>
      <c r="C47" s="1272"/>
      <c r="D47" s="1273">
        <f>SUM(D35:D45)</f>
        <v>317514</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Quad-City Career &amp; Tech Ed Consortium</v>
      </c>
      <c r="B1" s="2464"/>
      <c r="C1" s="2464"/>
      <c r="D1" s="2464"/>
      <c r="E1" s="2464"/>
      <c r="F1" s="2464"/>
    </row>
    <row r="2" spans="1:7" ht="13.5" customHeight="1" x14ac:dyDescent="0.2">
      <c r="A2" s="2465">
        <f>'Single Audit Cover'!E7</f>
        <v>49081030046</v>
      </c>
      <c r="B2" s="2465"/>
      <c r="C2" s="2465"/>
      <c r="D2" s="2465"/>
      <c r="E2" s="2465"/>
      <c r="F2" s="2465"/>
      <c r="G2" s="1275"/>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6" t="s">
        <v>1831</v>
      </c>
      <c r="C6" s="317"/>
      <c r="D6" s="317"/>
    </row>
    <row r="7" spans="1:7" ht="60.95" customHeight="1" x14ac:dyDescent="0.2">
      <c r="A7" s="2463" t="s">
        <v>2106</v>
      </c>
      <c r="B7" s="2463"/>
      <c r="C7" s="2463"/>
      <c r="D7" s="2463"/>
      <c r="E7" s="2463"/>
      <c r="F7" s="246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2096</v>
      </c>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21.75" customHeight="1" x14ac:dyDescent="0.2">
      <c r="A13" s="2463" t="s">
        <v>2104</v>
      </c>
      <c r="B13" s="2463"/>
      <c r="C13" s="2463"/>
      <c r="D13" s="2463"/>
      <c r="E13" s="2463"/>
      <c r="F13" s="2463"/>
    </row>
    <row r="14" spans="1:7" ht="9.75" customHeight="1" x14ac:dyDescent="0.2">
      <c r="C14" s="1260"/>
      <c r="D14" s="1260"/>
    </row>
    <row r="15" spans="1:7" ht="13.5" customHeight="1" x14ac:dyDescent="0.2">
      <c r="C15" s="1870" t="s">
        <v>1332</v>
      </c>
      <c r="D15" s="2461" t="s">
        <v>1331</v>
      </c>
      <c r="E15" s="2461"/>
      <c r="F15" s="2461"/>
    </row>
    <row r="16" spans="1:7" ht="13.5" customHeight="1" x14ac:dyDescent="0.2">
      <c r="A16" s="1282"/>
      <c r="B16" s="1276" t="s">
        <v>1330</v>
      </c>
      <c r="C16" s="1870" t="s">
        <v>1329</v>
      </c>
      <c r="D16" s="2462" t="s">
        <v>1670</v>
      </c>
      <c r="E16" s="2462"/>
      <c r="F16" s="2462"/>
    </row>
    <row r="17" spans="1:6" ht="20.45" customHeight="1" x14ac:dyDescent="0.2">
      <c r="A17" s="1283"/>
      <c r="B17" s="1284" t="s">
        <v>2097</v>
      </c>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7" t="s">
        <v>2107</v>
      </c>
      <c r="B32" s="2457"/>
      <c r="C32" s="2457"/>
      <c r="D32" s="2457"/>
      <c r="E32" s="2457"/>
      <c r="F32" s="2457"/>
    </row>
    <row r="33" spans="1:6" ht="13.5" customHeight="1" x14ac:dyDescent="0.2">
      <c r="A33" s="328" t="s">
        <v>1509</v>
      </c>
      <c r="B33" s="328"/>
      <c r="C33" s="1288">
        <v>0</v>
      </c>
      <c r="D33" s="1927"/>
      <c r="E33" s="1286"/>
    </row>
    <row r="34" spans="1:6" ht="13.5" customHeight="1" x14ac:dyDescent="0.2">
      <c r="A34" s="328" t="s">
        <v>1946</v>
      </c>
      <c r="B34" s="328"/>
      <c r="C34" s="1289">
        <v>0</v>
      </c>
      <c r="D34" s="1927" t="s">
        <v>1671</v>
      </c>
      <c r="E34" s="2458">
        <f>+C33+C34</f>
        <v>0</v>
      </c>
      <c r="F34" s="2459"/>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v>0</v>
      </c>
      <c r="D38" s="1927"/>
      <c r="E38" s="1286"/>
    </row>
    <row r="39" spans="1:6" ht="14.25" customHeight="1" x14ac:dyDescent="0.2">
      <c r="A39" s="328"/>
      <c r="B39" s="328" t="s">
        <v>1511</v>
      </c>
      <c r="C39" s="1292">
        <v>0</v>
      </c>
      <c r="D39" s="1927"/>
      <c r="E39" s="1286"/>
    </row>
    <row r="40" spans="1:6" ht="14.25" customHeight="1" x14ac:dyDescent="0.2">
      <c r="A40" s="328"/>
      <c r="B40" s="328" t="s">
        <v>1512</v>
      </c>
      <c r="C40" s="1292">
        <v>0</v>
      </c>
      <c r="D40" s="1927"/>
      <c r="E40" s="1286"/>
    </row>
    <row r="41" spans="1:6" ht="14.25" customHeight="1" x14ac:dyDescent="0.2">
      <c r="A41" s="328"/>
      <c r="B41" s="328" t="s">
        <v>1513</v>
      </c>
      <c r="C41" s="1292">
        <v>0</v>
      </c>
      <c r="D41" s="1927"/>
      <c r="E41" s="1286"/>
    </row>
    <row r="42" spans="1:6" ht="14.25" customHeight="1" x14ac:dyDescent="0.2">
      <c r="A42" s="328" t="s">
        <v>1514</v>
      </c>
      <c r="B42" s="328"/>
      <c r="C42" s="1925">
        <v>0</v>
      </c>
      <c r="D42" s="1927"/>
      <c r="E42" s="1286"/>
    </row>
    <row r="43" spans="1:6" ht="14.25" customHeight="1" x14ac:dyDescent="0.2">
      <c r="A43" s="328" t="s">
        <v>1515</v>
      </c>
      <c r="B43" s="328"/>
      <c r="C43" s="1293" t="s">
        <v>401</v>
      </c>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1672</v>
      </c>
      <c r="C49" s="2460"/>
      <c r="D49" s="2460"/>
      <c r="E49" s="1399"/>
    </row>
    <row r="50" spans="1:5" s="1300" customFormat="1" ht="3.75" customHeight="1" x14ac:dyDescent="0.2">
      <c r="A50" s="1299"/>
      <c r="B50" s="1869"/>
      <c r="C50" s="1869"/>
      <c r="D50" s="1869"/>
      <c r="E50" s="1399"/>
    </row>
    <row r="51" spans="1:5" s="1300" customFormat="1" ht="20.25" customHeight="1" x14ac:dyDescent="0.2">
      <c r="A51" s="1301">
        <v>6</v>
      </c>
      <c r="B51" s="2455" t="s">
        <v>1632</v>
      </c>
      <c r="C51" s="2455"/>
      <c r="D51" s="2455"/>
    </row>
    <row r="52" spans="1:5" ht="14.25" customHeight="1" x14ac:dyDescent="0.2">
      <c r="A52" s="1301"/>
      <c r="B52" s="2455"/>
      <c r="C52" s="2455"/>
      <c r="D52" s="245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B16" sqref="B1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Quad-City Career &amp; Tech Ed Consortium</v>
      </c>
      <c r="C1" s="2468"/>
      <c r="D1" s="2468"/>
      <c r="E1" s="2468"/>
      <c r="F1" s="2468"/>
      <c r="G1" s="2468"/>
      <c r="H1" s="2468"/>
      <c r="I1" s="2468"/>
      <c r="J1" s="2468"/>
      <c r="K1" s="2468"/>
      <c r="L1" s="2468"/>
      <c r="M1" s="2468"/>
    </row>
    <row r="2" spans="2:14" ht="15" x14ac:dyDescent="0.2">
      <c r="B2" s="2465">
        <f>'Single Audit Cover'!E7</f>
        <v>49081030046</v>
      </c>
      <c r="C2" s="2465"/>
      <c r="D2" s="2465"/>
      <c r="E2" s="2465"/>
      <c r="F2" s="2465"/>
      <c r="G2" s="2465"/>
      <c r="H2" s="2465"/>
      <c r="I2" s="2465"/>
      <c r="J2" s="2465"/>
      <c r="K2" s="2465"/>
      <c r="L2" s="2465"/>
      <c r="M2" s="2465"/>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5" t="s">
        <v>2098</v>
      </c>
      <c r="C11" s="1338"/>
      <c r="D11" s="1339"/>
      <c r="E11" s="1340"/>
      <c r="F11" s="1340"/>
      <c r="G11" s="1340"/>
      <c r="H11" s="1340"/>
      <c r="I11" s="1340"/>
      <c r="J11" s="1340"/>
      <c r="K11" s="1340"/>
      <c r="L11" s="1340">
        <f>+G11+I11+K11</f>
        <v>0</v>
      </c>
      <c r="M11" s="1340"/>
    </row>
    <row r="12" spans="2:14" ht="20.100000000000001" customHeight="1" x14ac:dyDescent="0.2">
      <c r="B12" s="1337" t="s">
        <v>2099</v>
      </c>
      <c r="C12" s="1341"/>
      <c r="D12" s="1342"/>
      <c r="E12" s="1343"/>
      <c r="F12" s="1343"/>
      <c r="G12" s="1343"/>
      <c r="H12" s="1343"/>
      <c r="I12" s="1343"/>
      <c r="J12" s="1343"/>
      <c r="K12" s="1343"/>
      <c r="L12" s="1340">
        <f t="shared" ref="L12:L27" si="0">+G12+I12+K12</f>
        <v>0</v>
      </c>
      <c r="M12" s="1343"/>
    </row>
    <row r="13" spans="2:14" ht="20.100000000000001" customHeight="1" x14ac:dyDescent="0.2">
      <c r="B13" s="1337" t="s">
        <v>2100</v>
      </c>
      <c r="C13" s="1341" t="s">
        <v>2101</v>
      </c>
      <c r="D13" s="1342" t="s">
        <v>2102</v>
      </c>
      <c r="E13" s="1343">
        <v>0</v>
      </c>
      <c r="F13" s="1343">
        <v>249053</v>
      </c>
      <c r="G13" s="1343">
        <v>0</v>
      </c>
      <c r="H13" s="1343">
        <v>0</v>
      </c>
      <c r="I13" s="1343">
        <v>271989</v>
      </c>
      <c r="J13" s="1343">
        <v>0</v>
      </c>
      <c r="K13" s="1343">
        <v>97299</v>
      </c>
      <c r="L13" s="1340">
        <f t="shared" si="0"/>
        <v>369288</v>
      </c>
      <c r="M13" s="1343">
        <v>369288</v>
      </c>
    </row>
    <row r="14" spans="2:14" ht="20.100000000000001" customHeight="1" x14ac:dyDescent="0.2">
      <c r="B14" s="1337" t="s">
        <v>2100</v>
      </c>
      <c r="C14" s="1341" t="s">
        <v>2101</v>
      </c>
      <c r="D14" s="1342" t="s">
        <v>2103</v>
      </c>
      <c r="E14" s="1343">
        <v>305533</v>
      </c>
      <c r="F14" s="1343">
        <v>68461</v>
      </c>
      <c r="G14" s="1343">
        <v>351585</v>
      </c>
      <c r="H14" s="1343">
        <v>0</v>
      </c>
      <c r="I14" s="1343">
        <v>22409</v>
      </c>
      <c r="J14" s="1343">
        <v>0</v>
      </c>
      <c r="K14" s="1343">
        <v>0</v>
      </c>
      <c r="L14" s="1340">
        <f t="shared" si="0"/>
        <v>373994</v>
      </c>
      <c r="M14" s="1343">
        <v>373994</v>
      </c>
    </row>
    <row r="15" spans="2:14" ht="20.100000000000001" customHeight="1" x14ac:dyDescent="0.2">
      <c r="B15" s="1337" t="s">
        <v>2108</v>
      </c>
      <c r="C15" s="1341"/>
      <c r="D15" s="1342"/>
      <c r="E15" s="1343">
        <f t="shared" ref="E15:K15" si="1">SUM(E13:E14)</f>
        <v>305533</v>
      </c>
      <c r="F15" s="1343">
        <f t="shared" si="1"/>
        <v>317514</v>
      </c>
      <c r="G15" s="1343">
        <f t="shared" si="1"/>
        <v>351585</v>
      </c>
      <c r="H15" s="1343">
        <f t="shared" si="1"/>
        <v>0</v>
      </c>
      <c r="I15" s="1343">
        <f t="shared" si="1"/>
        <v>294398</v>
      </c>
      <c r="J15" s="1343">
        <f t="shared" si="1"/>
        <v>0</v>
      </c>
      <c r="K15" s="1343">
        <f t="shared" si="1"/>
        <v>97299</v>
      </c>
      <c r="L15" s="1340">
        <f t="shared" si="0"/>
        <v>743282</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E15:L15"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51" sqref="G5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Quad-City Career &amp; Tech Ed Consortium</v>
      </c>
      <c r="C1" s="2483"/>
      <c r="D1" s="2483"/>
      <c r="E1" s="2483"/>
      <c r="F1" s="2483"/>
      <c r="G1" s="2483"/>
      <c r="H1" s="2483"/>
      <c r="I1" s="2483"/>
      <c r="J1" s="1422"/>
    </row>
    <row r="2" spans="2:10" s="317" customFormat="1" ht="12.75" customHeight="1" x14ac:dyDescent="0.2">
      <c r="B2" s="2484">
        <f>'Single Audit Cover'!E7</f>
        <v>49081030046</v>
      </c>
      <c r="C2" s="2485"/>
      <c r="D2" s="2485"/>
      <c r="E2" s="2485"/>
      <c r="F2" s="2485"/>
      <c r="G2" s="2485"/>
      <c r="H2" s="2485"/>
      <c r="I2" s="2485"/>
      <c r="J2" s="1422"/>
    </row>
    <row r="3" spans="2:10" s="317" customFormat="1" ht="12.75" customHeight="1" x14ac:dyDescent="0.2">
      <c r="B3" s="2486" t="s">
        <v>1347</v>
      </c>
      <c r="C3" s="2487"/>
      <c r="D3" s="2487"/>
      <c r="E3" s="2487"/>
      <c r="F3" s="2487"/>
      <c r="G3" s="2487"/>
      <c r="H3" s="2487"/>
      <c r="I3" s="2487"/>
      <c r="J3" s="1423"/>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6" t="s">
        <v>1346</v>
      </c>
      <c r="C7" s="2487"/>
      <c r="D7" s="2487"/>
      <c r="E7" s="2487"/>
      <c r="F7" s="2487"/>
      <c r="G7" s="2487"/>
      <c r="H7" s="2487"/>
      <c r="I7" s="248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8" t="s">
        <v>2094</v>
      </c>
      <c r="D11" s="248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2095</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2095</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9" t="s">
        <v>2095</v>
      </c>
      <c r="E29" s="2489"/>
      <c r="F29" s="2489"/>
      <c r="G29" s="2489"/>
      <c r="H29" s="2489"/>
      <c r="I29" s="2489"/>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2074</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90" t="s">
        <v>1851</v>
      </c>
      <c r="D37" s="2491"/>
      <c r="E37" s="2491"/>
      <c r="F37" s="2492"/>
      <c r="G37" s="2490" t="s">
        <v>1674</v>
      </c>
      <c r="H37" s="2491"/>
      <c r="I37" s="2492"/>
    </row>
    <row r="38" spans="2:9" ht="16.5" customHeight="1" x14ac:dyDescent="0.2">
      <c r="B38" s="1444"/>
      <c r="C38" s="2478"/>
      <c r="D38" s="2479"/>
      <c r="E38" s="2479"/>
      <c r="F38" s="2480"/>
      <c r="G38" s="2493"/>
      <c r="H38" s="2494"/>
      <c r="I38" s="2495"/>
    </row>
    <row r="39" spans="2:9" ht="16.5" customHeight="1" x14ac:dyDescent="0.2">
      <c r="B39" s="1444"/>
      <c r="C39" s="2478"/>
      <c r="D39" s="2479"/>
      <c r="E39" s="2479"/>
      <c r="F39" s="2480"/>
      <c r="G39" s="2481"/>
      <c r="H39" s="2481"/>
      <c r="I39" s="2481"/>
    </row>
    <row r="40" spans="2:9" ht="16.5" customHeight="1" x14ac:dyDescent="0.2">
      <c r="B40" s="1444"/>
      <c r="C40" s="2478"/>
      <c r="D40" s="2479"/>
      <c r="E40" s="2479"/>
      <c r="F40" s="2480"/>
      <c r="G40" s="2481"/>
      <c r="H40" s="2481"/>
      <c r="I40" s="2481"/>
    </row>
    <row r="41" spans="2:9" ht="16.5" customHeight="1" x14ac:dyDescent="0.2">
      <c r="B41" s="1444"/>
      <c r="C41" s="2478"/>
      <c r="D41" s="2479"/>
      <c r="E41" s="2479"/>
      <c r="F41" s="2480"/>
      <c r="G41" s="2481"/>
      <c r="H41" s="2481"/>
      <c r="I41" s="2481"/>
    </row>
    <row r="42" spans="2:9" ht="16.5" customHeight="1" x14ac:dyDescent="0.2">
      <c r="B42" s="1444"/>
      <c r="C42" s="2478"/>
      <c r="D42" s="2479"/>
      <c r="E42" s="2479"/>
      <c r="F42" s="2480"/>
      <c r="G42" s="2481"/>
      <c r="H42" s="2481"/>
      <c r="I42" s="2481"/>
    </row>
    <row r="43" spans="2:9" ht="16.5" customHeight="1" x14ac:dyDescent="0.2">
      <c r="B43" s="1444"/>
      <c r="C43" s="2471" t="s">
        <v>1675</v>
      </c>
      <c r="D43" s="2472"/>
      <c r="E43" s="2472"/>
      <c r="F43" s="2473"/>
      <c r="G43" s="2474">
        <f>SUM(G38:I42)</f>
        <v>0</v>
      </c>
      <c r="H43" s="2474"/>
      <c r="I43" s="2474"/>
    </row>
    <row r="44" spans="2:9" ht="12.75" customHeight="1" x14ac:dyDescent="0.2"/>
    <row r="45" spans="2:9" ht="12.75" customHeight="1" x14ac:dyDescent="0.2">
      <c r="B45" s="1435" t="s">
        <v>1949</v>
      </c>
      <c r="D45" s="2475">
        <v>0</v>
      </c>
      <c r="E45" s="2476"/>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7" t="s">
        <v>2095</v>
      </c>
      <c r="F49" s="2477"/>
      <c r="G49" s="2477"/>
      <c r="H49" s="322"/>
    </row>
    <row r="51" spans="1:9" ht="13.5" customHeight="1" x14ac:dyDescent="0.2">
      <c r="B51" s="1368" t="s">
        <v>1334</v>
      </c>
      <c r="C51" s="1282"/>
      <c r="E51" s="1438"/>
      <c r="F51" s="1300" t="s">
        <v>940</v>
      </c>
      <c r="G51" s="1438" t="s">
        <v>2096</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Quad-City Career &amp; Tech Ed Consortium</v>
      </c>
      <c r="C1" s="2482"/>
      <c r="D1" s="2482"/>
      <c r="E1" s="2482"/>
      <c r="F1" s="2482"/>
      <c r="G1" s="2482"/>
      <c r="H1" s="2482"/>
      <c r="I1" s="2482"/>
      <c r="J1" s="2482"/>
      <c r="K1" s="2482"/>
      <c r="L1" s="1374"/>
      <c r="M1" s="1374"/>
    </row>
    <row r="2" spans="1:13" ht="12" customHeight="1" x14ac:dyDescent="0.2">
      <c r="B2" s="2484">
        <f>'Single Audit Cover'!E7</f>
        <v>49081030046</v>
      </c>
      <c r="C2" s="2484"/>
      <c r="D2" s="2484"/>
      <c r="E2" s="2484"/>
      <c r="F2" s="2484"/>
      <c r="G2" s="2484"/>
      <c r="H2" s="2484"/>
      <c r="I2" s="2484"/>
      <c r="J2" s="2484"/>
      <c r="K2" s="2484"/>
      <c r="L2" s="1375"/>
      <c r="M2" s="1376"/>
    </row>
    <row r="3" spans="1:13" ht="10.35" customHeight="1" x14ac:dyDescent="0.2">
      <c r="B3" s="2498" t="s">
        <v>1347</v>
      </c>
      <c r="C3" s="2498"/>
      <c r="D3" s="2498"/>
      <c r="E3" s="2498"/>
      <c r="F3" s="2498"/>
      <c r="G3" s="2498"/>
      <c r="H3" s="2498"/>
      <c r="I3" s="2498"/>
      <c r="J3" s="2498"/>
      <c r="K3" s="2498"/>
      <c r="L3" s="1377"/>
      <c r="M3" s="1377"/>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9" t="s">
        <v>1363</v>
      </c>
      <c r="C7" s="2499"/>
      <c r="D7" s="2500"/>
      <c r="E7" s="2500"/>
      <c r="F7" s="2500"/>
      <c r="G7" s="2500"/>
      <c r="H7" s="2500"/>
      <c r="I7" s="2500"/>
      <c r="J7" s="2500"/>
      <c r="K7" s="250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2097</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7"/>
      <c r="C14" s="2497"/>
      <c r="D14" s="2497"/>
      <c r="E14" s="2497"/>
      <c r="F14" s="2497"/>
      <c r="G14" s="2497"/>
      <c r="H14" s="2497"/>
      <c r="I14" s="2497"/>
      <c r="J14" s="2497"/>
      <c r="K14" s="249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7"/>
      <c r="C17" s="2497"/>
      <c r="D17" s="2497"/>
      <c r="E17" s="2497"/>
      <c r="F17" s="2497"/>
      <c r="G17" s="2497"/>
      <c r="H17" s="2497"/>
      <c r="I17" s="2497"/>
      <c r="J17" s="2497"/>
      <c r="K17" s="2497"/>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01"/>
      <c r="C20" s="2501"/>
      <c r="D20" s="2497"/>
      <c r="E20" s="2497"/>
      <c r="F20" s="2497"/>
      <c r="G20" s="2497"/>
      <c r="H20" s="2497"/>
      <c r="I20" s="2497"/>
      <c r="J20" s="2497"/>
      <c r="K20" s="2497"/>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7"/>
      <c r="C23" s="2497"/>
      <c r="D23" s="2497"/>
      <c r="E23" s="2497"/>
      <c r="F23" s="2497"/>
      <c r="G23" s="2497"/>
      <c r="H23" s="2497"/>
      <c r="I23" s="2497"/>
      <c r="J23" s="2497"/>
      <c r="K23" s="2497"/>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7"/>
      <c r="C26" s="2497"/>
      <c r="D26" s="2497"/>
      <c r="E26" s="2497"/>
      <c r="F26" s="2497"/>
      <c r="G26" s="2497"/>
      <c r="H26" s="2497"/>
      <c r="I26" s="2497"/>
      <c r="J26" s="2497"/>
      <c r="K26" s="2497"/>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6"/>
      <c r="C29" s="2496"/>
      <c r="D29" s="2497"/>
      <c r="E29" s="2497"/>
      <c r="F29" s="2497"/>
      <c r="G29" s="2497"/>
      <c r="H29" s="2497"/>
      <c r="I29" s="2497"/>
      <c r="J29" s="2497"/>
      <c r="K29" s="249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6"/>
      <c r="C32" s="2496"/>
      <c r="D32" s="2497"/>
      <c r="E32" s="2497"/>
      <c r="F32" s="2497"/>
      <c r="G32" s="2497"/>
      <c r="H32" s="2497"/>
      <c r="I32" s="2497"/>
      <c r="J32" s="2497"/>
      <c r="K32" s="249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Quad-City Career &amp; Tech Ed Consortium</v>
      </c>
      <c r="C1" s="2505"/>
      <c r="D1" s="2505"/>
      <c r="E1" s="2505"/>
      <c r="F1" s="2505"/>
      <c r="G1" s="2505"/>
      <c r="H1" s="2505"/>
      <c r="I1" s="2505"/>
      <c r="J1" s="2505"/>
      <c r="K1" s="2505"/>
      <c r="L1" s="1465"/>
    </row>
    <row r="2" spans="1:12" ht="12.75" customHeight="1" x14ac:dyDescent="0.2">
      <c r="B2" s="2506">
        <f>'Single Audit Cover'!E7</f>
        <v>49081030046</v>
      </c>
      <c r="C2" s="2506"/>
      <c r="D2" s="2506"/>
      <c r="E2" s="2506"/>
      <c r="F2" s="2506"/>
      <c r="G2" s="2506"/>
      <c r="H2" s="2506"/>
      <c r="I2" s="2506"/>
      <c r="J2" s="2506"/>
      <c r="K2" s="2506"/>
      <c r="L2" s="1466"/>
    </row>
    <row r="3" spans="1:12" ht="12.75" customHeight="1" x14ac:dyDescent="0.2">
      <c r="B3" s="2498" t="s">
        <v>1347</v>
      </c>
      <c r="C3" s="2498"/>
      <c r="D3" s="2498"/>
      <c r="E3" s="2498"/>
      <c r="F3" s="2498"/>
      <c r="G3" s="2498"/>
      <c r="H3" s="2498"/>
      <c r="I3" s="2498"/>
      <c r="J3" s="2498"/>
      <c r="K3" s="2498"/>
      <c r="L3" s="1377"/>
    </row>
    <row r="4" spans="1:12" ht="12.75" customHeight="1" x14ac:dyDescent="0.2">
      <c r="B4" s="2498" t="str">
        <f>'Single Audit Cover'!A4</f>
        <v>Year Ending June 30, 2018</v>
      </c>
      <c r="C4" s="2498"/>
      <c r="D4" s="2498"/>
      <c r="E4" s="2498"/>
      <c r="F4" s="2498"/>
      <c r="G4" s="2498"/>
      <c r="H4" s="2498"/>
      <c r="I4" s="2498"/>
      <c r="J4" s="2498"/>
      <c r="K4" s="2498"/>
      <c r="L4" s="1377"/>
    </row>
    <row r="5" spans="1:12" ht="5.25" customHeight="1" x14ac:dyDescent="0.2">
      <c r="B5" s="1260" t="s">
        <v>1231</v>
      </c>
      <c r="C5" s="1260"/>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t="s">
        <v>2097</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9"/>
      <c r="G12" s="2489"/>
      <c r="H12" s="2489"/>
      <c r="I12" s="2489"/>
      <c r="J12" s="2489"/>
      <c r="K12" s="248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7"/>
      <c r="C20" s="2497"/>
      <c r="D20" s="2497"/>
      <c r="E20" s="2497"/>
      <c r="F20" s="2497"/>
      <c r="G20" s="2497"/>
      <c r="H20" s="2497"/>
      <c r="I20" s="2497"/>
      <c r="J20" s="2497"/>
      <c r="K20" s="249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2" t="str">
        <f>'Single Audit Cover'!A7</f>
        <v>Quad-City Career &amp; Tech Ed Consortium</v>
      </c>
      <c r="C1" s="2482"/>
      <c r="D1" s="2482"/>
      <c r="E1" s="1491"/>
    </row>
    <row r="2" spans="2:5" s="1282" customFormat="1" ht="12.75" customHeight="1" x14ac:dyDescent="0.2">
      <c r="B2" s="2484">
        <f>'Single Audit Cover'!E7</f>
        <v>49081030046</v>
      </c>
      <c r="C2" s="2484"/>
      <c r="D2" s="2484"/>
      <c r="E2" s="1492"/>
    </row>
    <row r="3" spans="2:5" ht="12.75" customHeight="1" x14ac:dyDescent="0.2">
      <c r="B3" s="2498" t="s">
        <v>1866</v>
      </c>
      <c r="C3" s="2498"/>
      <c r="D3" s="2498"/>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t="s">
        <v>2097</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http://www.w3.org/XML/1998/namespace"/>
    <ds:schemaRef ds:uri="http://purl.org/dc/dcmitype/"/>
    <ds:schemaRef ds:uri="d21dc803-237d-4c68-8692-8d731fd29118"/>
    <ds:schemaRef ds:uri="http://schemas.microsoft.com/office/2006/documentManagement/types"/>
    <ds:schemaRef ds:uri="6ce3111e-7420-4802-b50a-75d4e9a0b980"/>
    <ds:schemaRef ds:uri="http://schemas.microsoft.com/office/2006/metadata/properties"/>
    <ds:schemaRef ds:uri="http://schemas.microsoft.com/office/infopath/2007/PartnerControls"/>
    <ds:schemaRef ds:uri="4d435f69-8686-490b-bd6d-b153bf22ab50"/>
    <ds:schemaRef ds:uri="http://schemas.microsoft.com/sharepoint/v3"/>
    <ds:schemaRef ds:uri="http://purl.org/dc/terms/"/>
    <ds:schemaRef ds:uri="http://purl.org/dc/elements/1.1/"/>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2018-12-14T14:11:18Z</cp:lastPrinted>
  <dcterms:created xsi:type="dcterms:W3CDTF">2003-10-29T19:06:34Z</dcterms:created>
  <dcterms:modified xsi:type="dcterms:W3CDTF">2018-12-19T21:14:16Z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