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6125" yWindow="1635" windowWidth="30705" windowHeight="26235" tabRatio="959"/>
  </bookViews>
  <sheets>
    <sheet name="COVER" sheetId="24" r:id="rId1"/>
    <sheet name="TOC" sheetId="168" r:id="rId2"/>
    <sheet name="Aud Quest 2" sheetId="28" r:id="rId3"/>
    <sheet name="Sheet1" sheetId="183"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J90" i="28" l="1"/>
  <c r="C27" i="3"/>
  <c r="D27" i="3"/>
  <c r="D12" i="11"/>
  <c r="C38" i="3"/>
  <c r="D182" i="34"/>
  <c r="J24" i="2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11" i="182"/>
  <c r="J12" i="182"/>
  <c r="J13" i="182"/>
  <c r="J14" i="182"/>
  <c r="J15" i="182"/>
  <c r="J16" i="182"/>
  <c r="J17" i="182"/>
  <c r="J18" i="182"/>
  <c r="J19" i="182"/>
  <c r="J20" i="182"/>
  <c r="J21" i="182"/>
  <c r="J22" i="182"/>
  <c r="J23" i="182"/>
  <c r="J24" i="182"/>
  <c r="J34" i="182"/>
  <c r="I25" i="182"/>
  <c r="H25" i="182"/>
  <c r="I24" i="182"/>
  <c r="H24" i="182"/>
  <c r="I23" i="182"/>
  <c r="H23" i="182"/>
  <c r="I22" i="182"/>
  <c r="H22" i="182"/>
  <c r="I21" i="182"/>
  <c r="H21" i="182"/>
  <c r="I20" i="182"/>
  <c r="H20" i="182"/>
  <c r="I19" i="182"/>
  <c r="H19" i="182"/>
  <c r="I18" i="182"/>
  <c r="H18" i="182"/>
  <c r="I17" i="182"/>
  <c r="H17" i="182"/>
  <c r="I16" i="182"/>
  <c r="H16" i="182"/>
  <c r="I15" i="182"/>
  <c r="H15" i="182"/>
  <c r="I14" i="182"/>
  <c r="H14" i="182"/>
  <c r="I13" i="182"/>
  <c r="H13" i="182"/>
  <c r="I12" i="182"/>
  <c r="I11" i="182"/>
  <c r="I34" i="182"/>
  <c r="H12" i="182"/>
  <c r="H11" i="182"/>
  <c r="H34" i="182"/>
  <c r="K34" i="182"/>
  <c r="D81" i="36"/>
  <c r="C178" i="5"/>
  <c r="C184" i="5"/>
  <c r="C191" i="5"/>
  <c r="C201" i="5"/>
  <c r="C211" i="5"/>
  <c r="C216" i="5"/>
  <c r="C224" i="5"/>
  <c r="C228" i="5"/>
  <c r="C259" i="5"/>
  <c r="C273" i="5"/>
  <c r="C274" i="5"/>
  <c r="C7" i="4"/>
  <c r="D178" i="5"/>
  <c r="D184" i="5"/>
  <c r="D191" i="5"/>
  <c r="D211" i="5"/>
  <c r="D216" i="5"/>
  <c r="D224" i="5"/>
  <c r="D228" i="5"/>
  <c r="D259" i="5"/>
  <c r="D273" i="5"/>
  <c r="D274" i="5"/>
  <c r="D7" i="4"/>
  <c r="E178" i="5"/>
  <c r="E259" i="5"/>
  <c r="E273" i="5"/>
  <c r="E274" i="5"/>
  <c r="E7" i="4"/>
  <c r="F178" i="5"/>
  <c r="F184" i="5"/>
  <c r="F191" i="5"/>
  <c r="F211" i="5"/>
  <c r="F216" i="5"/>
  <c r="F224" i="5"/>
  <c r="F259" i="5"/>
  <c r="F273" i="5"/>
  <c r="F274" i="5"/>
  <c r="F7" i="4"/>
  <c r="G178" i="5"/>
  <c r="G184" i="5"/>
  <c r="G191" i="5"/>
  <c r="G201" i="5"/>
  <c r="G211" i="5"/>
  <c r="G216" i="5"/>
  <c r="G224" i="5"/>
  <c r="G228" i="5"/>
  <c r="G259" i="5"/>
  <c r="G273" i="5"/>
  <c r="G274" i="5"/>
  <c r="G7" i="4"/>
  <c r="H178" i="5"/>
  <c r="H184" i="5"/>
  <c r="H259" i="5"/>
  <c r="H273" i="5"/>
  <c r="H274" i="5"/>
  <c r="H7" i="4"/>
  <c r="I178" i="5"/>
  <c r="I274" i="5"/>
  <c r="I7" i="4"/>
  <c r="J178" i="5"/>
  <c r="J259" i="5"/>
  <c r="J273" i="5"/>
  <c r="J274" i="5"/>
  <c r="J7" i="4"/>
  <c r="K178" i="5"/>
  <c r="K184" i="5"/>
  <c r="K259" i="5"/>
  <c r="K273" i="5"/>
  <c r="K274" i="5"/>
  <c r="K7" i="4"/>
  <c r="D10" i="171"/>
  <c r="F79" i="34"/>
  <c r="K332" i="29"/>
  <c r="K333" i="29"/>
  <c r="K334" i="29"/>
  <c r="F74" i="34"/>
  <c r="K170" i="29"/>
  <c r="F61" i="34"/>
  <c r="K157" i="29"/>
  <c r="K158" i="29"/>
  <c r="K159" i="29"/>
  <c r="K160" i="29"/>
  <c r="F60" i="34"/>
  <c r="I127" i="29"/>
  <c r="I129" i="29"/>
  <c r="I151" i="29"/>
  <c r="F59" i="34"/>
  <c r="G127" i="29"/>
  <c r="G129" i="29"/>
  <c r="G151" i="29"/>
  <c r="F58" i="34"/>
  <c r="K319" i="29"/>
  <c r="K320" i="29"/>
  <c r="K321" i="29"/>
  <c r="K322" i="29"/>
  <c r="K323" i="29"/>
  <c r="K324" i="29"/>
  <c r="K325" i="29"/>
  <c r="K326" i="29"/>
  <c r="K327" i="29"/>
  <c r="K328" i="29"/>
  <c r="K329" i="29"/>
  <c r="K330" i="29"/>
  <c r="K337" i="29"/>
  <c r="K338" i="29"/>
  <c r="K339" i="29"/>
  <c r="K340" i="29"/>
  <c r="K342" i="29"/>
  <c r="F13" i="34"/>
  <c r="K215" i="29"/>
  <c r="K216" i="29"/>
  <c r="K217" i="29"/>
  <c r="K218" i="29"/>
  <c r="K219" i="29"/>
  <c r="K220" i="29"/>
  <c r="K221" i="29"/>
  <c r="K222" i="29"/>
  <c r="K223" i="29"/>
  <c r="K224" i="29"/>
  <c r="K225" i="29"/>
  <c r="K226" i="29"/>
  <c r="K227" i="29"/>
  <c r="K228" i="29"/>
  <c r="K229" i="29"/>
  <c r="K232" i="29"/>
  <c r="K233" i="29"/>
  <c r="K234" i="29"/>
  <c r="K235" i="29"/>
  <c r="K236" i="29"/>
  <c r="K237" i="29"/>
  <c r="K238" i="29"/>
  <c r="K240" i="29"/>
  <c r="K241" i="29"/>
  <c r="K242" i="29"/>
  <c r="K243" i="29"/>
  <c r="K245" i="29"/>
  <c r="K246" i="29"/>
  <c r="K247" i="29"/>
  <c r="K248" i="29"/>
  <c r="K249" i="29"/>
  <c r="K250" i="29"/>
  <c r="K251" i="29"/>
  <c r="K252" i="29"/>
  <c r="K253" i="29"/>
  <c r="K254" i="29"/>
  <c r="K255" i="29"/>
  <c r="K256" i="29"/>
  <c r="K257" i="29"/>
  <c r="K259" i="29"/>
  <c r="K260" i="29"/>
  <c r="K261" i="29"/>
  <c r="K263" i="29"/>
  <c r="K264" i="29"/>
  <c r="K265" i="29"/>
  <c r="K266" i="29"/>
  <c r="K267" i="29"/>
  <c r="K268" i="29"/>
  <c r="K269" i="29"/>
  <c r="K270" i="29"/>
  <c r="K272" i="29"/>
  <c r="K273" i="29"/>
  <c r="K274" i="29"/>
  <c r="K275" i="29"/>
  <c r="K276" i="29"/>
  <c r="K277" i="29"/>
  <c r="K278" i="29"/>
  <c r="K279" i="29"/>
  <c r="K280" i="29"/>
  <c r="K282" i="29"/>
  <c r="K283" i="29"/>
  <c r="K284" i="29"/>
  <c r="K285" i="29"/>
  <c r="K288" i="29"/>
  <c r="K289" i="29"/>
  <c r="K290" i="29"/>
  <c r="K291" i="29"/>
  <c r="K292" i="29"/>
  <c r="K293" i="29"/>
  <c r="K295" i="29"/>
  <c r="F12" i="34"/>
  <c r="K180" i="29"/>
  <c r="K182" i="29"/>
  <c r="K183" i="29"/>
  <c r="K184" i="29"/>
  <c r="K185" i="29"/>
  <c r="K188" i="29"/>
  <c r="K189" i="29"/>
  <c r="K190" i="29"/>
  <c r="K191" i="29"/>
  <c r="K192" i="29"/>
  <c r="K193" i="29"/>
  <c r="K194" i="29"/>
  <c r="K195" i="29"/>
  <c r="K196" i="29"/>
  <c r="K199" i="29"/>
  <c r="K200" i="29"/>
  <c r="K201" i="29"/>
  <c r="K202" i="29"/>
  <c r="K203" i="29"/>
  <c r="K204" i="29"/>
  <c r="K205" i="29"/>
  <c r="K206" i="29"/>
  <c r="K207" i="29"/>
  <c r="K208" i="29"/>
  <c r="K210" i="29"/>
  <c r="F11" i="34"/>
  <c r="K163" i="29"/>
  <c r="K164" i="29"/>
  <c r="K165" i="29"/>
  <c r="K166" i="29"/>
  <c r="K167" i="29"/>
  <c r="K168" i="29"/>
  <c r="K169" i="29"/>
  <c r="K171" i="29"/>
  <c r="K172" i="29"/>
  <c r="K174" i="29"/>
  <c r="F10" i="34"/>
  <c r="J15" i="4"/>
  <c r="B7796" i="106"/>
  <c r="K356" i="29"/>
  <c r="K355" i="29"/>
  <c r="B7794" i="106"/>
  <c r="K354" i="29"/>
  <c r="H357" i="29"/>
  <c r="L334" i="29"/>
  <c r="B7788" i="106"/>
  <c r="H334" i="29"/>
  <c r="B7789" i="106"/>
  <c r="B7784" i="106"/>
  <c r="H160" i="29"/>
  <c r="B7780" i="106"/>
  <c r="B7795" i="106"/>
  <c r="K133" i="29"/>
  <c r="B7776" i="106"/>
  <c r="B7793" i="106"/>
  <c r="B7791" i="106"/>
  <c r="B7787" i="106"/>
  <c r="B7786" i="106"/>
  <c r="B7785" i="106"/>
  <c r="B7783" i="106"/>
  <c r="B7782" i="106"/>
  <c r="B7781" i="106"/>
  <c r="B7779" i="106"/>
  <c r="B7778" i="106"/>
  <c r="B7777" i="106"/>
  <c r="B7775" i="106"/>
  <c r="B7774" i="106"/>
  <c r="K357" i="29"/>
  <c r="B7792" i="106"/>
  <c r="K15" i="4"/>
  <c r="B7790" i="106"/>
  <c r="G350" i="29"/>
  <c r="G352" i="29"/>
  <c r="G367" i="29"/>
  <c r="F350" i="29"/>
  <c r="F352" i="29"/>
  <c r="F367" i="29"/>
  <c r="E350" i="29"/>
  <c r="E352" i="29"/>
  <c r="E367" i="29"/>
  <c r="D350" i="29"/>
  <c r="D352" i="29"/>
  <c r="D367" i="29"/>
  <c r="C350" i="29"/>
  <c r="C352" i="29"/>
  <c r="C367" i="29"/>
  <c r="L350" i="29"/>
  <c r="L352" i="29"/>
  <c r="L357" i="29"/>
  <c r="L362" i="29"/>
  <c r="L365" i="29"/>
  <c r="L367" i="29"/>
  <c r="J350" i="29"/>
  <c r="J352" i="29"/>
  <c r="J367" i="29"/>
  <c r="I350" i="29"/>
  <c r="I352" i="29"/>
  <c r="I367" i="29"/>
  <c r="L285" i="29"/>
  <c r="D285" i="29"/>
  <c r="D229" i="29"/>
  <c r="D238" i="29"/>
  <c r="D243" i="29"/>
  <c r="D257" i="29"/>
  <c r="D261" i="29"/>
  <c r="D270" i="29"/>
  <c r="D277" i="29"/>
  <c r="D279" i="29"/>
  <c r="D295" i="29"/>
  <c r="L160" i="29"/>
  <c r="L137" i="29"/>
  <c r="H137" i="29"/>
  <c r="E137" i="29"/>
  <c r="E139" i="29"/>
  <c r="E15" i="4"/>
  <c r="F37" i="181"/>
  <c r="G37" i="181"/>
  <c r="E37" i="181"/>
  <c r="F38" i="181"/>
  <c r="G38" i="181"/>
  <c r="E38" i="181"/>
  <c r="F36" i="181"/>
  <c r="G36" i="181"/>
  <c r="E36" i="181"/>
  <c r="F35" i="181"/>
  <c r="G35" i="181"/>
  <c r="E35" i="181"/>
  <c r="F34" i="181"/>
  <c r="G34" i="181"/>
  <c r="E34" i="181"/>
  <c r="F33" i="181"/>
  <c r="G33" i="181"/>
  <c r="E33" i="181"/>
  <c r="E32" i="181"/>
  <c r="F32" i="181"/>
  <c r="G32" i="181"/>
  <c r="F31" i="181"/>
  <c r="G31" i="181"/>
  <c r="E31" i="181"/>
  <c r="F30" i="181"/>
  <c r="G30" i="181"/>
  <c r="E30" i="181"/>
  <c r="F29" i="181"/>
  <c r="G29" i="181"/>
  <c r="E29" i="181"/>
  <c r="E28" i="181"/>
  <c r="F28" i="181"/>
  <c r="G28" i="181"/>
  <c r="E27" i="181"/>
  <c r="F27" i="181"/>
  <c r="G27" i="181"/>
  <c r="F26" i="181"/>
  <c r="G26" i="181"/>
  <c r="E26" i="181"/>
  <c r="E25" i="181"/>
  <c r="F25" i="181"/>
  <c r="G25" i="181"/>
  <c r="F24" i="181"/>
  <c r="G24" i="181"/>
  <c r="E24" i="181"/>
  <c r="F23" i="181"/>
  <c r="G23" i="181"/>
  <c r="E23" i="181"/>
  <c r="F22" i="181"/>
  <c r="G22" i="181"/>
  <c r="E22" i="181"/>
  <c r="F21" i="181"/>
  <c r="G21" i="181"/>
  <c r="E21" i="181"/>
  <c r="F20" i="181"/>
  <c r="G20" i="181"/>
  <c r="E20" i="181"/>
  <c r="E19" i="181"/>
  <c r="F19" i="181"/>
  <c r="G19" i="181"/>
  <c r="F18" i="181"/>
  <c r="G18" i="181"/>
  <c r="E18" i="181"/>
  <c r="D39" i="181"/>
  <c r="D80" i="36"/>
  <c r="B7797" i="106"/>
  <c r="E39" i="181"/>
  <c r="E17" i="181"/>
  <c r="E16" i="181"/>
  <c r="F16" i="181"/>
  <c r="G16" i="181"/>
  <c r="F17" i="181"/>
  <c r="G17" i="181"/>
  <c r="G39" i="181"/>
  <c r="G40" i="108"/>
  <c r="K5" i="29"/>
  <c r="K6" i="29"/>
  <c r="K7" i="29"/>
  <c r="K8" i="29"/>
  <c r="K9" i="29"/>
  <c r="K10" i="29"/>
  <c r="K11" i="29"/>
  <c r="K12" i="29"/>
  <c r="K13" i="29"/>
  <c r="K14" i="29"/>
  <c r="K15" i="29"/>
  <c r="K16" i="29"/>
  <c r="K17" i="29"/>
  <c r="K18" i="29"/>
  <c r="K19" i="29"/>
  <c r="K20" i="29"/>
  <c r="K21" i="29"/>
  <c r="K22" i="29"/>
  <c r="K23" i="29"/>
  <c r="K24" i="29"/>
  <c r="K25" i="29"/>
  <c r="K26" i="29"/>
  <c r="K27" i="29"/>
  <c r="K28" i="29"/>
  <c r="K29" i="29"/>
  <c r="K30" i="29"/>
  <c r="K31" i="29"/>
  <c r="K32" i="29"/>
  <c r="K33" i="29"/>
  <c r="G33" i="29"/>
  <c r="I33" i="29"/>
  <c r="G19" i="108"/>
  <c r="K36" i="29"/>
  <c r="K37" i="29"/>
  <c r="K38" i="29"/>
  <c r="K39" i="29"/>
  <c r="K40" i="29"/>
  <c r="K41" i="29"/>
  <c r="K42" i="29"/>
  <c r="G42" i="29"/>
  <c r="I42" i="29"/>
  <c r="K120" i="29"/>
  <c r="G21" i="108"/>
  <c r="K44" i="29"/>
  <c r="K45" i="29"/>
  <c r="K46" i="29"/>
  <c r="K47" i="29"/>
  <c r="G47" i="29"/>
  <c r="I47" i="29"/>
  <c r="G22" i="108"/>
  <c r="K49" i="29"/>
  <c r="K50" i="29"/>
  <c r="K51" i="29"/>
  <c r="K52" i="29"/>
  <c r="K53" i="29"/>
  <c r="G53" i="29"/>
  <c r="I53" i="29"/>
  <c r="G330" i="29"/>
  <c r="I330" i="29"/>
  <c r="G23" i="108"/>
  <c r="K55" i="29"/>
  <c r="K56" i="29"/>
  <c r="K57" i="29"/>
  <c r="G57" i="29"/>
  <c r="I57" i="29"/>
  <c r="G24" i="108"/>
  <c r="K122" i="29"/>
  <c r="G26" i="108"/>
  <c r="G27" i="108"/>
  <c r="G28" i="108"/>
  <c r="K62" i="29"/>
  <c r="K125" i="29"/>
  <c r="G29" i="108"/>
  <c r="K63" i="29"/>
  <c r="G30" i="108"/>
  <c r="G31" i="108"/>
  <c r="K67" i="29"/>
  <c r="G33" i="108"/>
  <c r="K68" i="29"/>
  <c r="G34" i="108"/>
  <c r="K69" i="29"/>
  <c r="G35" i="108"/>
  <c r="G36" i="108"/>
  <c r="G37" i="108"/>
  <c r="K73" i="29"/>
  <c r="K128" i="29"/>
  <c r="G38" i="108"/>
  <c r="K75" i="29"/>
  <c r="K130" i="29"/>
  <c r="G39" i="108"/>
  <c r="G41" i="108"/>
  <c r="B7799" i="106"/>
  <c r="F39" i="181"/>
  <c r="B7798" i="106"/>
  <c r="E40" i="108"/>
  <c r="E19" i="108"/>
  <c r="E21" i="108"/>
  <c r="E22" i="108"/>
  <c r="E23" i="108"/>
  <c r="E24" i="108"/>
  <c r="E26" i="108"/>
  <c r="E27" i="108"/>
  <c r="K61" i="29"/>
  <c r="K124" i="29"/>
  <c r="E28" i="108"/>
  <c r="E29" i="108"/>
  <c r="E30" i="108"/>
  <c r="E31" i="108"/>
  <c r="E33" i="108"/>
  <c r="E34" i="108"/>
  <c r="E35" i="108"/>
  <c r="E36" i="108"/>
  <c r="E37" i="108"/>
  <c r="E38" i="108"/>
  <c r="E39" i="108"/>
  <c r="E41" i="108"/>
  <c r="F4" i="7"/>
  <c r="F5" i="7"/>
  <c r="F6" i="7"/>
  <c r="F7" i="7"/>
  <c r="F8" i="7"/>
  <c r="F9" i="7"/>
  <c r="F10" i="7"/>
  <c r="F11" i="7"/>
  <c r="F12" i="7"/>
  <c r="F13" i="7"/>
  <c r="F14" i="7"/>
  <c r="F15" i="7"/>
  <c r="F16" i="7"/>
  <c r="F17" i="7"/>
  <c r="F18" i="7"/>
  <c r="F19" i="7"/>
  <c r="B1807" i="106"/>
  <c r="B4" i="179"/>
  <c r="D17" i="171"/>
  <c r="E7" i="169"/>
  <c r="B2" i="179"/>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A7" i="169"/>
  <c r="B4" i="177"/>
  <c r="B4" i="176"/>
  <c r="B4" i="175"/>
  <c r="G43" i="174"/>
  <c r="D47" i="174"/>
  <c r="B4" i="174"/>
  <c r="B2" i="174"/>
  <c r="E34" i="173"/>
  <c r="A4" i="173"/>
  <c r="A2"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A2" i="170"/>
  <c r="B2" i="177"/>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B7766" i="106"/>
  <c r="B7765" i="106"/>
  <c r="B7764" i="106"/>
  <c r="J85" i="28"/>
  <c r="B7758" i="106"/>
  <c r="D7758" i="106"/>
  <c r="J88" i="28"/>
  <c r="B7763" i="106"/>
  <c r="B7762" i="106"/>
  <c r="K12" i="12"/>
  <c r="K23" i="12"/>
  <c r="K24" i="12"/>
  <c r="B7733" i="106"/>
  <c r="J12" i="12"/>
  <c r="J21" i="12"/>
  <c r="J23" i="12"/>
  <c r="B7729" i="106"/>
  <c r="B7734" i="106"/>
  <c r="B7726" i="106"/>
  <c r="D76" i="36"/>
  <c r="F162" i="34"/>
  <c r="B30" i="36"/>
  <c r="B33" i="36"/>
  <c r="B43" i="36"/>
  <c r="B56" i="36"/>
  <c r="B66" i="36"/>
  <c r="B70" i="36"/>
  <c r="B74" i="36"/>
  <c r="D73" i="36"/>
  <c r="B7761" i="106"/>
  <c r="L127" i="29"/>
  <c r="L129" i="29"/>
  <c r="L139" i="29"/>
  <c r="L149" i="29"/>
  <c r="I7" i="145"/>
  <c r="I6" i="145"/>
  <c r="D82" i="36"/>
  <c r="D78" i="36"/>
  <c r="F15" i="145"/>
  <c r="F19" i="145"/>
  <c r="K64" i="29"/>
  <c r="K59" i="29"/>
  <c r="E15" i="145"/>
  <c r="G15" i="145"/>
  <c r="E14" i="145"/>
  <c r="G14" i="145"/>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B959" i="106"/>
  <c r="D959" i="106"/>
  <c r="B960" i="106"/>
  <c r="D960" i="106"/>
  <c r="B961" i="106"/>
  <c r="D961" i="106"/>
  <c r="B962" i="106"/>
  <c r="D962" i="106"/>
  <c r="B963" i="106"/>
  <c r="D963" i="106"/>
  <c r="B964" i="106"/>
  <c r="D964" i="106"/>
  <c r="B965" i="106"/>
  <c r="D965" i="106"/>
  <c r="B966" i="106"/>
  <c r="D966" i="106"/>
  <c r="B967" i="106"/>
  <c r="D967" i="106"/>
  <c r="B968" i="106"/>
  <c r="D968" i="106"/>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92" i="29"/>
  <c r="K92" i="29"/>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c r="D1095" i="106"/>
  <c r="D1096" i="106"/>
  <c r="D1097" i="106"/>
  <c r="D1098" i="106"/>
  <c r="D1099" i="106"/>
  <c r="B1100" i="106"/>
  <c r="D1100" i="106"/>
  <c r="D1101" i="106"/>
  <c r="D1102" i="106"/>
  <c r="D1103" i="106"/>
  <c r="B1104" i="106"/>
  <c r="D1104" i="106"/>
  <c r="B1106" i="106"/>
  <c r="D1106" i="106"/>
  <c r="B1107" i="106"/>
  <c r="D1107" i="106"/>
  <c r="B1110" i="106"/>
  <c r="D1110" i="106"/>
  <c r="B1111" i="106"/>
  <c r="D1111" i="106"/>
  <c r="B1112" i="106"/>
  <c r="D1112" i="106"/>
  <c r="B1113" i="106"/>
  <c r="D1113" i="106"/>
  <c r="B1114" i="106"/>
  <c r="D1114" i="106"/>
  <c r="B1118" i="106"/>
  <c r="D1118" i="106"/>
  <c r="B1120" i="106"/>
  <c r="D1120" i="106"/>
  <c r="B1124" i="106"/>
  <c r="D1124" i="106"/>
  <c r="B1126" i="106"/>
  <c r="D1126" i="106"/>
  <c r="K60" i="29"/>
  <c r="B1128" i="106"/>
  <c r="D1128" i="106"/>
  <c r="B1129" i="106"/>
  <c r="D1129" i="106"/>
  <c r="B1130" i="106"/>
  <c r="D1130" i="106"/>
  <c r="D1132" i="106"/>
  <c r="B1136" i="106"/>
  <c r="D1136" i="106"/>
  <c r="K70" i="29"/>
  <c r="B1137" i="106"/>
  <c r="D1137" i="106"/>
  <c r="D1138" i="106"/>
  <c r="K71" i="29"/>
  <c r="B1139" i="106"/>
  <c r="D1139" i="106"/>
  <c r="D1140" i="106"/>
  <c r="B1142" i="106"/>
  <c r="D1142" i="106"/>
  <c r="K78" i="29"/>
  <c r="K79" i="29"/>
  <c r="K80" i="29"/>
  <c r="K81" i="29"/>
  <c r="K82" i="29"/>
  <c r="K83" i="29"/>
  <c r="K93" i="29"/>
  <c r="K94" i="29"/>
  <c r="K95" i="29"/>
  <c r="K96" i="29"/>
  <c r="K97" i="29"/>
  <c r="K98" i="29"/>
  <c r="K99" i="29"/>
  <c r="K101" i="29"/>
  <c r="K105" i="29"/>
  <c r="K106" i="29"/>
  <c r="B1147" i="106"/>
  <c r="D1147" i="106"/>
  <c r="D1148" i="106"/>
  <c r="K109" i="29"/>
  <c r="B1149" i="106"/>
  <c r="D1149" i="106"/>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C129" i="29"/>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K123" i="29"/>
  <c r="B1276" i="106"/>
  <c r="D1276" i="106"/>
  <c r="K126" i="29"/>
  <c r="B1277" i="106"/>
  <c r="D1277" i="106"/>
  <c r="D1278" i="106"/>
  <c r="B1280" i="106"/>
  <c r="D1280" i="106"/>
  <c r="K134" i="29"/>
  <c r="K135" i="29"/>
  <c r="B2987" i="106"/>
  <c r="D2987" i="106"/>
  <c r="K136" i="29"/>
  <c r="B2988" i="106"/>
  <c r="D2988" i="106"/>
  <c r="K138" i="29"/>
  <c r="K142" i="29"/>
  <c r="K143" i="29"/>
  <c r="B1284" i="106"/>
  <c r="D1284" i="106"/>
  <c r="K146" i="29"/>
  <c r="B1285" i="106"/>
  <c r="D1285" i="106"/>
  <c r="D1286" i="106"/>
  <c r="K144" i="29"/>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E174" i="29"/>
  <c r="B1309" i="106"/>
  <c r="D1309"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B1324" i="106"/>
  <c r="D1324" i="106"/>
  <c r="B1325" i="106"/>
  <c r="D1325" i="106"/>
  <c r="B1326" i="106"/>
  <c r="D1326" i="106"/>
  <c r="B1327" i="106"/>
  <c r="D1327" i="106"/>
  <c r="B2818" i="106"/>
  <c r="B1329" i="106"/>
  <c r="D1329" i="106"/>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G210" i="29"/>
  <c r="B1365" i="106"/>
  <c r="D1365"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B1380" i="106"/>
  <c r="D1380" i="106"/>
  <c r="B3007" i="106"/>
  <c r="D3007" i="106"/>
  <c r="B2839" i="106"/>
  <c r="B1383" i="106"/>
  <c r="D1383" i="106"/>
  <c r="B1384" i="106"/>
  <c r="D1384" i="106"/>
  <c r="B1385" i="106"/>
  <c r="D1385" i="106"/>
  <c r="D1386" i="106"/>
  <c r="B2841" i="106"/>
  <c r="D2841"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B1410" i="106"/>
  <c r="D1410" i="106"/>
  <c r="B1411" i="106"/>
  <c r="D1411" i="106"/>
  <c r="B1412" i="106"/>
  <c r="D1412" i="106"/>
  <c r="B1413" i="106"/>
  <c r="D1413" i="106"/>
  <c r="B1414" i="106"/>
  <c r="D1414" i="106"/>
  <c r="B1415" i="106"/>
  <c r="D1415" i="106"/>
  <c r="B1416" i="106"/>
  <c r="D1416" i="106"/>
  <c r="B1418" i="106"/>
  <c r="D1418" i="106"/>
  <c r="B1419" i="106"/>
  <c r="D1419" i="106"/>
  <c r="B1420" i="106"/>
  <c r="D1420" i="106"/>
  <c r="B1421" i="106"/>
  <c r="D1421" i="106"/>
  <c r="B1422" i="106"/>
  <c r="D1422" i="106"/>
  <c r="B1423" i="106"/>
  <c r="D1423" i="106"/>
  <c r="B1424" i="106"/>
  <c r="D1424" i="106"/>
  <c r="B1425" i="106"/>
  <c r="D1425" i="106"/>
  <c r="B1426" i="106"/>
  <c r="D1426" i="106"/>
  <c r="B1427" i="106"/>
  <c r="D1427" i="106"/>
  <c r="B1428" i="106"/>
  <c r="D1428" i="106"/>
  <c r="B1429" i="106"/>
  <c r="D1429" i="106"/>
  <c r="B1430" i="106"/>
  <c r="D1430" i="106"/>
  <c r="B1431" i="106"/>
  <c r="D1431" i="106"/>
  <c r="B1432" i="106"/>
  <c r="D1432" i="106"/>
  <c r="B1433" i="106"/>
  <c r="D1433" i="106"/>
  <c r="B1434" i="106"/>
  <c r="D1434" i="106"/>
  <c r="D1435" i="106"/>
  <c r="B1436" i="106"/>
  <c r="D1436" i="106"/>
  <c r="B1437" i="106"/>
  <c r="D1437" i="106"/>
  <c r="B1438" i="106"/>
  <c r="D1438" i="106"/>
  <c r="B1439" i="106"/>
  <c r="D1439" i="106"/>
  <c r="B1440" i="106"/>
  <c r="D1440" i="106"/>
  <c r="D1441" i="106"/>
  <c r="B1442" i="106"/>
  <c r="D1442" i="106"/>
  <c r="D1443" i="106"/>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c r="B3390" i="106"/>
  <c r="D3390" i="106"/>
  <c r="B3391" i="106"/>
  <c r="D3391" i="106"/>
  <c r="B3065" i="106"/>
  <c r="D3065" i="106"/>
  <c r="B1476" i="106"/>
  <c r="D1476" i="106"/>
  <c r="B1477" i="106"/>
  <c r="D1477" i="106"/>
  <c r="B1478" i="106"/>
  <c r="D1478" i="106"/>
  <c r="B1479" i="106"/>
  <c r="D1479" i="106"/>
  <c r="B1480" i="106"/>
  <c r="D1480" i="106"/>
  <c r="B1482" i="106"/>
  <c r="D1482" i="106"/>
  <c r="B1483" i="106"/>
  <c r="D1483" i="106"/>
  <c r="B1484" i="106"/>
  <c r="D1484" i="106"/>
  <c r="B1486" i="106"/>
  <c r="D1486" i="106"/>
  <c r="B1487" i="106"/>
  <c r="D1487" i="106"/>
  <c r="B1489" i="106"/>
  <c r="D1489" i="106"/>
  <c r="B1490" i="106"/>
  <c r="D1490" i="106"/>
  <c r="B1493" i="106"/>
  <c r="D1493" i="106"/>
  <c r="B1494" i="106"/>
  <c r="D1494" i="106"/>
  <c r="B1495" i="106"/>
  <c r="D1495" i="106"/>
  <c r="B1496" i="106"/>
  <c r="D1496" i="106"/>
  <c r="B1497" i="106"/>
  <c r="D1497" i="106"/>
  <c r="B1498" i="106"/>
  <c r="D1498" i="106"/>
  <c r="D1499" i="106"/>
  <c r="B1501" i="106"/>
  <c r="D1501" i="106"/>
  <c r="B1502" i="106"/>
  <c r="D1502" i="106"/>
  <c r="B1503" i="106"/>
  <c r="D1503" i="106"/>
  <c r="B1504" i="106"/>
  <c r="D1504" i="106"/>
  <c r="D1505" i="106"/>
  <c r="B1506" i="106"/>
  <c r="D1506" i="106"/>
  <c r="D1507" i="106"/>
  <c r="B1509" i="106"/>
  <c r="D1509" i="106"/>
  <c r="B1511" i="106"/>
  <c r="D1511" i="106"/>
  <c r="B1513" i="106"/>
  <c r="D1513" i="106"/>
  <c r="B1514" i="106"/>
  <c r="D1514" i="106"/>
  <c r="B2845" i="106"/>
  <c r="B2846" i="106"/>
  <c r="D2846" i="106"/>
  <c r="D1516" i="106"/>
  <c r="F73" i="34"/>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B1792" i="106"/>
  <c r="D1792" i="106"/>
  <c r="B1793" i="106"/>
  <c r="D1793" i="106"/>
  <c r="B1794" i="106"/>
  <c r="D1794" i="106"/>
  <c r="B1795" i="106"/>
  <c r="D1795" i="106"/>
  <c r="B1796" i="106"/>
  <c r="D1796" i="106"/>
  <c r="B1797" i="106"/>
  <c r="D1797" i="106"/>
  <c r="D1798" i="106"/>
  <c r="B1799" i="106"/>
  <c r="D1799" i="106"/>
  <c r="B1800" i="106"/>
  <c r="D1800" i="106"/>
  <c r="B1801" i="106"/>
  <c r="D1801" i="106"/>
  <c r="B1802" i="106"/>
  <c r="D1802" i="106"/>
  <c r="D1803" i="106"/>
  <c r="B1804" i="106"/>
  <c r="D1804" i="106"/>
  <c r="D1805" i="106"/>
  <c r="D1806" i="106"/>
  <c r="D1807"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1" i="8"/>
  <c r="B1879" i="106"/>
  <c r="D187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I24" i="12"/>
  <c r="B1996" i="106"/>
  <c r="D1996"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L13" i="11"/>
  <c r="B2060" i="106"/>
  <c r="D206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B2089" i="106"/>
  <c r="D2089" i="106"/>
  <c r="D2090" i="106"/>
  <c r="B2091" i="106"/>
  <c r="D2091" i="106"/>
  <c r="B2092" i="106"/>
  <c r="D2092" i="106"/>
  <c r="B2094" i="106"/>
  <c r="D2094"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5" i="106"/>
  <c r="D2795"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D2839" i="106"/>
  <c r="B2840" i="106"/>
  <c r="D2840" i="106"/>
  <c r="B2843" i="106"/>
  <c r="D2843" i="106"/>
  <c r="B2844" i="106"/>
  <c r="D2844" i="106"/>
  <c r="D2845"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4" i="106"/>
  <c r="D2974" i="106"/>
  <c r="B2975" i="106"/>
  <c r="D2975" i="106"/>
  <c r="B2976" i="106"/>
  <c r="D2976" i="106"/>
  <c r="B2977" i="106"/>
  <c r="D2977" i="106"/>
  <c r="B2978" i="106"/>
  <c r="D2978"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B3009" i="106"/>
  <c r="D3009" i="106"/>
  <c r="B3010" i="106"/>
  <c r="D3010" i="106"/>
  <c r="B3011" i="106"/>
  <c r="D3011"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4" i="106"/>
  <c r="D3254" i="106"/>
  <c r="F77" i="4"/>
  <c r="B3255" i="106"/>
  <c r="D3255"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E38" i="4"/>
  <c r="E39" i="4"/>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B3449" i="106"/>
  <c r="D3449" i="106"/>
  <c r="B3450" i="106"/>
  <c r="D3450" i="106"/>
  <c r="B3451" i="106"/>
  <c r="D3451" i="106"/>
  <c r="B3452" i="106"/>
  <c r="D3452" i="106"/>
  <c r="B3453" i="106"/>
  <c r="D3453" i="106"/>
  <c r="F15" i="11"/>
  <c r="B3454" i="106"/>
  <c r="D3454" i="106"/>
  <c r="D3455" i="106"/>
  <c r="D3456" i="106"/>
  <c r="D3457" i="106"/>
  <c r="D3458" i="106"/>
  <c r="L15" i="11"/>
  <c r="B3459" i="106"/>
  <c r="D3459"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K41" i="3"/>
  <c r="B3568" i="106"/>
  <c r="D3568"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K53" i="4"/>
  <c r="K76" i="4"/>
  <c r="B3586" i="106"/>
  <c r="D3586" i="106"/>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B3619" i="106"/>
  <c r="D3619" i="106"/>
  <c r="B3620" i="106"/>
  <c r="D3620" i="106"/>
  <c r="B3621" i="106"/>
  <c r="D3621" i="106"/>
  <c r="D3623" i="106"/>
  <c r="B3624" i="106"/>
  <c r="D3624" i="106"/>
  <c r="B3625" i="106"/>
  <c r="D3625" i="106"/>
  <c r="B3626" i="106"/>
  <c r="D3626" i="106"/>
  <c r="B3627" i="106"/>
  <c r="D3627" i="106"/>
  <c r="D3630" i="106"/>
  <c r="B3631" i="106"/>
  <c r="D3631" i="106"/>
  <c r="B3632" i="106"/>
  <c r="D3632" i="106"/>
  <c r="B3634" i="106"/>
  <c r="D3634" i="106"/>
  <c r="D3637" i="106"/>
  <c r="B3638" i="106"/>
  <c r="D3638" i="106"/>
  <c r="B3639" i="106"/>
  <c r="D3639" i="106"/>
  <c r="B3641" i="106"/>
  <c r="D3641" i="106"/>
  <c r="D3644" i="106"/>
  <c r="B3645" i="106"/>
  <c r="D3645" i="106"/>
  <c r="B3646" i="106"/>
  <c r="D3646" i="106"/>
  <c r="B3647" i="106"/>
  <c r="D3647" i="106"/>
  <c r="B3648" i="106"/>
  <c r="D3648" i="106"/>
  <c r="B3649" i="106"/>
  <c r="D3649" i="106"/>
  <c r="D3651" i="106"/>
  <c r="B3652" i="106"/>
  <c r="D3652" i="106"/>
  <c r="B3653" i="106"/>
  <c r="D3653" i="106"/>
  <c r="H350" i="29"/>
  <c r="B3654" i="106"/>
  <c r="D3654" i="106"/>
  <c r="B3655" i="106"/>
  <c r="D3655" i="106"/>
  <c r="B3657" i="106"/>
  <c r="D3657" i="106"/>
  <c r="H362" i="29"/>
  <c r="B3658" i="106"/>
  <c r="D3658" i="106"/>
  <c r="D3659" i="106"/>
  <c r="H365" i="29"/>
  <c r="H352" i="29"/>
  <c r="H367" i="29"/>
  <c r="D3661" i="106"/>
  <c r="D3662" i="106"/>
  <c r="D3663" i="106"/>
  <c r="D3664" i="106"/>
  <c r="D3665" i="106"/>
  <c r="D3666" i="106"/>
  <c r="D3667" i="106"/>
  <c r="K348" i="29"/>
  <c r="B3668" i="106"/>
  <c r="D3668" i="106"/>
  <c r="K349" i="29"/>
  <c r="B3669" i="106"/>
  <c r="D3669" i="106"/>
  <c r="K350" i="29"/>
  <c r="B3670" i="106"/>
  <c r="D3670" i="106"/>
  <c r="K351" i="29"/>
  <c r="B3671" i="106"/>
  <c r="D3671" i="106"/>
  <c r="K352" i="29"/>
  <c r="B3673" i="106"/>
  <c r="D3673" i="106"/>
  <c r="K360" i="29"/>
  <c r="B3675" i="106"/>
  <c r="D3675" i="106"/>
  <c r="K361" i="29"/>
  <c r="D3677" i="106"/>
  <c r="K363" i="29"/>
  <c r="K364" i="29"/>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B4108" i="106"/>
  <c r="D4108" i="106"/>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J41" i="3"/>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J77" i="4"/>
  <c r="B6262" i="106"/>
  <c r="D6262" i="106"/>
  <c r="B6264" i="106"/>
  <c r="D6264" i="106"/>
  <c r="B6265" i="106"/>
  <c r="D6265" i="106"/>
  <c r="B6285" i="106"/>
  <c r="D6285" i="106"/>
  <c r="B6286" i="106"/>
  <c r="D6286" i="106"/>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B6848" i="106"/>
  <c r="D6848" i="106"/>
  <c r="B6849" i="106"/>
  <c r="D6849" i="106"/>
  <c r="B6850" i="106"/>
  <c r="D6850" i="106"/>
  <c r="B6851" i="106"/>
  <c r="D6851" i="106"/>
  <c r="B6852" i="106"/>
  <c r="D6852" i="106"/>
  <c r="B6853" i="106"/>
  <c r="D6853"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1" i="106"/>
  <c r="D6881"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J42" i="29"/>
  <c r="B6918" i="106"/>
  <c r="D6918" i="106"/>
  <c r="B6919" i="106"/>
  <c r="D6919" i="106"/>
  <c r="B6920" i="106"/>
  <c r="D6920" i="106"/>
  <c r="B6921" i="106"/>
  <c r="D6921" i="106"/>
  <c r="B6922" i="106"/>
  <c r="D6922" i="106"/>
  <c r="B6923" i="106"/>
  <c r="D6923" i="106"/>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B6942" i="106"/>
  <c r="D6942" i="106"/>
  <c r="J53" i="29"/>
  <c r="B6943" i="106"/>
  <c r="D6943" i="106"/>
  <c r="B6944" i="106"/>
  <c r="D6944" i="106"/>
  <c r="B6945" i="106"/>
  <c r="D6945" i="106"/>
  <c r="B6946" i="106"/>
  <c r="D6946" i="106"/>
  <c r="B6947" i="106"/>
  <c r="D6947" i="106"/>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K111" i="29"/>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B7033" i="106"/>
  <c r="D7033" i="106"/>
  <c r="J127" i="29"/>
  <c r="B7034" i="106"/>
  <c r="D7034" i="106"/>
  <c r="B7035" i="106"/>
  <c r="D7035" i="106"/>
  <c r="B7036" i="106"/>
  <c r="D7036" i="106"/>
  <c r="B7037" i="106"/>
  <c r="D7037" i="106"/>
  <c r="J129" i="29"/>
  <c r="B7038" i="106"/>
  <c r="D7038"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8" i="106"/>
  <c r="D7068" i="106"/>
  <c r="B7069" i="106"/>
  <c r="D7069" i="106"/>
  <c r="B7070" i="106"/>
  <c r="D7070" i="106"/>
  <c r="I210" i="29"/>
  <c r="B7071" i="106"/>
  <c r="D7071" i="106"/>
  <c r="J210" i="29"/>
  <c r="B7072" i="106"/>
  <c r="D7072" i="106"/>
  <c r="B7073" i="106"/>
  <c r="D7073" i="106"/>
  <c r="B7074" i="106"/>
  <c r="D7074" i="106"/>
  <c r="B7075" i="106"/>
  <c r="D7075" i="106"/>
  <c r="B7076" i="106"/>
  <c r="D7076" i="106"/>
  <c r="B7077" i="106"/>
  <c r="D7077" i="106"/>
  <c r="B7078" i="106"/>
  <c r="D7078" i="106"/>
  <c r="B7079" i="106"/>
  <c r="D7079" i="106"/>
  <c r="B7080" i="106"/>
  <c r="D7080" i="106"/>
  <c r="B7081" i="106"/>
  <c r="D7081" i="106"/>
  <c r="B7082" i="106"/>
  <c r="D7082" i="106"/>
  <c r="B7083" i="106"/>
  <c r="D7083" i="106"/>
  <c r="B7084" i="106"/>
  <c r="D7084" i="106"/>
  <c r="B7085" i="106"/>
  <c r="D7085" i="106"/>
  <c r="B7086" i="106"/>
  <c r="D7086" i="106"/>
  <c r="B7087" i="106"/>
  <c r="D7087" i="106"/>
  <c r="B7088" i="106"/>
  <c r="D7088" i="106"/>
  <c r="B7089" i="106"/>
  <c r="D7089" i="106"/>
  <c r="B7090" i="106"/>
  <c r="D7090" i="106"/>
  <c r="B7091" i="106"/>
  <c r="D7091" i="106"/>
  <c r="B7092" i="106"/>
  <c r="D7092" i="106"/>
  <c r="B7093" i="106"/>
  <c r="D7093" i="106"/>
  <c r="B7094" i="106"/>
  <c r="D7094" i="106"/>
  <c r="B7095" i="106"/>
  <c r="D7095" i="106"/>
  <c r="B7096" i="106"/>
  <c r="D7096" i="106"/>
  <c r="B7097" i="106"/>
  <c r="D7097" i="106"/>
  <c r="B7098" i="106"/>
  <c r="D7098"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B7126" i="106"/>
  <c r="D7126" i="106"/>
  <c r="B7127" i="106"/>
  <c r="D7127" i="106"/>
  <c r="B7128" i="106"/>
  <c r="D7128" i="106"/>
  <c r="B7129" i="106"/>
  <c r="D7129" i="106"/>
  <c r="B7130" i="106"/>
  <c r="D7130" i="106"/>
  <c r="B7131" i="106"/>
  <c r="D7131" i="106"/>
  <c r="B7132" i="106"/>
  <c r="D7132" i="106"/>
  <c r="B7133" i="106"/>
  <c r="D7133" i="106"/>
  <c r="B7134" i="106"/>
  <c r="D7134" i="106"/>
  <c r="B7135" i="106"/>
  <c r="D7135" i="106"/>
  <c r="B7136" i="106"/>
  <c r="D7136" i="106"/>
  <c r="B7137" i="106"/>
  <c r="D7137" i="106"/>
  <c r="B7138" i="106"/>
  <c r="D7138" i="106"/>
  <c r="B7139" i="106"/>
  <c r="D7139" i="106"/>
  <c r="B7140" i="106"/>
  <c r="D7140" i="106"/>
  <c r="B7141" i="106"/>
  <c r="D7141" i="106"/>
  <c r="B7142" i="106"/>
  <c r="D7142" i="106"/>
  <c r="B7143" i="106"/>
  <c r="D7143" i="106"/>
  <c r="B7145" i="106"/>
  <c r="D7145" i="106"/>
  <c r="B7146" i="106"/>
  <c r="D7146" i="106"/>
  <c r="B7147" i="106"/>
  <c r="D7147" i="106"/>
  <c r="B7148" i="106"/>
  <c r="D7148" i="106"/>
  <c r="B7149" i="106"/>
  <c r="D7149" i="106"/>
  <c r="B7150" i="106"/>
  <c r="D7150" i="106"/>
  <c r="B7151" i="106"/>
  <c r="D7151" i="106"/>
  <c r="B7152" i="106"/>
  <c r="D7152" i="106"/>
  <c r="B7153" i="106"/>
  <c r="D7153" i="106"/>
  <c r="B7154" i="106"/>
  <c r="D7154" i="106"/>
  <c r="B7155" i="106"/>
  <c r="D7155" i="106"/>
  <c r="B7156" i="106"/>
  <c r="D7156" i="106"/>
  <c r="B7157" i="106"/>
  <c r="D7157" i="106"/>
  <c r="B7158" i="106"/>
  <c r="D7158" i="106"/>
  <c r="B7159" i="106"/>
  <c r="D7159" i="106"/>
  <c r="B7160" i="106"/>
  <c r="D7160" i="106"/>
  <c r="B7161" i="106"/>
  <c r="D7161" i="106"/>
  <c r="B7162" i="106"/>
  <c r="D7162" i="106"/>
  <c r="B7163" i="106"/>
  <c r="D7163" i="106"/>
  <c r="B7164" i="106"/>
  <c r="D7164" i="106"/>
  <c r="B7165" i="106"/>
  <c r="D7165" i="106"/>
  <c r="B7166" i="106"/>
  <c r="D7166" i="106"/>
  <c r="B7167" i="106"/>
  <c r="D7167" i="106"/>
  <c r="B7168" i="106"/>
  <c r="D7168" i="106"/>
  <c r="B7169" i="106"/>
  <c r="D7169" i="106"/>
  <c r="B7170" i="106"/>
  <c r="D7170" i="106"/>
  <c r="B7171" i="106"/>
  <c r="D7171" i="106"/>
  <c r="B7172" i="106"/>
  <c r="D7172" i="106"/>
  <c r="B7173" i="106"/>
  <c r="D7173" i="106"/>
  <c r="B7174" i="106"/>
  <c r="D7174" i="106"/>
  <c r="B7175" i="106"/>
  <c r="D7175" i="106"/>
  <c r="B7176" i="106"/>
  <c r="D7176" i="106"/>
  <c r="B7177" i="106"/>
  <c r="D7177" i="106"/>
  <c r="B7178" i="106"/>
  <c r="D7178" i="106"/>
  <c r="B7179" i="106"/>
  <c r="D7179" i="106"/>
  <c r="B7180" i="106"/>
  <c r="D7180" i="106"/>
  <c r="B7181" i="106"/>
  <c r="D7181" i="106"/>
  <c r="B7182" i="106"/>
  <c r="D7182" i="106"/>
  <c r="B7183" i="106"/>
  <c r="D7183" i="106"/>
  <c r="B7184" i="106"/>
  <c r="D7184" i="106"/>
  <c r="B7185" i="106"/>
  <c r="D7185" i="106"/>
  <c r="B7186" i="106"/>
  <c r="D7186" i="106"/>
  <c r="B7187" i="106"/>
  <c r="D7187" i="106"/>
  <c r="B7188" i="106"/>
  <c r="D7188" i="106"/>
  <c r="B7189" i="106"/>
  <c r="D7189" i="106"/>
  <c r="B7190" i="106"/>
  <c r="D7190" i="106"/>
  <c r="B7191" i="106"/>
  <c r="D7191" i="106"/>
  <c r="B7192" i="106"/>
  <c r="D7192" i="106"/>
  <c r="B7193" i="106"/>
  <c r="D7193" i="106"/>
  <c r="B7194" i="106"/>
  <c r="D7194" i="106"/>
  <c r="B7195" i="106"/>
  <c r="D7195" i="106"/>
  <c r="B7196" i="106"/>
  <c r="D7196" i="106"/>
  <c r="B7197" i="106"/>
  <c r="D7197" i="106"/>
  <c r="B7198" i="106"/>
  <c r="D7198" i="106"/>
  <c r="C330" i="29"/>
  <c r="B7199" i="106"/>
  <c r="D7199" i="106"/>
  <c r="D330" i="29"/>
  <c r="E330" i="29"/>
  <c r="F330" i="29"/>
  <c r="B7203" i="106"/>
  <c r="D7203" i="106"/>
  <c r="H330" i="29"/>
  <c r="B7204" i="106"/>
  <c r="D7204" i="106"/>
  <c r="B7205" i="106"/>
  <c r="D7205" i="106"/>
  <c r="J330" i="29"/>
  <c r="B7206" i="106"/>
  <c r="D7206" i="106"/>
  <c r="B7696" i="106"/>
  <c r="B7208" i="106"/>
  <c r="D7208" i="106"/>
  <c r="B7209" i="106"/>
  <c r="D7209" i="106"/>
  <c r="B7210" i="106"/>
  <c r="D7210" i="106"/>
  <c r="B7212" i="106"/>
  <c r="D7212" i="106"/>
  <c r="B7213" i="106"/>
  <c r="D7213" i="106"/>
  <c r="H340" i="29"/>
  <c r="H342" i="29"/>
  <c r="C342" i="29"/>
  <c r="B7216" i="106"/>
  <c r="D7216" i="106"/>
  <c r="I342" i="29"/>
  <c r="B7222" i="106"/>
  <c r="D7222" i="106"/>
  <c r="B7226" i="106"/>
  <c r="D7226" i="106"/>
  <c r="B7227" i="106"/>
  <c r="D7227" i="106"/>
  <c r="B7228" i="106"/>
  <c r="D7228" i="106"/>
  <c r="B7229" i="106"/>
  <c r="D7229" i="106"/>
  <c r="B7231" i="106"/>
  <c r="D7231" i="106"/>
  <c r="B7232" i="106"/>
  <c r="D7232" i="106"/>
  <c r="B7233" i="106"/>
  <c r="D7233" i="106"/>
  <c r="B7235" i="106"/>
  <c r="D7235" i="106"/>
  <c r="B7236" i="106"/>
  <c r="D7236" i="106"/>
  <c r="B7237" i="106"/>
  <c r="D7237" i="106"/>
  <c r="B7238" i="106"/>
  <c r="D7238" i="106"/>
  <c r="B7239" i="106"/>
  <c r="D7239" i="106"/>
  <c r="B7240" i="106"/>
  <c r="D7240" i="106"/>
  <c r="B7241" i="106"/>
  <c r="D7241" i="106"/>
  <c r="B7242" i="106"/>
  <c r="D7242" i="106"/>
  <c r="A7245" i="106"/>
  <c r="A7246" i="106"/>
  <c r="A7247" i="106"/>
  <c r="A7248" i="106"/>
  <c r="A7249" i="106"/>
  <c r="B7245" i="106"/>
  <c r="D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D7696" i="106"/>
  <c r="B7697" i="106"/>
  <c r="D7697" i="106"/>
  <c r="B7698" i="106"/>
  <c r="D7698" i="106"/>
  <c r="B7699" i="106"/>
  <c r="D7699" i="106"/>
  <c r="B7700" i="106"/>
  <c r="D7700" i="106"/>
  <c r="B7701" i="106"/>
  <c r="D7701" i="106"/>
  <c r="B7702" i="106"/>
  <c r="D7702" i="106"/>
  <c r="B7703" i="106"/>
  <c r="D7703" i="106"/>
  <c r="B7704" i="106"/>
  <c r="D7704" i="106"/>
  <c r="B7705"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D7729" i="106"/>
  <c r="B7731" i="106"/>
  <c r="D7731" i="106"/>
  <c r="D7733" i="106"/>
  <c r="D7734" i="106"/>
  <c r="B7735" i="106"/>
  <c r="D7735" i="106"/>
  <c r="B7736" i="106"/>
  <c r="D7736" i="106"/>
  <c r="B7737" i="106"/>
  <c r="D7737" i="106"/>
  <c r="B7738" i="106"/>
  <c r="D7738" i="106"/>
  <c r="I26" i="12"/>
  <c r="B7741" i="106"/>
  <c r="D7741" i="106"/>
  <c r="K26" i="12"/>
  <c r="B7743" i="106"/>
  <c r="D7743"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F26" i="108"/>
  <c r="D27" i="108"/>
  <c r="F27" i="108"/>
  <c r="F28" i="108"/>
  <c r="F31" i="108"/>
  <c r="F36" i="108"/>
  <c r="F37" i="108"/>
  <c r="D31" i="108"/>
  <c r="D36" i="108"/>
  <c r="D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F5" i="11"/>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c r="B1105" i="106"/>
  <c r="D1105" i="106"/>
  <c r="C33" i="29"/>
  <c r="D33" i="29"/>
  <c r="B778" i="106"/>
  <c r="D778" i="106"/>
  <c r="F33" i="29"/>
  <c r="B894" i="106"/>
  <c r="D894" i="106"/>
  <c r="B952" i="106"/>
  <c r="D952" i="106"/>
  <c r="H33" i="29"/>
  <c r="B1010" i="106"/>
  <c r="D1010" i="106"/>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12" i="29"/>
  <c r="L330" i="29"/>
  <c r="L340" i="29"/>
  <c r="L342" i="29"/>
  <c r="C12" i="5"/>
  <c r="B5066" i="106"/>
  <c r="D5066" i="106"/>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B5096" i="106"/>
  <c r="D5096"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09" i="5"/>
  <c r="B5121" i="106"/>
  <c r="D5121" i="106"/>
  <c r="E109" i="5"/>
  <c r="G109" i="5"/>
  <c r="B6024" i="106"/>
  <c r="D6024" i="106"/>
  <c r="C114" i="5"/>
  <c r="B5125" i="106"/>
  <c r="D5125" i="106"/>
  <c r="D114" i="5"/>
  <c r="B5360" i="106"/>
  <c r="D5360" i="106"/>
  <c r="F114" i="5"/>
  <c r="B5592" i="106"/>
  <c r="D5592" i="106"/>
  <c r="G114" i="5"/>
  <c r="B5741" i="106"/>
  <c r="D5741" i="106"/>
  <c r="C121" i="5"/>
  <c r="B5132" i="106"/>
  <c r="D5132" i="106"/>
  <c r="D121" i="5"/>
  <c r="B5367" i="106"/>
  <c r="D5367" i="106"/>
  <c r="E121" i="5"/>
  <c r="B5534" i="106"/>
  <c r="D5534" i="106"/>
  <c r="F121" i="5"/>
  <c r="F131" i="5"/>
  <c r="F154" i="5"/>
  <c r="F172" i="5"/>
  <c r="B5644" i="106"/>
  <c r="D5644" i="106"/>
  <c r="G121" i="5"/>
  <c r="B5748" i="106"/>
  <c r="D5748" i="106"/>
  <c r="H121" i="5"/>
  <c r="B5893" i="106"/>
  <c r="D5893" i="106"/>
  <c r="J121" i="5"/>
  <c r="B6357" i="106"/>
  <c r="D6357" i="106"/>
  <c r="K121" i="5"/>
  <c r="B6006" i="106"/>
  <c r="D6006" i="106"/>
  <c r="C131" i="5"/>
  <c r="B5147" i="106"/>
  <c r="D5147" i="106"/>
  <c r="D131" i="5"/>
  <c r="B5369" i="106"/>
  <c r="D5369" i="106"/>
  <c r="B5614" i="106"/>
  <c r="D5614" i="106"/>
  <c r="C140" i="5"/>
  <c r="B5161" i="106"/>
  <c r="D5161" i="106"/>
  <c r="D140" i="5"/>
  <c r="B5383" i="106"/>
  <c r="D5383" i="106"/>
  <c r="G140" i="5"/>
  <c r="G144" i="5"/>
  <c r="B5756" i="106"/>
  <c r="D5756" i="106"/>
  <c r="G154" i="5"/>
  <c r="G172" i="5"/>
  <c r="G173" i="5"/>
  <c r="B5778" i="106"/>
  <c r="D5778" i="106"/>
  <c r="C144" i="5"/>
  <c r="B5165" i="106"/>
  <c r="D5165" i="106"/>
  <c r="C154" i="5"/>
  <c r="B5178" i="106"/>
  <c r="D5178" i="106"/>
  <c r="D154" i="5"/>
  <c r="B5394" i="106"/>
  <c r="D5394" i="106"/>
  <c r="B4357" i="106"/>
  <c r="D4357" i="106"/>
  <c r="E172" i="5"/>
  <c r="H172" i="5"/>
  <c r="B5899" i="106"/>
  <c r="D5899" i="106"/>
  <c r="I172" i="5"/>
  <c r="B4363" i="106"/>
  <c r="D4363" i="106"/>
  <c r="J172" i="5"/>
  <c r="B6396" i="106"/>
  <c r="D6396" i="106"/>
  <c r="K172" i="5"/>
  <c r="B5000" i="106"/>
  <c r="D5000" i="106"/>
  <c r="I173" i="5"/>
  <c r="B4216" i="106"/>
  <c r="D4216" i="106"/>
  <c r="K173" i="5"/>
  <c r="K6" i="4"/>
  <c r="B3570" i="106"/>
  <c r="D3570" i="106"/>
  <c r="B5225" i="106"/>
  <c r="D5225" i="106"/>
  <c r="B5423" i="106"/>
  <c r="D5423" i="106"/>
  <c r="B4372" i="106"/>
  <c r="D4372" i="106"/>
  <c r="B5655" i="106"/>
  <c r="D5655" i="106"/>
  <c r="B5780" i="106"/>
  <c r="D5780" i="106"/>
  <c r="B4373" i="106"/>
  <c r="D4373" i="106"/>
  <c r="B6400" i="106"/>
  <c r="D6400" i="106"/>
  <c r="B4951" i="106"/>
  <c r="D4951" i="106"/>
  <c r="B5232" i="106"/>
  <c r="D5232" i="106"/>
  <c r="B5425" i="106"/>
  <c r="D5425" i="106"/>
  <c r="B5658" i="106"/>
  <c r="D5658" i="106"/>
  <c r="B5784" i="106"/>
  <c r="D5784" i="106"/>
  <c r="B5908" i="106"/>
  <c r="D5908" i="106"/>
  <c r="B6016" i="106"/>
  <c r="D6016" i="106"/>
  <c r="B4395" i="106"/>
  <c r="D4395" i="106"/>
  <c r="B4396" i="106"/>
  <c r="D4396" i="106"/>
  <c r="B5246" i="106"/>
  <c r="D5246" i="106"/>
  <c r="B6409" i="106"/>
  <c r="D6409" i="106"/>
  <c r="B5260" i="106"/>
  <c r="D5260" i="106"/>
  <c r="B5444" i="106"/>
  <c r="D5444" i="106"/>
  <c r="B5677" i="106"/>
  <c r="D5677" i="106"/>
  <c r="B5803" i="106"/>
  <c r="D5803" i="106"/>
  <c r="B4411" i="106"/>
  <c r="D4411" i="106"/>
  <c r="B4412" i="106"/>
  <c r="D4412" i="106"/>
  <c r="B4413" i="106"/>
  <c r="D4413" i="106"/>
  <c r="B4414" i="106"/>
  <c r="D4414" i="106"/>
  <c r="B5286" i="106"/>
  <c r="D5286" i="106"/>
  <c r="B5470" i="106"/>
  <c r="D5470" i="106"/>
  <c r="B5703" i="106"/>
  <c r="D5703" i="106"/>
  <c r="B5829" i="106"/>
  <c r="D5829" i="106"/>
  <c r="B5304" i="106"/>
  <c r="D5304" i="106"/>
  <c r="B5488" i="106"/>
  <c r="D5488" i="106"/>
  <c r="B6837" i="106"/>
  <c r="D6837" i="106"/>
  <c r="B6833" i="106"/>
  <c r="D6833" i="106"/>
  <c r="B6834" i="106"/>
  <c r="D6834" i="106"/>
  <c r="B6836" i="106"/>
  <c r="D6836" i="106"/>
  <c r="B4441" i="106"/>
  <c r="D4441" i="106"/>
  <c r="B7054" i="106"/>
  <c r="D7054" i="106"/>
  <c r="B4442" i="106"/>
  <c r="D4442" i="106"/>
  <c r="B7041" i="106"/>
  <c r="D7041" i="106"/>
  <c r="E4" i="4"/>
  <c r="B2630" i="106"/>
  <c r="D2630" i="106"/>
  <c r="D5" i="4"/>
  <c r="B3406" i="106"/>
  <c r="D3406" i="106"/>
  <c r="G5" i="4"/>
  <c r="B3409" i="106"/>
  <c r="D3409" i="106"/>
  <c r="G14" i="4"/>
  <c r="B2609" i="106"/>
  <c r="D2609" i="106"/>
  <c r="G15" i="4"/>
  <c r="B6032" i="106"/>
  <c r="D6032" i="106"/>
  <c r="F13" i="4"/>
  <c r="B2596" i="106"/>
  <c r="D2596" i="106"/>
  <c r="K13" i="4"/>
  <c r="B3572" i="106"/>
  <c r="D3572" i="106"/>
  <c r="C14" i="4"/>
  <c r="B2558" i="106"/>
  <c r="D2558" i="106"/>
  <c r="D14" i="4"/>
  <c r="B2570" i="106"/>
  <c r="D2570" i="106"/>
  <c r="F14" i="4"/>
  <c r="B2597" i="106"/>
  <c r="D2597" i="106"/>
  <c r="B2633" i="106"/>
  <c r="D2633" i="106"/>
  <c r="N22" i="3"/>
  <c r="B283" i="106"/>
  <c r="D283" i="106"/>
  <c r="D7" i="118"/>
  <c r="D8" i="118"/>
  <c r="D9" i="118"/>
  <c r="H14" i="118"/>
  <c r="H19" i="118"/>
  <c r="H24" i="118"/>
  <c r="H28" i="118"/>
  <c r="H29" i="118"/>
  <c r="K28" i="118"/>
  <c r="O27" i="118"/>
  <c r="O29" i="118"/>
  <c r="H33" i="118"/>
  <c r="D11" i="37"/>
  <c r="D22" i="37"/>
  <c r="H22" i="37"/>
  <c r="J22" i="37"/>
  <c r="L22" i="37"/>
  <c r="D24" i="37"/>
  <c r="B4270" i="106"/>
  <c r="D4270" i="106"/>
  <c r="L5" i="11"/>
  <c r="B2056" i="106"/>
  <c r="D2056" i="106"/>
  <c r="D4" i="7"/>
  <c r="B1760" i="106"/>
  <c r="D1760" i="106"/>
  <c r="D5" i="7"/>
  <c r="B1761" i="106"/>
  <c r="D1761" i="106"/>
  <c r="D13" i="7"/>
  <c r="B3726" i="106"/>
  <c r="D3726" i="106"/>
  <c r="D9" i="7"/>
  <c r="B1767" i="106"/>
  <c r="D1767" i="106"/>
  <c r="B5770" i="106"/>
  <c r="D5770" i="106"/>
  <c r="F136" i="34"/>
  <c r="F131" i="34"/>
  <c r="F130" i="34"/>
  <c r="F128" i="34"/>
  <c r="F127" i="34"/>
  <c r="F111" i="34"/>
  <c r="B5847" i="106"/>
  <c r="D5847" i="106"/>
  <c r="B5752" i="106"/>
  <c r="D5752" i="106"/>
  <c r="B5599" i="106"/>
  <c r="D5599" i="106"/>
  <c r="G4" i="4"/>
  <c r="B2603" i="106"/>
  <c r="D2603" i="106"/>
  <c r="H173" i="5"/>
  <c r="B5906" i="106"/>
  <c r="D5906" i="106"/>
  <c r="C172" i="5"/>
  <c r="B5214" i="106"/>
  <c r="D5214" i="106"/>
  <c r="H109" i="5"/>
  <c r="B6025" i="106"/>
  <c r="D6025" i="106"/>
  <c r="D109" i="5"/>
  <c r="B5356" i="106"/>
  <c r="D5356" i="106"/>
  <c r="F106" i="34"/>
  <c r="D7" i="7"/>
  <c r="B1763" i="106"/>
  <c r="D1763" i="106"/>
  <c r="H4" i="4"/>
  <c r="D4" i="4"/>
  <c r="B2564" i="106"/>
  <c r="D2564" i="106"/>
  <c r="C173" i="5"/>
  <c r="B5223" i="106"/>
  <c r="D5223" i="106"/>
  <c r="H6" i="4"/>
  <c r="B2656" i="106"/>
  <c r="D2656" i="106"/>
  <c r="B2655" i="106"/>
  <c r="D2655" i="106"/>
  <c r="B1746" i="106"/>
  <c r="D1746" i="106"/>
  <c r="D17" i="7"/>
  <c r="B4104" i="106"/>
  <c r="D4104" i="106"/>
  <c r="D12" i="7"/>
  <c r="B1769" i="106"/>
  <c r="D1769" i="106"/>
  <c r="D11" i="7"/>
  <c r="B1768" i="106"/>
  <c r="D1768" i="106"/>
  <c r="D15" i="7"/>
  <c r="B1772" i="106"/>
  <c r="D1772" i="106"/>
  <c r="C41" i="3"/>
  <c r="B93" i="106"/>
  <c r="D93" i="106"/>
  <c r="H295" i="29"/>
  <c r="B1454" i="106"/>
  <c r="D1454" i="106"/>
  <c r="B4156" i="106"/>
  <c r="D4156" i="106"/>
  <c r="H172" i="29"/>
  <c r="H174" i="29"/>
  <c r="B2823" i="106"/>
  <c r="D2823" i="106"/>
  <c r="B3656" i="106"/>
  <c r="D3656" i="106"/>
  <c r="B3724" i="106"/>
  <c r="D3724" i="106"/>
  <c r="E102" i="29"/>
  <c r="B2790" i="106"/>
  <c r="D2790" i="106"/>
  <c r="J342" i="29"/>
  <c r="B7223" i="106"/>
  <c r="D7223" i="106"/>
  <c r="G342" i="29"/>
  <c r="B7220" i="106"/>
  <c r="D7220" i="106"/>
  <c r="K137" i="29"/>
  <c r="K84" i="29"/>
  <c r="B79" i="36"/>
  <c r="B77" i="36"/>
  <c r="F173" i="5"/>
  <c r="D18" i="7"/>
  <c r="B4105" i="106"/>
  <c r="D4105" i="106"/>
  <c r="C6" i="4"/>
  <c r="B2553" i="106"/>
  <c r="D2553" i="106"/>
  <c r="B3718" i="106"/>
  <c r="D3718" i="106"/>
  <c r="F105" i="34"/>
  <c r="F107" i="34"/>
  <c r="F109" i="5"/>
  <c r="J109" i="5"/>
  <c r="J173" i="5"/>
  <c r="C4" i="4"/>
  <c r="B2551" i="106"/>
  <c r="D2551" i="106"/>
  <c r="I6" i="4"/>
  <c r="B5011" i="106"/>
  <c r="D5011" i="106"/>
  <c r="B6014" i="106"/>
  <c r="D6014" i="106"/>
  <c r="F95" i="34"/>
  <c r="F129" i="34"/>
  <c r="D14" i="7"/>
  <c r="B1770" i="106"/>
  <c r="D1770" i="106"/>
  <c r="N23" i="3"/>
  <c r="B284" i="106"/>
  <c r="D284" i="106"/>
  <c r="F5" i="4"/>
  <c r="B3408" i="106"/>
  <c r="D3408" i="106"/>
  <c r="C5" i="4"/>
  <c r="B3405" i="106"/>
  <c r="D3405" i="106"/>
  <c r="B6840" i="106"/>
  <c r="D6840" i="106"/>
  <c r="B6839" i="106"/>
  <c r="D6839" i="106"/>
  <c r="B6838" i="106"/>
  <c r="D6838" i="106"/>
  <c r="D172" i="5"/>
  <c r="B5412" i="106"/>
  <c r="D5412" i="106"/>
  <c r="B5618" i="106"/>
  <c r="D5618" i="106"/>
  <c r="K109" i="5"/>
  <c r="F16" i="11"/>
  <c r="F48" i="34"/>
  <c r="F40" i="34"/>
  <c r="B7200" i="106"/>
  <c r="D7200" i="106"/>
  <c r="D342" i="29"/>
  <c r="B7217" i="106"/>
  <c r="D7217" i="106"/>
  <c r="B7144" i="106"/>
  <c r="D7144" i="106"/>
  <c r="B6901" i="106"/>
  <c r="D6901" i="106"/>
  <c r="F51" i="34"/>
  <c r="B6885" i="106"/>
  <c r="D6885" i="106"/>
  <c r="F43" i="34"/>
  <c r="B7211" i="106"/>
  <c r="D7211" i="106"/>
  <c r="B6893" i="106"/>
  <c r="D6893" i="106"/>
  <c r="F47" i="34"/>
  <c r="B6877" i="106"/>
  <c r="D6877" i="106"/>
  <c r="F39" i="34"/>
  <c r="B6216" i="106"/>
  <c r="D6216" i="106"/>
  <c r="D51" i="36"/>
  <c r="B3703" i="106"/>
  <c r="D3703" i="106"/>
  <c r="K362" i="29"/>
  <c r="B3676" i="106"/>
  <c r="D3676" i="106"/>
  <c r="B3660" i="106"/>
  <c r="D3660" i="106"/>
  <c r="B3650" i="106"/>
  <c r="D3650" i="106"/>
  <c r="I76" i="4"/>
  <c r="L41" i="3"/>
  <c r="I41" i="3"/>
  <c r="K16" i="11"/>
  <c r="B2055" i="106"/>
  <c r="D2055" i="106"/>
  <c r="H312" i="29"/>
  <c r="B1554" i="106"/>
  <c r="D1554" i="106"/>
  <c r="E312" i="29"/>
  <c r="B1536" i="106"/>
  <c r="D1536" i="106"/>
  <c r="D312" i="29"/>
  <c r="B1530" i="106"/>
  <c r="D1530" i="106"/>
  <c r="B1512" i="106"/>
  <c r="D1512" i="106"/>
  <c r="B1352" i="106"/>
  <c r="D1352" i="106"/>
  <c r="E210" i="29"/>
  <c r="B1353" i="106"/>
  <c r="D1353" i="106"/>
  <c r="B1264" i="106"/>
  <c r="D1264" i="106"/>
  <c r="H129" i="29"/>
  <c r="B1239" i="106"/>
  <c r="D1239" i="106"/>
  <c r="E129" i="29"/>
  <c r="B1146" i="106"/>
  <c r="D1146" i="106"/>
  <c r="K110" i="29"/>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5653" i="106"/>
  <c r="D5653" i="106"/>
  <c r="F6" i="4"/>
  <c r="B2593" i="106"/>
  <c r="D2593" i="106"/>
  <c r="B4435" i="106"/>
  <c r="D4435" i="106"/>
  <c r="B4444" i="106"/>
  <c r="D4444" i="106"/>
  <c r="B5713" i="106"/>
  <c r="D5713" i="106"/>
  <c r="B4397" i="106"/>
  <c r="D4397" i="106"/>
  <c r="B4950" i="106"/>
  <c r="D4950" i="106"/>
  <c r="L210" i="29"/>
  <c r="L102" i="29"/>
  <c r="B1121" i="106"/>
  <c r="D1121" i="106"/>
  <c r="E12" i="145"/>
  <c r="B731" i="106"/>
  <c r="D731" i="106"/>
  <c r="C74" i="29"/>
  <c r="B755" i="106"/>
  <c r="D755" i="106"/>
  <c r="B1116" i="106"/>
  <c r="D1116" i="106"/>
  <c r="F161" i="34"/>
  <c r="F41" i="108"/>
  <c r="G43" i="108"/>
  <c r="D41" i="108"/>
  <c r="E43" i="108"/>
  <c r="B7600" i="106"/>
  <c r="L6" i="11"/>
  <c r="B7605" i="106"/>
  <c r="A7250" i="106"/>
  <c r="A7251" i="106"/>
  <c r="A7252" i="106"/>
  <c r="A7253" i="106"/>
  <c r="A7254" i="106"/>
  <c r="A7255" i="106"/>
  <c r="A7256" i="106"/>
  <c r="A7257" i="106"/>
  <c r="D7249" i="106"/>
  <c r="G6" i="4"/>
  <c r="B2604" i="106"/>
  <c r="D2604" i="106"/>
  <c r="B6022" i="106"/>
  <c r="D6022" i="106"/>
  <c r="D44" i="36"/>
  <c r="B6835" i="106"/>
  <c r="D6835" i="106"/>
  <c r="B4398" i="106"/>
  <c r="D4398" i="106"/>
  <c r="B5537" i="106"/>
  <c r="D5537" i="106"/>
  <c r="E173" i="5"/>
  <c r="I109" i="5"/>
  <c r="B5527" i="106"/>
  <c r="D5527" i="106"/>
  <c r="L279" i="29"/>
  <c r="L295" i="29"/>
  <c r="L74" i="29"/>
  <c r="L114" i="29"/>
  <c r="B720" i="106"/>
  <c r="D720" i="106"/>
  <c r="C114" i="29"/>
  <c r="B757" i="106"/>
  <c r="D757" i="106"/>
  <c r="B2031" i="106"/>
  <c r="D2031" i="106"/>
  <c r="L16" i="11"/>
  <c r="B2061" i="106"/>
  <c r="D2061" i="106"/>
  <c r="B7618" i="106"/>
  <c r="L14" i="11"/>
  <c r="B7623" i="106"/>
  <c r="D7252" i="106"/>
  <c r="D7250" i="106"/>
  <c r="B7230" i="106"/>
  <c r="D7230" i="106"/>
  <c r="B7215" i="106"/>
  <c r="D7215" i="106"/>
  <c r="J16" i="4"/>
  <c r="B6226" i="106"/>
  <c r="D6226" i="106"/>
  <c r="B7202" i="106"/>
  <c r="D7202" i="106"/>
  <c r="F342" i="29"/>
  <c r="B7219" i="106"/>
  <c r="D7219" i="106"/>
  <c r="B7503" i="106"/>
  <c r="B7531" i="106"/>
  <c r="D7253" i="106"/>
  <c r="D7251" i="106"/>
  <c r="B7214" i="106"/>
  <c r="D7214" i="106"/>
  <c r="B7221" i="106"/>
  <c r="D7221" i="106"/>
  <c r="B7201" i="106"/>
  <c r="D7201" i="106"/>
  <c r="E342" i="29"/>
  <c r="B7218" i="106"/>
  <c r="D7218" i="106"/>
  <c r="B6917" i="106"/>
  <c r="D6917" i="106"/>
  <c r="J74" i="29"/>
  <c r="B5501" i="106"/>
  <c r="D5501" i="106"/>
  <c r="D7256" i="106"/>
  <c r="D7255" i="106"/>
  <c r="D7254" i="106"/>
  <c r="D7248" i="106"/>
  <c r="D7247" i="106"/>
  <c r="D7246" i="106"/>
  <c r="J312" i="29"/>
  <c r="B7117" i="106"/>
  <c r="D7117" i="106"/>
  <c r="I312" i="29"/>
  <c r="B7116" i="106"/>
  <c r="D7116" i="106"/>
  <c r="J151" i="29"/>
  <c r="B7052" i="106"/>
  <c r="D7052" i="106"/>
  <c r="B6916" i="106"/>
  <c r="D6916" i="106"/>
  <c r="I74" i="29"/>
  <c r="I49" i="8"/>
  <c r="B3672" i="106"/>
  <c r="D3672" i="106"/>
  <c r="B3633" i="106"/>
  <c r="D3633" i="106"/>
  <c r="B3628" i="106"/>
  <c r="D3628" i="106"/>
  <c r="B3629" i="106"/>
  <c r="D3629" i="106"/>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B1508" i="106"/>
  <c r="D1508" i="106"/>
  <c r="B1491" i="106"/>
  <c r="D1491" i="106"/>
  <c r="B1485" i="106"/>
  <c r="D1485" i="106"/>
  <c r="B1475" i="106"/>
  <c r="D1475" i="106"/>
  <c r="B2842" i="106"/>
  <c r="D2842" i="106"/>
  <c r="B1381" i="106"/>
  <c r="D1381" i="106"/>
  <c r="B1317" i="106"/>
  <c r="D1317" i="106"/>
  <c r="B1318" i="106"/>
  <c r="D1318" i="106"/>
  <c r="B1127" i="106"/>
  <c r="D1127" i="106"/>
  <c r="K65" i="29"/>
  <c r="B1133" i="106"/>
  <c r="D1133" i="106"/>
  <c r="B1123" i="106"/>
  <c r="D1123" i="106"/>
  <c r="K365" i="29"/>
  <c r="K367" i="29"/>
  <c r="B3640" i="106"/>
  <c r="D3640" i="106"/>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B1500" i="106"/>
  <c r="D1500" i="106"/>
  <c r="B1488" i="106"/>
  <c r="D1488" i="106"/>
  <c r="B1417" i="106"/>
  <c r="D1417" i="106"/>
  <c r="H196" i="29"/>
  <c r="B2828" i="106"/>
  <c r="D2828" i="106"/>
  <c r="B1328" i="106"/>
  <c r="D1328" i="106"/>
  <c r="B2986" i="106"/>
  <c r="D2986" i="106"/>
  <c r="B1256" i="106"/>
  <c r="D1256" i="106"/>
  <c r="K100" i="29"/>
  <c r="B7013" i="106"/>
  <c r="D7013" i="106"/>
  <c r="B2088" i="106"/>
  <c r="D2088" i="106"/>
  <c r="B1135" i="106"/>
  <c r="D1135" i="106"/>
  <c r="K72" i="29"/>
  <c r="B1141" i="106"/>
  <c r="D1141" i="106"/>
  <c r="B1021" i="106"/>
  <c r="D1021" i="106"/>
  <c r="H74" i="29"/>
  <c r="B847" i="106"/>
  <c r="D847" i="106"/>
  <c r="E74" i="29"/>
  <c r="B1144" i="106"/>
  <c r="D1144" i="106"/>
  <c r="B1358" i="106"/>
  <c r="D1358" i="106"/>
  <c r="F210" i="29"/>
  <c r="B1359" i="106"/>
  <c r="D1359" i="106"/>
  <c r="B1345" i="106"/>
  <c r="D1345" i="106"/>
  <c r="D210" i="29"/>
  <c r="B1346" i="106"/>
  <c r="D1346" i="106"/>
  <c r="B1283" i="106"/>
  <c r="D1283" i="106"/>
  <c r="K147" i="29"/>
  <c r="B1275" i="106"/>
  <c r="D1275" i="106"/>
  <c r="K127" i="29"/>
  <c r="B1279" i="106"/>
  <c r="D1279" i="106"/>
  <c r="B1266" i="106"/>
  <c r="D1266" i="106"/>
  <c r="H151" i="29"/>
  <c r="B1273" i="106"/>
  <c r="D1273" i="106"/>
  <c r="B1247" i="106"/>
  <c r="D1247" i="106"/>
  <c r="F129" i="29"/>
  <c r="B1231" i="106"/>
  <c r="D1231" i="106"/>
  <c r="D129" i="29"/>
  <c r="B1109" i="106"/>
  <c r="D1109" i="106"/>
  <c r="H102" i="29"/>
  <c r="B1047" i="106"/>
  <c r="D1047" i="106"/>
  <c r="G74" i="29"/>
  <c r="B905" i="106"/>
  <c r="D905" i="106"/>
  <c r="F74" i="29"/>
  <c r="D74" i="29"/>
  <c r="B211" i="106"/>
  <c r="D211" i="106"/>
  <c r="H41" i="3"/>
  <c r="B188" i="106"/>
  <c r="D188" i="106"/>
  <c r="G41" i="3"/>
  <c r="B139" i="106"/>
  <c r="D139" i="106"/>
  <c r="E41" i="3"/>
  <c r="J19" i="145"/>
  <c r="L151" i="29"/>
  <c r="J24" i="12"/>
  <c r="B7730" i="106"/>
  <c r="D7730" i="106"/>
  <c r="H275" i="5"/>
  <c r="B5914" i="106"/>
  <c r="D5914" i="106"/>
  <c r="F275" i="5"/>
  <c r="B2657" i="106"/>
  <c r="D2657" i="106"/>
  <c r="H8" i="4"/>
  <c r="B3447" i="106"/>
  <c r="D3447" i="106"/>
  <c r="D19" i="7"/>
  <c r="B1775" i="106"/>
  <c r="D1775" i="106"/>
  <c r="B7270" i="106"/>
  <c r="B7760" i="106"/>
  <c r="D7760" i="106"/>
  <c r="D24" i="36"/>
  <c r="F178" i="34"/>
  <c r="K102" i="29"/>
  <c r="F53"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3"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B929" i="106"/>
  <c r="D929" i="106"/>
  <c r="F114" i="29"/>
  <c r="B931" i="106"/>
  <c r="D931" i="106"/>
  <c r="B987" i="106"/>
  <c r="D987" i="106"/>
  <c r="G114" i="29"/>
  <c r="B1115" i="106"/>
  <c r="D1115" i="106"/>
  <c r="K74" i="29"/>
  <c r="D151" i="29"/>
  <c r="B1234" i="106"/>
  <c r="D1234" i="106"/>
  <c r="B1233" i="106"/>
  <c r="D1233" i="106"/>
  <c r="F151" i="29"/>
  <c r="B1250" i="106"/>
  <c r="D1250" i="106"/>
  <c r="B1249" i="106"/>
  <c r="D1249" i="106"/>
  <c r="K149" i="29"/>
  <c r="B7048" i="106"/>
  <c r="D7048" i="106"/>
  <c r="B2837" i="106"/>
  <c r="D2837" i="106"/>
  <c r="B1145" i="106"/>
  <c r="D1145" i="106"/>
  <c r="B1258" i="106"/>
  <c r="D1258" i="106"/>
  <c r="B1331" i="106"/>
  <c r="D1331" i="106"/>
  <c r="E16" i="4"/>
  <c r="B1446" i="106"/>
  <c r="D1446" i="106"/>
  <c r="B1448" i="106"/>
  <c r="D1448" i="106"/>
  <c r="B1125" i="106"/>
  <c r="D1125" i="106"/>
  <c r="K129" i="29"/>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I114" i="29"/>
  <c r="B7051" i="106"/>
  <c r="D7051" i="106"/>
  <c r="B6026" i="106"/>
  <c r="D6026" i="106"/>
  <c r="I4" i="4"/>
  <c r="I275" i="5"/>
  <c r="B5946" i="106"/>
  <c r="D5946" i="106"/>
  <c r="B5863" i="106"/>
  <c r="D5863" i="106"/>
  <c r="B7747" i="106"/>
  <c r="D7747" i="106"/>
  <c r="J17" i="4"/>
  <c r="A7258" i="106"/>
  <c r="D7257" i="106"/>
  <c r="B1122" i="106"/>
  <c r="D1122" i="106"/>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B1481" i="106"/>
  <c r="D1481" i="106"/>
  <c r="B2102" i="106"/>
  <c r="D2102" i="106"/>
  <c r="H15" i="4"/>
  <c r="B2660" i="106"/>
  <c r="D2660" i="106"/>
  <c r="B3636" i="106"/>
  <c r="D3636" i="106"/>
  <c r="B3635" i="106"/>
  <c r="D3635" i="106"/>
  <c r="B4171" i="106"/>
  <c r="D4171" i="106"/>
  <c r="N36" i="3"/>
  <c r="J114" i="29"/>
  <c r="B7021" i="106"/>
  <c r="D7021" i="106"/>
  <c r="B6978" i="106"/>
  <c r="D6978" i="106"/>
  <c r="B7224" i="106"/>
  <c r="D7224" i="106"/>
  <c r="B7244" i="106"/>
  <c r="D7244" i="106"/>
  <c r="B7234" i="106"/>
  <c r="D7234" i="106"/>
  <c r="B1108" i="106"/>
  <c r="D1108" i="106"/>
  <c r="C12" i="4"/>
  <c r="B5544" i="106"/>
  <c r="D5544" i="106"/>
  <c r="E6" i="4"/>
  <c r="B5719" i="106"/>
  <c r="D5719" i="106"/>
  <c r="B2594" i="106"/>
  <c r="D2594" i="106"/>
  <c r="B1119" i="106"/>
  <c r="D1119" i="106"/>
  <c r="G12" i="145"/>
  <c r="G19" i="145"/>
  <c r="J20" i="145"/>
  <c r="E19" i="145"/>
  <c r="F8" i="4"/>
  <c r="B5915" i="106"/>
  <c r="D5915" i="106"/>
  <c r="B5720" i="106"/>
  <c r="D5720" i="106"/>
  <c r="B6222" i="106"/>
  <c r="D6222" i="106"/>
  <c r="J8" i="4"/>
  <c r="B2658" i="106"/>
  <c r="D2658" i="106"/>
  <c r="H10" i="4"/>
  <c r="B4127" i="106"/>
  <c r="D4127" i="106"/>
  <c r="D275" i="5"/>
  <c r="B5507" i="106"/>
  <c r="D5507" i="106"/>
  <c r="B7298" i="106"/>
  <c r="B7299" i="106"/>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B4443" i="106"/>
  <c r="D4443" i="106"/>
  <c r="E275" i="5"/>
  <c r="K151" i="29"/>
  <c r="B1281" i="106"/>
  <c r="D1281" i="106"/>
  <c r="D13" i="4"/>
  <c r="B2634" i="106"/>
  <c r="D2634" i="106"/>
  <c r="E17" i="4"/>
  <c r="B1332" i="106"/>
  <c r="D1332" i="106"/>
  <c r="B1259" i="106"/>
  <c r="D1259" i="106"/>
  <c r="B989" i="106"/>
  <c r="D989" i="106"/>
  <c r="F54" i="34"/>
  <c r="C275" i="5"/>
  <c r="B5326" i="106"/>
  <c r="D5326" i="106"/>
  <c r="D19" i="171"/>
  <c r="D32" i="171"/>
  <c r="D49" i="171"/>
  <c r="D8" i="146"/>
  <c r="F10" i="4"/>
  <c r="B4125" i="106"/>
  <c r="D4125" i="106"/>
  <c r="B2595" i="106"/>
  <c r="D2595" i="106"/>
  <c r="G44" i="108"/>
  <c r="G45" i="108"/>
  <c r="E44" i="108"/>
  <c r="E45" i="108"/>
  <c r="H37" i="37"/>
  <c r="B285" i="106"/>
  <c r="D285" i="106"/>
  <c r="N37" i="3"/>
  <c r="B3678" i="106"/>
  <c r="D3678" i="106"/>
  <c r="K368" i="29"/>
  <c r="B3681" i="106"/>
  <c r="D3681" i="106"/>
  <c r="B1510" i="106"/>
  <c r="D1510" i="106"/>
  <c r="G13" i="4"/>
  <c r="K17" i="4"/>
  <c r="B3574" i="106"/>
  <c r="D3574" i="106"/>
  <c r="B1282" i="106"/>
  <c r="D1282" i="106"/>
  <c r="D15" i="4"/>
  <c r="B2571" i="106"/>
  <c r="D2571" i="106"/>
  <c r="J19" i="4"/>
  <c r="B6229" i="106"/>
  <c r="D6229" i="106"/>
  <c r="B6227" i="106"/>
  <c r="D6227" i="106"/>
  <c r="B5869" i="106"/>
  <c r="D5869" i="106"/>
  <c r="G275" i="5"/>
  <c r="B3225" i="106"/>
  <c r="D3225" i="106"/>
  <c r="I8" i="4"/>
  <c r="B7020" i="106"/>
  <c r="D7020" i="106"/>
  <c r="F55" i="34"/>
  <c r="F63" i="34"/>
  <c r="F76" i="34"/>
  <c r="F17" i="11"/>
  <c r="B2659" i="106"/>
  <c r="D2659" i="106"/>
  <c r="H17" i="4"/>
  <c r="B1387" i="106"/>
  <c r="D1387" i="106"/>
  <c r="F16" i="4"/>
  <c r="B2599" i="106"/>
  <c r="D2599" i="106"/>
  <c r="B1382" i="106"/>
  <c r="D1382" i="106"/>
  <c r="F15" i="4"/>
  <c r="B1287" i="106"/>
  <c r="D1287" i="106"/>
  <c r="D16" i="4"/>
  <c r="B2572" i="106"/>
  <c r="D2572" i="106"/>
  <c r="B1143" i="106"/>
  <c r="D1143" i="106"/>
  <c r="C13" i="4"/>
  <c r="B2557" i="106"/>
  <c r="D2557" i="106"/>
  <c r="J20" i="4"/>
  <c r="J10" i="4"/>
  <c r="B6225" i="106"/>
  <c r="D6225" i="106"/>
  <c r="B6223" i="106"/>
  <c r="D6223" i="106"/>
  <c r="B5508" i="106"/>
  <c r="D5508" i="106"/>
  <c r="D8" i="4"/>
  <c r="B2567" i="106"/>
  <c r="D2567" i="106"/>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D20"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H13" i="118"/>
  <c r="B5327" i="106"/>
  <c r="D5327" i="106"/>
  <c r="K115" i="29"/>
  <c r="B1153" i="106"/>
  <c r="D1153" i="106"/>
  <c r="B5552" i="106"/>
  <c r="D5552" i="106"/>
  <c r="K175" i="29"/>
  <c r="B1333" i="106"/>
  <c r="D1333" i="106"/>
  <c r="A7260" i="106"/>
  <c r="D7259" i="106"/>
  <c r="E8" i="4"/>
  <c r="B6230" i="106"/>
  <c r="D6230" i="106"/>
  <c r="J78" i="4"/>
  <c r="C8" i="146"/>
  <c r="D10" i="4"/>
  <c r="B4123" i="106"/>
  <c r="D4123" i="106"/>
  <c r="B2568" i="106"/>
  <c r="D2568" i="106"/>
  <c r="F14" i="34"/>
  <c r="F77" i="34"/>
  <c r="F179" i="34"/>
  <c r="H18" i="118"/>
  <c r="C10" i="4"/>
  <c r="B4122" i="106"/>
  <c r="D4122" i="106"/>
  <c r="B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D78" i="4"/>
  <c r="B2574" i="106"/>
  <c r="D2574" i="106"/>
  <c r="F8" i="146"/>
  <c r="B3588" i="106"/>
  <c r="D3588" i="106"/>
  <c r="K81" i="4"/>
  <c r="F78" i="4"/>
  <c r="B2601" i="106"/>
  <c r="D2601" i="106"/>
  <c r="B3320" i="106"/>
  <c r="D3320" i="106"/>
  <c r="I81" i="4"/>
  <c r="K17" i="118"/>
  <c r="B3300" i="106"/>
  <c r="D3300" i="106"/>
  <c r="H81" i="4"/>
  <c r="B7631" i="106"/>
  <c r="F180" i="34"/>
  <c r="F181" i="34"/>
  <c r="F183"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B3278" i="106"/>
  <c r="D3278" i="106"/>
  <c r="E81" i="4"/>
  <c r="B3233" i="106"/>
  <c r="D3233" i="106"/>
  <c r="C81" i="4"/>
  <c r="A7263" i="106"/>
  <c r="D7262" i="106"/>
  <c r="B1700" i="106"/>
  <c r="D1700" i="106"/>
  <c r="H82" i="4"/>
  <c r="D62" i="36"/>
  <c r="J20" i="118"/>
  <c r="O16" i="118"/>
  <c r="K20" i="118"/>
  <c r="F81" i="4"/>
  <c r="J16" i="37"/>
  <c r="B4269" i="106"/>
  <c r="D4269" i="106"/>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H12" i="118"/>
  <c r="K12" i="118"/>
  <c r="O11" i="118"/>
  <c r="O13" i="118"/>
  <c r="O17" i="118"/>
  <c r="O20"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35" i="118"/>
  <c r="O37"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D29" i="3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<sst xmlns="http://schemas.openxmlformats.org/spreadsheetml/2006/main" count="5025" uniqueCount="2103">
  <si>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</si>
  <si>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</si>
  <si>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</si>
  <si>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</si>
  <si>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</si>
  <si>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</si>
  <si>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</si>
  <si>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</si>
  <si>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</si>
  <si>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</si>
  <si>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</si>
  <si>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</si>
  <si>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</si>
  <si>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</si>
  <si>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</si>
  <si>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</si>
  <si>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</si>
  <si>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</si>
  <si>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</si>
  <si>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</si>
  <si>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</si>
  <si>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</si>
  <si>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</si>
  <si>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</si>
  <si>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</si>
  <si>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</si>
  <si>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</si>
  <si>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</si>
  <si>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</si>
  <si>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</si>
  <si>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</si>
  <si>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</si>
  <si>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</si>
  <si>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</si>
  <si>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</si>
  <si>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</si>
  <si>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</si>
  <si>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</si>
  <si>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</si>
  <si>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</si>
  <si>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</si>
  <si>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</si>
  <si>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</si>
  <si>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</si>
  <si>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</si>
  <si>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</si>
  <si>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</si>
  <si>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</si>
  <si>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</si>
  <si>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</si>
  <si>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</si>
  <si>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</si>
  <si>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</si>
  <si>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</si>
  <si>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</si>
  <si>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</si>
  <si>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</si>
  <si>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</si>
  <si>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</si>
  <si>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</si>
  <si>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</si>
  <si>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</si>
  <si>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</si>
  <si>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</si>
  <si>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</si>
  <si>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</si>
  <si>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</si>
  <si>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</si>
  <si>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</si>
  <si>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</si>
  <si>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</si>
  <si>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</si>
  <si>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</si>
  <si>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</si>
  <si>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</si>
  <si>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</si>
  <si>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</si>
  <si>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</si>
  <si>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</si>
  <si>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</si>
  <si>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</si>
  <si>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</si>
  <si>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</si>
  <si>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</si>
  <si>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</si>
  <si>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</si>
  <si>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</si>
  <si>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</si>
  <si>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</si>
  <si>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</si>
  <si>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</si>
  <si>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</si>
  <si>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</si>
  <si>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</si>
  <si>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</si>
  <si>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</si>
  <si>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</si>
  <si>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</si>
  <si>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</si>
  <si>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</si>
  <si>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</si>
  <si>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</si>
  <si>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</si>
  <si>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</si>
  <si>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</si>
  <si>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</si>
  <si>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</si>
  <si>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</si>
  <si>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</si>
  <si>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</si>
  <si>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</si>
  <si>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</si>
  <si>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</si>
  <si>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</si>
  <si>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</si>
  <si>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</si>
  <si>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</si>
  <si>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</si>
  <si>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</si>
  <si>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</si>
  <si>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</si>
  <si>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</si>
  <si>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</si>
  <si>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</si>
  <si>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</si>
  <si>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</si>
  <si>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</si>
  <si>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</si>
  <si>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</si>
  <si>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</si>
  <si>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</si>
  <si>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</si>
  <si>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</si>
  <si>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</si>
  <si>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</si>
  <si>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</si>
  <si>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</si>
  <si>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</si>
  <si>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</si>
  <si>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</si>
  <si>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</si>
  <si>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</si>
  <si>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</si>
  <si>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</si>
  <si>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</si>
  <si>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</si>
  <si>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</si>
  <si>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</si>
  <si>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</si>
  <si>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</si>
  <si>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</si>
  <si>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</si>
  <si>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</si>
  <si>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</si>
  <si>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</si>
  <si>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</si>
  <si>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</si>
  <si>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</si>
  <si>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</si>
  <si>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</si>
  <si>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</si>
  <si>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</si>
  <si>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</si>
  <si>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</si>
  <si>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</si>
  <si>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</si>
  <si>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</si>
  <si>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</si>
  <si>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</si>
  <si>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</si>
  <si>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</si>
  <si>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</si>
  <si>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</si>
  <si>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</si>
  <si>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</si>
  <si>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</si>
  <si>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</si>
  <si>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</si>
  <si>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</si>
  <si>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</si>
  <si>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</si>
  <si>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</si>
  <si>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</si>
  <si>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</si>
  <si>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</si>
  <si>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</si>
  <si>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</si>
  <si>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</si>
  <si>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</si>
  <si>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</si>
  <si>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</si>
  <si>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</si>
  <si>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</si>
  <si>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</si>
  <si>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</si>
  <si>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</si>
  <si>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</si>
  <si>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</si>
  <si>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</si>
  <si>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</si>
  <si>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</si>
  <si>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</si>
  <si>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</si>
  <si>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</si>
  <si>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</si>
  <si>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</si>
  <si>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</si>
  <si>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</si>
  <si>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</si>
  <si>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</si>
  <si>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</si>
  <si>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</si>
  <si>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</si>
  <si>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</si>
  <si>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</si>
  <si>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</si>
  <si>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</si>
  <si>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</si>
  <si>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</si>
  <si>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</si>
  <si>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</si>
  <si>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</si>
  <si>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</si>
  <si>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</si>
  <si>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</si>
  <si>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</si>
  <si>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</si>
  <si>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</si>
  <si>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</si>
  <si>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</si>
  <si>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</si>
  <si>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</si>
  <si>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</si>
  <si>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</si>
  <si>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</si>
  <si>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</si>
  <si>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</si>
  <si>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</si>
  <si>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</si>
  <si>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</si>
  <si>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</si>
  <si>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</si>
  <si>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</si>
  <si>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</si>
  <si>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</si>
  <si>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</si>
  <si>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</si>
  <si>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</si>
  <si>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</si>
  <si>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</si>
  <si>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</si>
  <si>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</si>
  <si>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</si>
  <si>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</si>
  <si>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</si>
  <si>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</si>
  <si>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</si>
  <si>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</si>
  <si>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</si>
  <si>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</si>
  <si>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</si>
  <si>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</si>
  <si>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</si>
  <si>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</si>
  <si>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</si>
  <si>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</si>
  <si>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</si>
  <si>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</si>
  <si>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</si>
  <si>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</si>
  <si>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</si>
  <si>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</si>
  <si>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</si>
  <si>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</si>
  <si>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</si>
  <si>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</si>
  <si>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</si>
  <si>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</si>
  <si>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</si>
  <si>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</si>
  <si>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</si>
  <si>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</si>
  <si>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</si>
  <si>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</si>
  <si>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</si>
  <si>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</si>
  <si>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</si>
  <si>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</si>
  <si>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</si>
  <si>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</si>
  <si>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</si>
  <si>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</si>
  <si>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</si>
  <si>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</si>
  <si>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</si>
  <si>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</si>
  <si>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</si>
  <si>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</si>
  <si>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</si>
  <si>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</si>
  <si>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</si>
  <si>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</si>
  <si>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</si>
  <si>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</si>
  <si>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</si>
  <si>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</si>
  <si>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</si>
  <si>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</si>
  <si>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</si>
  <si>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</si>
  <si>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</si>
  <si>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</si>
  <si>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</si>
  <si>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</si>
  <si>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</si>
  <si>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</si>
  <si>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</si>
  <si>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</si>
  <si>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</si>
  <si>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</si>
  <si>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</si>
  <si>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</si>
  <si>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</si>
  <si>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</si>
  <si>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</si>
  <si>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</si>
  <si>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</si>
  <si>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</si>
  <si>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</si>
  <si>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</si>
  <si>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</si>
  <si>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</si>
  <si>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</si>
  <si>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</si>
  <si>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</si>
  <si>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</si>
  <si>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</si>
  <si>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</si>
  <si>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</si>
  <si>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</si>
  <si>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</si>
  <si>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</si>
  <si>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</si>
  <si>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</si>
  <si>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</si>
  <si>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</si>
  <si>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</si>
  <si>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</si>
  <si>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</si>
  <si>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</si>
  <si>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</si>
  <si>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</si>
  <si>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</si>
  <si>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</si>
  <si>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</si>
  <si>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</si>
  <si>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</si>
  <si>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</si>
  <si>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</si>
  <si>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</si>
  <si>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</si>
  <si>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</si>
  <si>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</si>
  <si>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</si>
  <si>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</si>
  <si>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</si>
  <si>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</si>
  <si>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</si>
  <si>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</si>
  <si>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</si>
  <si>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</si>
  <si>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</si>
  <si>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</si>
  <si>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</si>
  <si>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</si>
  <si>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</si>
  <si>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</si>
  <si>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</si>
  <si>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</si>
  <si>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</si>
  <si>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</si>
  <si>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</si>
  <si>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</si>
  <si>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</si>
  <si>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</si>
  <si>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</si>
  <si>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</si>
  <si>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</si>
  <si>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</si>
  <si>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</si>
  <si>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</si>
  <si>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</si>
  <si>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</si>
  <si>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</si>
  <si>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</si>
  <si>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</si>
  <si>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</si>
  <si>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</si>
  <si>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</si>
  <si>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</si>
  <si>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</si>
  <si>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</si>
  <si>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</si>
  <si>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</si>
  <si>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</si>
  <si>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</si>
  <si>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</si>
  <si>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</si>
  <si>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</si>
  <si>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</si>
  <si>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</si>
  <si>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</si>
  <si>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</si>
  <si>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</si>
  <si>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</si>
  <si>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</si>
  <si>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</si>
  <si>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</si>
  <si>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</si>
  <si>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</si>
  <si>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</si>
  <si>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</si>
  <si>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</si>
  <si>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</si>
  <si>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</si>
  <si>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</si>
  <si>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</si>
  <si>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</si>
  <si>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</si>
  <si>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</si>
  <si>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</si>
  <si>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</si>
  <si>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</si>
  <si>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</si>
  <si>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</si>
  <si>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</si>
  <si>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</si>
  <si>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</si>
  <si>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</si>
  <si>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</si>
  <si>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</si>
  <si>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</si>
  <si>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</si>
  <si>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</si>
  <si>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</si>
  <si>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</si>
  <si>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</si>
  <si>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</si>
  <si>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</si>
  <si>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</si>
  <si>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</si>
  <si>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</si>
  <si>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</si>
  <si>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</si>
  <si>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</si>
  <si>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</si>
  <si>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</si>
  <si>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</si>
  <si>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</si>
  <si>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</si>
  <si>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</si>
  <si>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</si>
  <si>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</si>
  <si>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</si>
  <si>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</si>
  <si>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</si>
  <si>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</si>
  <si>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</si>
  <si>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</si>
  <si>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</si>
  <si>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</si>
  <si>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</si>
  <si>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</si>
  <si>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</si>
  <si>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</si>
  <si>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</si>
  <si>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</si>
  <si>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</si>
  <si>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</si>
  <si>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</si>
  <si>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</si>
  <si>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</si>
  <si>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</si>
  <si>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</si>
  <si>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</si>
  <si>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</si>
  <si>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</si>
  <si>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</si>
  <si>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</si>
  <si>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</si>
  <si>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</si>
  <si>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</si>
  <si>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</si>
  <si>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</si>
  <si>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</si>
  <si>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</si>
  <si>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</si>
  <si>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</si>
  <si>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</si>
  <si>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</si>
  <si>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</si>
  <si>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</si>
  <si>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</si>
  <si>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</si>
  <si>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</si>
  <si>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</si>
  <si>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</si>
  <si>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</si>
  <si>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</si>
  <si>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</si>
  <si>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</si>
  <si>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</si>
  <si>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</si>
  <si>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</si>
  <si>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</si>
  <si>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</si>
  <si>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</si>
  <si>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</si>
  <si>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</si>
  <si>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</si>
  <si>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</si>
  <si>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</si>
  <si>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</si>
  <si>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</si>
  <si>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</si>
  <si>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</si>
  <si>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</si>
  <si>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</si>
  <si>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</si>
  <si>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</si>
  <si>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</si>
  <si>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</si>
  <si>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</si>
  <si>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</si>
  <si>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</si>
  <si>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</si>
  <si>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</si>
  <si>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</si>
  <si>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</si>
  <si>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</si>
  <si>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</si>
  <si>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</si>
  <si>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</si>
  <si>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</si>
  <si>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</si>
  <si>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</si>
  <si>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</si>
  <si>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</si>
  <si>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</si>
  <si>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</si>
  <si>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</si>
  <si>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</si>
  <si>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</si>
  <si>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</si>
  <si>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</si>
  <si>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</si>
  <si>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</si>
  <si>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</si>
  <si>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</si>
  <si>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</si>
  <si>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</si>
  <si>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</si>
  <si>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</si>
  <si>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</si>
  <si>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</si>
  <si>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</si>
  <si>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</si>
  <si>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</si>
  <si>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</si>
  <si>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</si>
  <si>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</si>
  <si>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</si>
  <si>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</si>
  <si>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</si>
  <si>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</si>
  <si>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</si>
  <si>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</si>
  <si>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</si>
  <si>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</si>
  <si>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</si>
  <si>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</si>
  <si>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</si>
  <si>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</si>
  <si>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</si>
  <si>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</si>
  <si>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</si>
  <si>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</si>
  <si>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</si>
  <si>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</si>
  <si>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</si>
  <si>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</si>
  <si>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</si>
  <si>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</si>
  <si>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</si>
  <si>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</si>
  <si>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</si>
  <si>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</si>
  <si>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</si>
  <si>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</si>
  <si>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</si>
  <si>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</si>
  <si>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</si>
  <si>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</si>
  <si>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</si>
  <si>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</si>
  <si>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</si>
  <si>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</si>
  <si>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</si>
  <si>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</si>
  <si>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</si>
  <si>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</si>
  <si>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</si>
  <si>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</si>
  <si>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</si>
  <si>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</si>
  <si>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</si>
  <si>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</si>
  <si>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</si>
  <si>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</si>
  <si>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</si>
  <si>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</si>
  <si>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</si>
  <si>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</si>
  <si>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</si>
  <si>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</si>
  <si>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</si>
  <si>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</si>
  <si>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</si>
  <si>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</si>
  <si>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</si>
  <si>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</si>
  <si>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</si>
  <si>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</si>
  <si>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</si>
  <si>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</si>
  <si>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</si>
  <si>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</si>
  <si>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</si>
  <si>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</si>
  <si>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</si>
  <si>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</si>
  <si>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</si>
  <si>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</si>
  <si>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</si>
  <si>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</si>
  <si>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</si>
  <si>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</si>
  <si>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</si>
  <si>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</si>
  <si>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</si>
  <si>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</si>
  <si>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</si>
  <si>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</si>
  <si>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</si>
  <si>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</si>
  <si>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</si>
  <si>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</si>
  <si>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</si>
  <si>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</si>
  <si>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</si>
  <si>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</si>
  <si>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</si>
  <si>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</si>
  <si>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</si>
  <si>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</si>
  <si>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</si>
  <si>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</si>
  <si>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</si>
  <si>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</si>
  <si>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</si>
  <si>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</si>
  <si>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</si>
  <si>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</si>
  <si>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</si>
  <si>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</si>
  <si>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</si>
  <si>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</si>
  <si>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</si>
  <si>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</si>
  <si>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</si>
  <si>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</si>
  <si>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</si>
  <si>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</si>
  <si>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</si>
  <si>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</si>
  <si>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</si>
  <si>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</si>
  <si>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</si>
  <si>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</si>
  <si>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</si>
  <si>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</si>
  <si>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</si>
  <si>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</si>
  <si>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</si>
  <si>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</si>
  <si>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</si>
  <si>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</si>
  <si>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</si>
  <si>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</si>
  <si>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</si>
  <si>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</si>
  <si>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</si>
  <si>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</si>
  <si>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</si>
  <si>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</si>
  <si>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</si>
  <si>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</si>
  <si>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</si>
  <si>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</si>
  <si>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</si>
  <si>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</si>
  <si>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</si>
  <si>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</si>
  <si>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</si>
  <si>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</si>
  <si>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</si>
  <si>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</si>
  <si>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</si>
  <si>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</si>
  <si>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</si>
  <si>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</si>
  <si>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</si>
  <si>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</si>
  <si>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</si>
  <si>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</si>
  <si>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</si>
  <si>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</si>
  <si>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</si>
  <si>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</si>
  <si>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</si>
  <si>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</si>
  <si>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</si>
  <si>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</si>
  <si>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</si>
  <si>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</si>
  <si>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</si>
  <si>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</si>
  <si>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</si>
  <si>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</si>
  <si>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</si>
  <si>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</si>
  <si>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</si>
  <si>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</si>
  <si>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</si>
  <si>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</si>
  <si>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</si>
  <si>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</si>
  <si>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</si>
  <si>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</si>
  <si>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</si>
  <si>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</si>
  <si>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</si>
  <si>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</si>
  <si>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</si>
  <si>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</si>
  <si>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</si>
  <si>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</si>
  <si>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</si>
  <si>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</si>
  <si>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</si>
  <si>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</si>
  <si>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</si>
  <si>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</si>
  <si>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</si>
  <si>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</si>
  <si>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</si>
  <si>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</si>
  <si>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</si>
  <si>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</si>
  <si>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</si>
  <si>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</si>
  <si>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</si>
  <si>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</si>
  <si>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</si>
  <si>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</si>
  <si>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</si>
  <si>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</si>
  <si>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</si>
  <si>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</si>
  <si>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</si>
  <si>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</si>
  <si>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</si>
  <si>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</si>
  <si>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</si>
  <si>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</si>
  <si>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</si>
  <si>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</si>
  <si>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</si>
  <si>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</si>
  <si>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</si>
  <si>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</si>
  <si>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</si>
  <si>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</si>
  <si>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</si>
  <si>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</si>
  <si>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</si>
  <si>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</si>
  <si>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</si>
  <si>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</si>
  <si>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</si>
  <si>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</si>
  <si>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</si>
  <si>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</si>
  <si>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</si>
  <si>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</si>
  <si>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</si>
  <si>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</si>
  <si>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</si>
  <si>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</si>
  <si>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</si>
  <si>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</si>
  <si>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</si>
  <si>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</si>
  <si>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</si>
  <si>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</si>
  <si>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</si>
  <si>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</si>
  <si>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</si>
  <si>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</si>
  <si>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</si>
  <si>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</si>
  <si>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</si>
  <si>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</si>
  <si>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</si>
  <si>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</si>
  <si>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</si>
  <si>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</si>
  <si>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</si>
  <si>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</si>
  <si>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</si>
  <si>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</si>
  <si>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</si>
  <si>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</si>
  <si>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</si>
  <si>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</si>
  <si>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</si>
  <si>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</si>
  <si>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</si>
  <si>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</si>
  <si>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</si>
  <si>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</si>
  <si>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</si>
  <si>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</si>
  <si>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</si>
  <si>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</si>
  <si>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</si>
  <si>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</si>
  <si>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</si>
  <si>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</si>
  <si>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</si>
  <si>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</si>
  <si>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</si>
  <si>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</si>
  <si>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</si>
  <si>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</si>
  <si>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</si>
  <si>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</si>
  <si>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</si>
  <si>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</si>
  <si>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</si>
  <si>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</si>
  <si>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</si>
  <si>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</si>
  <si>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</si>
  <si>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</si>
  <si>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</si>
  <si>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</si>
  <si>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</si>
  <si>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</si>
  <si>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</si>
  <si>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</si>
  <si>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</si>
  <si>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</si>
  <si>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</si>
  <si>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</si>
  <si>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</si>
  <si>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</si>
  <si>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</si>
  <si>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</si>
  <si>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</si>
  <si>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</si>
  <si>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</si>
  <si>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</si>
  <si>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</si>
  <si>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</si>
  <si>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</si>
  <si>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</si>
  <si>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</si>
  <si>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</si>
  <si>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</si>
  <si>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</si>
  <si>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</si>
  <si>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</si>
  <si>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</si>
  <si>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</si>
  <si>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</si>
  <si>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</si>
  <si>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</si>
  <si>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</si>
  <si>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</si>
  <si>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</si>
  <si>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</si>
  <si>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</si>
  <si>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</si>
  <si>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</si>
  <si>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</si>
  <si>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</si>
  <si>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</si>
  <si>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</si>
  <si>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</si>
  <si>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</si>
  <si>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</si>
  <si>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</si>
  <si>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</si>
  <si>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</si>
  <si>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</si>
  <si>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</si>
  <si>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</si>
  <si>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</si>
  <si>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</si>
  <si>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</si>
  <si>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</si>
  <si>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</si>
  <si>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</si>
  <si>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</si>
  <si>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</si>
  <si>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</si>
  <si>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</si>
  <si>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</si>
  <si>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</si>
  <si>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</si>
  <si>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</si>
  <si>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</si>
  <si>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</si>
  <si>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</si>
  <si>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</si>
  <si>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</si>
  <si>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</si>
  <si>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</si>
  <si>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</si>
  <si>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</si>
  <si>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</si>
  <si>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</si>
  <si>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</si>
  <si>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</si>
  <si>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</si>
  <si>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</si>
  <si>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</si>
  <si>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</si>
  <si>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</si>
  <si>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</si>
  <si>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</si>
  <si>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</si>
  <si>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</si>
  <si>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</si>
  <si>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</si>
  <si>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</si>
  <si>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</si>
  <si>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</si>
  <si>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</si>
  <si>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</si>
  <si>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</si>
  <si>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</si>
  <si>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</si>
  <si>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</si>
  <si>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</si>
  <si>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</si>
  <si>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</si>
  <si>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</si>
  <si>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</si>
  <si>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</si>
  <si>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</si>
  <si>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</si>
  <si>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</si>
  <si>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</si>
  <si>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</si>
  <si>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</si>
  <si>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</si>
  <si>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</si>
  <si>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</si>
  <si>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</si>
  <si>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</si>
  <si>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</si>
  <si>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</si>
  <si>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</si>
  <si>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</si>
  <si>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</si>
  <si>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</si>
  <si>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</si>
  <si>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</si>
  <si>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</si>
  <si>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</si>
  <si>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</si>
  <si>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</si>
  <si>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</si>
  <si>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</si>
  <si>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</si>
  <si>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</si>
  <si>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</si>
  <si>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</si>
  <si>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</si>
  <si>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</si>
  <si>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</si>
  <si>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</si>
  <si>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</si>
  <si>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</si>
  <si>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</si>
  <si>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</si>
  <si>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</si>
  <si>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</si>
  <si>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</si>
  <si>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</si>
  <si>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</si>
  <si>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</si>
  <si>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</si>
  <si>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</si>
  <si>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</si>
  <si>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</si>
  <si>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</si>
  <si>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</si>
  <si>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</si>
  <si>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</si>
  <si>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</si>
  <si>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</si>
  <si>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</si>
  <si>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</si>
  <si>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</si>
  <si>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</si>
  <si>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</si>
  <si>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</si>
  <si>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</si>
  <si>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</si>
  <si>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</si>
  <si>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</si>
  <si>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</si>
  <si>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</si>
  <si>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</si>
  <si>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</si>
  <si>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</si>
  <si>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</si>
  <si>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</si>
  <si>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</si>
  <si>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</si>
  <si>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</si>
  <si>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</si>
  <si>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</si>
  <si>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</si>
  <si>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</si>
  <si>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</si>
  <si>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</si>
  <si>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</si>
  <si>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</si>
  <si>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</si>
  <si>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</si>
  <si>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</si>
  <si>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</si>
  <si>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</si>
  <si>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</si>
  <si>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</si>
  <si>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</si>
  <si>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</si>
  <si>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</si>
  <si>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</si>
  <si>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</si>
  <si>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</si>
  <si>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</si>
  <si>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</si>
  <si>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</si>
  <si>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</si>
  <si>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</si>
  <si>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</si>
  <si>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</si>
  <si>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</si>
  <si>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</si>
  <si>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</si>
  <si>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</si>
  <si>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</si>
  <si>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</si>
  <si>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</si>
  <si>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</si>
  <si>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</si>
  <si>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</si>
  <si>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</si>
  <si>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</si>
  <si>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</si>
  <si>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</si>
  <si>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</si>
  <si>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</si>
  <si>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</si>
  <si>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</si>
  <si>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</si>
  <si>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</si>
  <si>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</si>
  <si>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</si>
  <si>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</si>
  <si>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</si>
  <si>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</si>
  <si>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</si>
  <si>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</si>
  <si>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</si>
  <si>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</si>
  <si>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</si>
  <si>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</si>
  <si>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</si>
  <si>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</si>
  <si>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</si>
  <si>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</si>
  <si>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</si>
  <si>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</si>
  <si>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</si>
  <si>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</si>
  <si>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</si>
  <si>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</si>
  <si>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</si>
  <si>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</si>
  <si>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</si>
  <si>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</si>
  <si>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</si>
  <si>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</si>
  <si>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</si>
  <si>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</si>
  <si>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</si>
  <si>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</si>
  <si>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</si>
  <si>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</si>
  <si>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</si>
  <si>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</si>
  <si>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</si>
  <si>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</si>
  <si>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</si>
  <si>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</si>
  <si>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</si>
  <si>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</si>
  <si>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</si>
  <si>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</si>
  <si>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</si>
  <si>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</si>
  <si>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</si>
  <si>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</si>
  <si>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</si>
  <si>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</si>
  <si>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</si>
  <si>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</si>
  <si>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</si>
  <si>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</si>
  <si>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</si>
  <si>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</si>
  <si>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</si>
  <si>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</si>
  <si>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</si>
  <si>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</si>
  <si>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</si>
  <si>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</si>
  <si>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</si>
  <si>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</si>
  <si>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</si>
  <si>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</si>
  <si>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</si>
  <si>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</si>
  <si>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</si>
  <si>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</si>
  <si>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</si>
  <si>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</si>
  <si>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</si>
  <si>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</si>
  <si>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</si>
  <si>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</si>
  <si>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</si>
  <si>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</si>
  <si>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</si>
  <si>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</si>
  <si>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</si>
  <si>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</si>
  <si>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</si>
  <si>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</si>
  <si>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</si>
  <si>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</si>
  <si>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</si>
  <si>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</si>
  <si>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</si>
  <si>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</si>
  <si>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</si>
  <si>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</si>
  <si>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</si>
  <si>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</si>
  <si>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</si>
  <si>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</si>
  <si>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</si>
  <si>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</si>
  <si>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</si>
  <si>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</si>
  <si>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</si>
  <si>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</si>
  <si>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</si>
  <si>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</si>
  <si>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</si>
  <si>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</si>
  <si>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</si>
  <si>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</si>
  <si>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</si>
  <si>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</si>
  <si>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</si>
  <si>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</si>
  <si>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</si>
  <si>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</si>
  <si>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</si>
  <si>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</si>
  <si>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</si>
  <si>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</si>
  <si>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</si>
  <si>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</si>
  <si>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</si>
  <si>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</si>
  <si>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</si>
  <si>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</si>
  <si>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</si>
  <si>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</si>
  <si>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</si>
  <si>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</si>
  <si>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</si>
  <si>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</si>
  <si>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</si>
  <si>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</si>
  <si>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</si>
  <si>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</si>
  <si>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</si>
  <si>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</si>
  <si>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</si>
  <si>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</si>
  <si>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</si>
  <si>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</si>
  <si>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</si>
  <si>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</si>
  <si>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</si>
  <si>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</si>
  <si>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</si>
  <si>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</si>
  <si>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</si>
  <si>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</si>
  <si>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</si>
  <si>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</si>
  <si>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</si>
  <si>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</si>
  <si>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</si>
  <si>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</si>
  <si>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</si>
  <si>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</si>
  <si>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</si>
  <si>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</si>
  <si>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</si>
  <si>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</si>
  <si>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</si>
  <si>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</si>
  <si>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</si>
  <si>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</si>
  <si>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</si>
  <si>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</si>
  <si>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</si>
  <si>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</si>
  <si>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</si>
  <si>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</si>
  <si>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</si>
  <si>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</si>
  <si>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</si>
  <si>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</si>
  <si>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</si>
  <si>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</si>
  <si>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</si>
  <si>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</si>
  <si>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</si>
  <si>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</si>
  <si>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</si>
  <si>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</si>
  <si>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</si>
  <si>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</si>
  <si>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</si>
  <si>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</si>
  <si>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</si>
  <si>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</si>
  <si>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</si>
  <si>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</si>
  <si>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</si>
  <si>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</si>
  <si>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</si>
  <si>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</si>
  <si>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</si>
  <si>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</si>
  <si>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</si>
  <si>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</si>
  <si>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</si>
  <si>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</si>
  <si>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</si>
  <si>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</si>
  <si>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</si>
  <si>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</si>
  <si>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</si>
  <si>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</si>
  <si>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</si>
  <si>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</si>
  <si>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</si>
  <si>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</si>
  <si>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</si>
  <si>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</si>
  <si>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</si>
  <si>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</si>
  <si>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</si>
  <si>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</si>
  <si>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</si>
  <si>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</si>
  <si>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</si>
  <si>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</si>
  <si>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</si>
  <si>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</si>
  <si>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</si>
  <si>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</si>
  <si>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</si>
  <si>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</si>
  <si>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</si>
  <si>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</si>
  <si>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</si>
  <si>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</si>
  <si>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</si>
  <si>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</si>
  <si>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</si>
  <si>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</si>
  <si>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</si>
  <si>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</si>
  <si>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</si>
  <si>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</si>
  <si>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</si>
  <si>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</si>
  <si>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</si>
  <si>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</si>
  <si>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</si>
  <si>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</si>
  <si>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</si>
  <si>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</si>
  <si>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</si>
  <si>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</si>
  <si>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</si>
  <si>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</si>
  <si>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</si>
  <si>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</si>
  <si>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</si>
  <si>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</si>
  <si>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</si>
  <si>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</si>
  <si>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</si>
  <si>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</si>
  <si>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</si>
  <si>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</si>
  <si>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</si>
  <si>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</si>
  <si>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</si>
  <si>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</si>
  <si>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</si>
  <si>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</si>
  <si>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</si>
  <si>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</si>
  <si>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</si>
  <si>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</si>
  <si>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</si>
  <si>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</si>
  <si>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</si>
  <si>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</si>
  <si>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</si>
  <si>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</si>
  <si>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</si>
  <si>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</si>
  <si>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</si>
  <si>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</si>
  <si>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</si>
  <si>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</si>
  <si>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</si>
  <si>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</si>
  <si>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</si>
  <si>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</si>
  <si>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</si>
  <si>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</si>
  <si>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</si>
  <si>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</si>
  <si>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</si>
  <si>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</si>
  <si>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</si>
  <si>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</si>
  <si>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</si>
  <si>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</si>
  <si>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</si>
  <si>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</si>
  <si>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</si>
  <si>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</si>
  <si>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</si>
  <si>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</si>
  <si>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</si>
  <si>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</si>
  <si>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</si>
  <si>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</si>
  <si>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</si>
  <si>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</si>
  <si>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</si>
  <si>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</si>
  <si>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</si>
  <si>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</si>
  <si>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</si>
  <si>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</si>
  <si>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</si>
  <si>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</si>
  <si>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</si>
  <si>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</si>
  <si>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</si>
  <si>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</si>
  <si>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</si>
  <si>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</si>
  <si>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</si>
  <si>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</si>
  <si>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</si>
  <si>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</si>
  <si>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</si>
  <si>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</si>
  <si>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</si>
  <si>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</si>
  <si>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</si>
  <si>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</si>
  <si>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</si>
  <si>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</si>
  <si>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</si>
  <si>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</si>
  <si>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</si>
  <si>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</si>
  <si>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</si>
  <si>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</si>
  <si>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</si>
  <si>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</si>
  <si>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</si>
  <si>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</si>
  <si>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</si>
  <si>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</si>
  <si>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</si>
  <si>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</si>
  <si>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</si>
  <si>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</si>
  <si>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</si>
  <si>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</si>
  <si>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</si>
  <si>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</si>
  <si>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</si>
  <si>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</si>
  <si>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</si>
  <si>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</si>
  <si>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</si>
  <si>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</si>
  <si>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</si>
  <si>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</si>
  <si>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</si>
  <si>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</si>
  <si>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</si>
  <si>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</si>
  <si>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</si>
  <si>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</si>
  <si>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</si>
  <si>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</si>
  <si>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</si>
  <si>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</si>
  <si>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</si>
  <si>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</si>
  <si>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</si>
  <si>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</si>
  <si>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</si>
  <si>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</si>
  <si>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</si>
  <si>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</si>
  <si>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</si>
  <si>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</si>
  <si>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</si>
  <si>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</si>
  <si>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</si>
  <si>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</si>
  <si>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</si>
  <si>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</si>
  <si>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</si>
  <si>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</si>
  <si>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</si>
  <si>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</si>
  <si>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</si>
  <si>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</si>
  <si>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</si>
  <si>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</si>
  <si>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</si>
  <si>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</si>
  <si>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</si>
  <si>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</si>
  <si>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</si>
  <si>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</si>
  <si>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</si>
  <si>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</si>
  <si>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</si>
  <si>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</si>
  <si>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</si>
  <si>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</si>
  <si>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</si>
  <si>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</si>
  <si>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</si>
  <si>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</si>
  <si>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</si>
  <si>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</si>
  <si>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</si>
  <si>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</si>
  <si>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</si>
  <si>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</si>
  <si>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</si>
  <si>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</si>
  <si>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</si>
  <si>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</si>
  <si>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</si>
  <si>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</si>
  <si>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</si>
  <si>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</si>
  <si>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</si>
  <si>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</si>
  <si>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</si>
  <si>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</si>
  <si>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</si>
  <si>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</si>
  <si>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</si>
  <si>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</si>
  <si>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</si>
  <si>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</si>
  <si>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</si>
  <si>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</si>
  <si>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</si>
  <si>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</si>
  <si>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</si>
  <si>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</si>
  <si>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</si>
  <si>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</si>
  <si>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</si>
  <si>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</si>
  <si>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</si>
  <si>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</si>
  <si>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</si>
  <si>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</si>
  <si>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</si>
  <si>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</si>
  <si>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</si>
  <si>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</si>
  <si>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</si>
  <si>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</si>
  <si>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</si>
  <si>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</si>
  <si>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</si>
  <si>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</si>
  <si>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</si>
  <si>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</si>
  <si>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</si>
  <si>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</si>
  <si>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</si>
  <si>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</si>
  <si>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</si>
  <si>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</si>
  <si>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</si>
  <si>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</si>
  <si>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</si>
  <si>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</si>
  <si>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</si>
  <si>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</si>
  <si>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</si>
  <si>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</si>
  <si>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</si>
  <si>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</si>
  <si>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</si>
  <si>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</si>
  <si>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</si>
  <si>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</si>
  <si>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</si>
  <si>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</si>
  <si>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</si>
  <si>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</si>
  <si>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</si>
  <si>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</si>
  <si>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</si>
  <si>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</si>
  <si>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</si>
  <si>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</si>
  <si>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</si>
  <si>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</si>
  <si>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</si>
  <si>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</si>
  <si>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</si>
  <si>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</si>
  <si>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</si>
  <si>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</si>
  <si>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</si>
  <si>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</si>
  <si>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</si>
  <si>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</si>
  <si>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</si>
  <si>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</si>
  <si>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</si>
  <si>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</si>
  <si>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</si>
  <si>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</si>
  <si>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</si>
  <si>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</si>
  <si>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</si>
  <si>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</si>
  <si>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</si>
  <si>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</si>
  <si>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</si>
  <si>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</si>
  <si>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</si>
  <si>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</si>
  <si>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</si>
  <si>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</si>
  <si>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</si>
  <si>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</si>
  <si>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</si>
  <si>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</si>
  <si>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</si>
  <si>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</si>
  <si>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</si>
  <si>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</si>
  <si>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</si>
  <si>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</si>
  <si>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</si>
  <si>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</si>
  <si>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</si>
  <si>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</si>
  <si>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</si>
  <si>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</si>
  <si>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</si>
  <si>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</si>
  <si>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</si>
  <si>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</si>
  <si>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</si>
  <si>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</si>
  <si>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</si>
  <si>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</si>
  <si>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</si>
  <si>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</si>
  <si>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</si>
  <si>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</si>
  <si>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</si>
  <si>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</si>
  <si>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</si>
  <si>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</si>
  <si>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</si>
  <si>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</si>
  <si>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</si>
  <si>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</si>
  <si>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</si>
  <si>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</si>
  <si>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</si>
  <si>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</si>
  <si>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</si>
  <si>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</si>
  <si>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</si>
  <si>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</si>
  <si>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</si>
  <si>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</si>
  <si>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</si>
  <si>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</si>
  <si>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</si>
  <si>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</si>
  <si>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</si>
  <si>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</si>
  <si>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</si>
  <si>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</si>
  <si>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</si>
  <si>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</si>
  <si>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</si>
  <si>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</si>
  <si>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</si>
  <si>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</si>
  <si>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</si>
  <si>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</si>
  <si>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</si>
  <si>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</si>
  <si>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</si>
  <si>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</si>
  <si>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</si>
  <si>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</si>
  <si>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</si>
  <si>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</si>
  <si>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</si>
  <si>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</si>
  <si>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</si>
  <si>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</si>
  <si>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</si>
  <si>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</si>
  <si>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</si>
  <si>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</si>
  <si>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</si>
  <si>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</si>
  <si>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</si>
  <si>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</si>
  <si>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</si>
  <si>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</si>
  <si>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</si>
  <si>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</si>
  <si>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</si>
  <si>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</si>
  <si>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</si>
  <si>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</si>
  <si>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</si>
  <si>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</si>
  <si>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</si>
  <si>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</si>
  <si>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</si>
  <si>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</si>
  <si>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</si>
  <si>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</si>
  <si>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</si>
  <si>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</si>
  <si>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</si>
  <si>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</si>
  <si>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</si>
  <si>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</si>
  <si>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</si>
  <si>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</si>
  <si>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</si>
  <si>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</si>
  <si>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</si>
  <si>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</si>
  <si>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</si>
  <si>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</si>
  <si>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</si>
  <si>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</si>
  <si>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</si>
  <si>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</si>
  <si>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</si>
  <si>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</si>
  <si>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</si>
  <si>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</si>
  <si>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</si>
  <si>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</si>
  <si>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</si>
  <si>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</si>
  <si>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</si>
  <si>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</si>
  <si>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</si>
  <si>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</si>
  <si>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</si>
  <si>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</si>
  <si>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</si>
  <si>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</si>
  <si>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</si>
  <si>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</si>
  <si>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</si>
  <si>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</si>
  <si>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</si>
  <si>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</si>
  <si>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</si>
  <si>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</si>
  <si>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</si>
  <si>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</si>
  <si>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</si>
  <si>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</si>
  <si>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</si>
  <si>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</si>
  <si>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</si>
  <si>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</si>
  <si>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</si>
  <si>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</si>
  <si>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</si>
  <si>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</si>
  <si>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</si>
  <si>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</si>
  <si>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</si>
  <si>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</si>
  <si>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</si>
  <si>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</si>
  <si>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</si>
  <si>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</si>
  <si>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</si>
  <si>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</si>
  <si>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</si>
  <si>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</si>
  <si>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</si>
  <si>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</si>
  <si>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</si>
  <si>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</si>
  <si>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</si>
  <si>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</si>
  <si>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</si>
  <si>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</si>
  <si>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</si>
  <si>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</si>
  <si>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</si>
  <si>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</si>
  <si>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</si>
  <si>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</si>
  <si>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</si>
  <si>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</si>
  <si>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</si>
  <si>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</si>
  <si>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</si>
  <si>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</si>
  <si>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</si>
  <si>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</si>
  <si>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</si>
  <si>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</si>
  <si>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</si>
  <si>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</si>
  <si>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</si>
  <si>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</si>
  <si>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</si>
  <si>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</si>
  <si>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</si>
  <si>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</si>
  <si>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</si>
  <si>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</si>
  <si>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</si>
  <si>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</si>
  <si>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</si>
  <si>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</si>
  <si>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</si>
  <si>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</si>
  <si>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</si>
  <si>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</si>
  <si>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</si>
  <si>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</si>
  <si>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</si>
  <si>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</si>
  <si>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</si>
  <si>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</si>
  <si>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</si>
  <si>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</si>
  <si>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</si>
  <si>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</si>
  <si>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</si>
  <si>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</si>
  <si>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</si>
  <si>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</si>
  <si>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</si>
  <si>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</si>
  <si>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</si>
  <si>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</si>
  <si>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</si>
  <si>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</si>
  <si>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</si>
  <si>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</si>
  <si>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</si>
  <si>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</si>
  <si>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</si>
  <si>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</si>
  <si>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</si>
  <si>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</si>
  <si>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</si>
  <si>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</si>
  <si>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</si>
  <si>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</si>
  <si>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</si>
  <si>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</si>
  <si>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</si>
  <si>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</si>
  <si>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</si>
  <si>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</si>
  <si>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</si>
  <si>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</si>
  <si>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</si>
  <si>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</si>
  <si>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</si>
  <si>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</si>
  <si>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</si>
  <si>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</si>
  <si>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</si>
  <si>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</si>
  <si>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</si>
  <si>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</si>
  <si>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</si>
  <si>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</si>
  <si>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</si>
  <si>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</si>
  <si>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</si>
  <si>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</si>
  <si>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</si>
  <si>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</si>
  <si>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</si>
  <si>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</si>
  <si>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</si>
  <si>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</si>
  <si>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</si>
  <si>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</si>
  <si>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</si>
  <si>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</si>
  <si>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</si>
  <si>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</si>
  <si>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</si>
  <si>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</si>
  <si>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</si>
  <si>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</si>
  <si>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</si>
  <si>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</si>
  <si>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</si>
  <si>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</si>
  <si>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</si>
  <si>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</si>
  <si>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</si>
  <si>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</si>
  <si>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</si>
  <si>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</si>
  <si>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</si>
  <si>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</si>
  <si>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</si>
  <si>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</si>
  <si>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</si>
  <si>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</si>
  <si>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</si>
  <si>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</si>
  <si>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</si>
  <si>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</si>
  <si>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</si>
  <si>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</si>
  <si>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</si>
  <si>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</si>
  <si>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</si>
  <si>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</si>
  <si>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</si>
  <si>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</si>
  <si>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</si>
  <si>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</si>
  <si>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</si>
  <si>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</si>
  <si>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</si>
  <si>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</si>
  <si>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</si>
  <si>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</si>
  <si>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</si>
  <si>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</si>
  <si>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</si>
  <si>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</si>
  <si>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</si>
  <si>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</si>
  <si>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</si>
  <si>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</si>
  <si>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</si>
  <si>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</si>
  <si>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</si>
  <si>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</si>
  <si>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</si>
  <si>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</si>
  <si>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</si>
  <si>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</si>
  <si>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</si>
  <si>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</si>
  <si>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</si>
  <si>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</si>
  <si>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</si>
  <si>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</si>
  <si>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</si>
  <si>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</si>
  <si>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</si>
  <si>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</si>
  <si>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</si>
  <si>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</si>
  <si>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</si>
  <si>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</si>
  <si>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</si>
  <si>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</si>
  <si>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</si>
  <si>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</si>
  <si>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</si>
  <si>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</si>
  <si>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</si>
  <si>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</si>
  <si>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</si>
  <si>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</si>
  <si>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</si>
  <si>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</si>
  <si>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</si>
  <si>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</si>
  <si>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</si>
  <si>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</si>
  <si>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</si>
  <si>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</si>
  <si>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</si>
  <si>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</si>
  <si>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</si>
  <si>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</si>
  <si>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</si>
  <si>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</si>
  <si>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</si>
  <si>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</si>
  <si>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</si>
  <si>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</si>
  <si>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</si>
  <si>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</si>
  <si>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</si>
  <si>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</si>
  <si>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</si>
  <si>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</si>
  <si>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</si>
  <si>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</si>
  <si>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</si>
  <si>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</si>
  <si>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</si>
  <si>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</si>
  <si>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</si>
  <si>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</si>
  <si>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</si>
  <si>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</si>
  <si>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</si>
  <si>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</si>
  <si>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</si>
  <si>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</si>
  <si>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</si>
  <si>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</si>
  <si>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</si>
  <si>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</si>
  <si>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</si>
  <si>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</si>
  <si>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</si>
  <si>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</si>
  <si>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</si>
  <si>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</si>
  <si>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</si>
  <si>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</si>
  <si>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</si>
  <si>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</si>
  <si>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</si>
  <si>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</si>
  <si>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</si>
  <si>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</si>
  <si>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</si>
  <si>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</si>
  <si>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</si>
  <si>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</si>
  <si>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</si>
  <si>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</si>
  <si>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</si>
  <si>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</si>
  <si>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</si>
  <si>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</si>
  <si>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</si>
  <si>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</si>
  <si>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</si>
  <si>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</si>
  <si>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</si>
  <si>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</si>
  <si>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</si>
  <si>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</si>
  <si>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</si>
  <si>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</si>
  <si>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</si>
  <si>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</si>
  <si>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</si>
  <si>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</si>
  <si>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</si>
  <si>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</si>
  <si>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</si>
  <si>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</si>
  <si>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</si>
  <si>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</si>
  <si>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</si>
  <si>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</si>
  <si>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</si>
  <si>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</si>
  <si>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</si>
  <si>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</si>
  <si>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</si>
  <si>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</si>
  <si>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</si>
  <si>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</si>
  <si>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</si>
  <si>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</si>
  <si>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</si>
  <si>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</si>
  <si>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</si>
  <si>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</si>
  <si>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</si>
  <si>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</si>
  <si>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</si>
  <si>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</si>
  <si>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</si>
  <si>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</si>
  <si>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</si>
  <si>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</si>
  <si>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</si>
  <si>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Whiteside</t>
  </si>
  <si>
    <t>1608 5th Avenue</t>
  </si>
  <si>
    <t>Sterling</t>
  </si>
  <si>
    <t>wacc.net</t>
  </si>
  <si>
    <t>Wipfli LLP</t>
  </si>
  <si>
    <t>Matthew Schueler</t>
  </si>
  <si>
    <t>403 East Third</t>
  </si>
  <si>
    <t>Illinois</t>
  </si>
  <si>
    <t>815-626-9118</t>
  </si>
  <si>
    <t>066-004023</t>
  </si>
  <si>
    <t>mschueler@wipfli.com</t>
  </si>
  <si>
    <t>R. Tad Everett</t>
  </si>
  <si>
    <t>teverett@sps5.org</t>
  </si>
  <si>
    <t>815-626-5050</t>
  </si>
  <si>
    <t>815-622-4156</t>
  </si>
  <si>
    <t>General Admin - Purchased Service</t>
  </si>
  <si>
    <t>10-2310-300</t>
  </si>
  <si>
    <t>Owen Harrell</t>
  </si>
  <si>
    <t>815-626-1277</t>
  </si>
  <si>
    <t xml:space="preserve">  Fund 10 Other Revenue from Local sources, Account 1999 - $2,691 Miscellaneous Income and Operation Fees</t>
  </si>
  <si>
    <t xml:space="preserve">  Fund 10, Other Food Service Income, account 1690 - $2,770 Food Service program sales</t>
  </si>
  <si>
    <t xml:space="preserve">  Fund 40 Other Revenue from Local sources, Account 1999 - $600 Miscellaneous </t>
  </si>
  <si>
    <t xml:space="preserve">  Fund 10, Line 83 Function 4190 - $34,800 Cosmetology Services</t>
  </si>
  <si>
    <t>X</t>
  </si>
  <si>
    <t>Whiteside RVS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</si>
</sst>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sz val="10"/>
      <color theme="1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auto="1"/>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top style="thin">
        <color auto="1"/>
      </top>
      <bottom style="thin">
        <color theme="0" tint="-0.34998626667073579"/>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auto="1"/>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auto="1"/>
      </left>
      <right style="thin">
        <color auto="1"/>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auto="1"/>
      </left>
      <right style="thin">
        <color auto="1"/>
      </right>
      <top/>
      <bottom style="thin">
        <color auto="1"/>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auto="1"/>
      </left>
      <right style="medium">
        <color auto="1"/>
      </right>
      <top style="medium">
        <color auto="1"/>
      </top>
      <bottom style="medium">
        <color auto="1"/>
      </bottom>
      <diagonal/>
    </border>
    <border>
      <left/>
      <right style="thin">
        <color theme="0" tint="-0.34998626667073579"/>
      </right>
      <top style="thin">
        <color auto="1"/>
      </top>
      <bottom style="thin">
        <color theme="0" tint="-0.34998626667073579"/>
      </bottom>
      <diagonal/>
    </border>
    <border>
      <left/>
      <right style="thin">
        <color theme="0" tint="-0.34998626667073579"/>
      </right>
      <top/>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5" fillId="0" borderId="0" applyNumberFormat="0" applyFill="0" applyBorder="0" applyAlignment="0" applyProtection="0"/>
    <xf numFmtId="0" fontId="135" fillId="0" borderId="0" applyNumberFormat="0" applyFill="0" applyBorder="0" applyAlignment="0" applyProtection="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7" fillId="0" borderId="0" xfId="3"/>
    <xf numFmtId="0" fontId="0" fillId="0" borderId="0" xfId="3" applyFont="1" applyFill="1"/>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1">
    <cellStyle name="Comma" xfId="1" builtinId="3"/>
    <cellStyle name="Followed Hyperlink" xfId="19" builtinId="9" hidden="1"/>
    <cellStyle name="Followed Hyperlink" xfId="20" builtinId="9" hidden="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457199</xdr:colOff>
      <xdr:row>62</xdr:row>
      <xdr:rowOff>16882</xdr:rowOff>
    </xdr:to>
    <xdr:pic>
      <xdr:nvPicPr>
        <xdr:cNvPr id="3" name="Picture 2">
          <a:extLst>
            <a:ext uri="{FF2B5EF4-FFF2-40B4-BE49-F238E27FC236}">
              <a16:creationId xmlns:a16="http://schemas.microsoft.com/office/drawing/2014/main" id="{68CF2E49-CFCD-4FCE-A268-4C049AA7FC6C}"/>
            </a:ext>
          </a:extLst>
        </xdr:cNvPr>
        <xdr:cNvPicPr>
          <a:picLocks noChangeAspect="1"/>
        </xdr:cNvPicPr>
      </xdr:nvPicPr>
      <xdr:blipFill>
        <a:blip xmlns:r="http://schemas.openxmlformats.org/officeDocument/2006/relationships" r:embed="rId1"/>
        <a:stretch>
          <a:fillRect/>
        </a:stretch>
      </xdr:blipFill>
      <xdr:spPr>
        <a:xfrm>
          <a:off x="0" y="0"/>
          <a:ext cx="7772399" cy="100562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22D19E1-52BF-4B00-96A5-230C98973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zoomScaleSheetLayoutView="110" zoomScalePageLayoutView="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42578125" style="26" customWidth="1"/>
    <col min="5" max="5" width="3" style="26" customWidth="1"/>
    <col min="6" max="6" width="7.42578125" style="26" customWidth="1"/>
    <col min="7" max="7" width="8.28515625" style="26" customWidth="1"/>
    <col min="8" max="8" width="8.85546875" style="26" customWidth="1"/>
    <col min="9" max="9" width="1.42578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c r="C5" s="26" t="s">
        <v>966</v>
      </c>
      <c r="D5" s="84"/>
      <c r="E5" s="84"/>
      <c r="H5" s="38"/>
      <c r="I5" s="2043" t="s">
        <v>701</v>
      </c>
      <c r="J5" s="1988"/>
      <c r="K5" s="1988"/>
      <c r="L5" s="1988"/>
      <c r="M5" s="1988"/>
      <c r="N5" s="1988"/>
      <c r="O5" s="1988"/>
      <c r="P5" s="1988"/>
      <c r="Q5" s="1988"/>
      <c r="R5" s="1988"/>
      <c r="S5" s="1988"/>
    </row>
    <row r="6" spans="1:28" ht="14.1" customHeight="1" x14ac:dyDescent="0.2">
      <c r="B6" s="104" t="s">
        <v>2077</v>
      </c>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04">
        <v>47098005046</v>
      </c>
      <c r="B13" s="2005"/>
      <c r="C13" s="2005"/>
      <c r="D13" s="2005"/>
      <c r="E13" s="2005"/>
      <c r="F13" s="2005"/>
      <c r="G13" s="2005"/>
      <c r="H13" s="2006"/>
      <c r="I13" s="31"/>
      <c r="J13" s="30"/>
      <c r="K13" s="28"/>
      <c r="L13" s="30"/>
      <c r="M13" s="30"/>
      <c r="N13" s="30"/>
      <c r="O13" s="30"/>
      <c r="P13" s="30"/>
      <c r="Q13" s="30"/>
      <c r="R13" s="30"/>
      <c r="S13" s="30"/>
      <c r="T13" s="2009" t="s">
        <v>2082</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2083</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2102</v>
      </c>
      <c r="B17" s="2032"/>
      <c r="C17" s="2032"/>
      <c r="D17" s="2032"/>
      <c r="E17" s="2032"/>
      <c r="F17" s="2032"/>
      <c r="G17" s="2032"/>
      <c r="H17" s="2033"/>
      <c r="T17" s="2019" t="s">
        <v>2084</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2080</v>
      </c>
      <c r="U19" s="2000"/>
      <c r="V19" s="2000"/>
      <c r="W19" s="2001"/>
      <c r="X19" s="2017" t="s">
        <v>2085</v>
      </c>
      <c r="Y19" s="2018"/>
      <c r="Z19" s="2015">
        <v>61081</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2096</v>
      </c>
      <c r="U21" s="1968"/>
      <c r="V21" s="1968"/>
      <c r="W21" s="1968"/>
      <c r="X21" s="1981" t="s">
        <v>2086</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2081</v>
      </c>
      <c r="B23" s="2023"/>
      <c r="C23" s="2023"/>
      <c r="D23" s="2023"/>
      <c r="E23" s="2023"/>
      <c r="F23" s="2023"/>
      <c r="G23" s="2023"/>
      <c r="H23" s="2024"/>
      <c r="T23" s="1962" t="s">
        <v>2087</v>
      </c>
      <c r="U23" s="1963"/>
      <c r="V23" s="1963"/>
      <c r="W23" s="1963"/>
      <c r="X23" s="1978">
        <v>43434</v>
      </c>
      <c r="Y23" s="1979"/>
      <c r="Z23" s="1979"/>
      <c r="AA23" s="1980"/>
    </row>
    <row r="24" spans="1:27" ht="14.1" customHeight="1" x14ac:dyDescent="0.2">
      <c r="A24" s="88" t="s">
        <v>698</v>
      </c>
      <c r="B24" s="49"/>
      <c r="C24" s="49"/>
      <c r="D24" s="49"/>
      <c r="E24" s="49"/>
      <c r="F24" s="49"/>
      <c r="G24" s="49"/>
      <c r="H24" s="61"/>
      <c r="J24" s="2064" t="str">
        <f>IF(B5="x",IF(AUDITCHECK!D29="AFR form Incomplete.","",IF(AUDITCHECK!D29="Deficit reduction plan is required.","School District must complete a deficit reduction plan in the 2018-2019 Budget",)),"")</f>
        <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61081</v>
      </c>
      <c r="B25" s="2000"/>
      <c r="C25" s="2000"/>
      <c r="D25" s="2000"/>
      <c r="E25" s="2000"/>
      <c r="F25" s="2000"/>
      <c r="G25" s="2000"/>
      <c r="H25" s="2001"/>
      <c r="I25" s="113"/>
      <c r="J25" s="2066"/>
      <c r="K25" s="2066"/>
      <c r="L25" s="2066"/>
      <c r="M25" s="2066"/>
      <c r="N25" s="2066"/>
      <c r="O25" s="2066"/>
      <c r="P25" s="2066"/>
      <c r="Q25" s="2066"/>
      <c r="R25" s="2066"/>
      <c r="S25" s="2067"/>
      <c r="T25" s="1959" t="s">
        <v>2088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2091</v>
      </c>
      <c r="B42" s="2049"/>
      <c r="C42" s="2050"/>
      <c r="D42" s="2063" t="s">
        <v>2092</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6" orientation="landscape" r:id="rId3"/>
  <headerFooter alignWithMargins="0">
    <oddFooter>&amp;L&amp;8Printed: &amp;D
&amp;F</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PageLayoutView="125" workbookViewId="0">
      <pane ySplit="2" topLeftCell="A125" activePane="bottomLeft" state="frozen"/>
      <selection sqref="A1:F1"/>
      <selection pane="bottomLeft" sqref="A1:F1"/>
    </sheetView>
  </sheetViews>
  <sheetFormatPr defaultColWidth="9.140625" defaultRowHeight="12.75" x14ac:dyDescent="0.2"/>
  <cols>
    <col min="1" max="1" width="48.42578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42578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2">
        <f>SUM(C5:J5)</f>
        <v>0</v>
      </c>
      <c r="L5" s="466"/>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c r="D8" s="466"/>
      <c r="E8" s="466"/>
      <c r="F8" s="466"/>
      <c r="G8" s="466"/>
      <c r="H8" s="466"/>
      <c r="I8" s="467"/>
      <c r="J8" s="467"/>
      <c r="K8" s="1692">
        <f t="shared" si="0"/>
        <v>0</v>
      </c>
      <c r="L8" s="466"/>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c r="D10" s="466"/>
      <c r="E10" s="466"/>
      <c r="F10" s="466"/>
      <c r="G10" s="466"/>
      <c r="H10" s="466"/>
      <c r="I10" s="467"/>
      <c r="J10" s="467"/>
      <c r="K10" s="1692">
        <f t="shared" si="0"/>
        <v>0</v>
      </c>
      <c r="L10" s="466"/>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v>4427</v>
      </c>
      <c r="D12" s="466">
        <v>583</v>
      </c>
      <c r="E12" s="466">
        <v>469</v>
      </c>
      <c r="F12" s="466">
        <v>268</v>
      </c>
      <c r="G12" s="466"/>
      <c r="H12" s="466"/>
      <c r="I12" s="467"/>
      <c r="J12" s="467"/>
      <c r="K12" s="1692">
        <f t="shared" si="0"/>
        <v>5747</v>
      </c>
      <c r="L12" s="466">
        <v>9150</v>
      </c>
    </row>
    <row r="13" spans="1:14" x14ac:dyDescent="0.2">
      <c r="A13" s="1526" t="s">
        <v>747</v>
      </c>
      <c r="B13" s="615">
        <v>1400</v>
      </c>
      <c r="C13" s="466">
        <v>597750</v>
      </c>
      <c r="D13" s="466">
        <v>208138</v>
      </c>
      <c r="E13" s="466">
        <v>44184</v>
      </c>
      <c r="F13" s="466">
        <v>95906</v>
      </c>
      <c r="G13" s="466">
        <v>38394</v>
      </c>
      <c r="H13" s="466"/>
      <c r="I13" s="467">
        <v>55455</v>
      </c>
      <c r="J13" s="467"/>
      <c r="K13" s="1692">
        <f t="shared" si="0"/>
        <v>1039827</v>
      </c>
      <c r="L13" s="466">
        <v>999859</v>
      </c>
    </row>
    <row r="14" spans="1:14" x14ac:dyDescent="0.2">
      <c r="A14" s="1526" t="s">
        <v>1020</v>
      </c>
      <c r="B14" s="615">
        <v>1500</v>
      </c>
      <c r="C14" s="466"/>
      <c r="D14" s="466"/>
      <c r="E14" s="466"/>
      <c r="F14" s="466"/>
      <c r="G14" s="466"/>
      <c r="H14" s="466"/>
      <c r="I14" s="467"/>
      <c r="J14" s="467"/>
      <c r="K14" s="1692">
        <f t="shared" si="0"/>
        <v>0</v>
      </c>
      <c r="L14" s="466"/>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602177</v>
      </c>
      <c r="D33" s="1691">
        <f t="shared" ref="D33:L33" si="1">SUM(D5:D32)</f>
        <v>208721</v>
      </c>
      <c r="E33" s="1691">
        <f t="shared" si="1"/>
        <v>44653</v>
      </c>
      <c r="F33" s="1691">
        <f t="shared" si="1"/>
        <v>96174</v>
      </c>
      <c r="G33" s="1691">
        <f t="shared" si="1"/>
        <v>38394</v>
      </c>
      <c r="H33" s="1691">
        <f t="shared" si="1"/>
        <v>0</v>
      </c>
      <c r="I33" s="1691">
        <f t="shared" si="1"/>
        <v>55455</v>
      </c>
      <c r="J33" s="1691">
        <f t="shared" si="1"/>
        <v>0</v>
      </c>
      <c r="K33" s="1691">
        <f t="shared" si="1"/>
        <v>1045574</v>
      </c>
      <c r="L33" s="1691">
        <f t="shared" si="1"/>
        <v>1009009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v>42104</v>
      </c>
      <c r="D37" s="466">
        <v>8567</v>
      </c>
      <c r="E37" s="466">
        <v>25116</v>
      </c>
      <c r="F37" s="466">
        <v>1659</v>
      </c>
      <c r="G37" s="466"/>
      <c r="H37" s="466"/>
      <c r="I37" s="467"/>
      <c r="J37" s="467"/>
      <c r="K37" s="1692">
        <f t="shared" si="2"/>
        <v>77446</v>
      </c>
      <c r="L37" s="466">
        <v>79415</v>
      </c>
    </row>
    <row r="38" spans="1:14" x14ac:dyDescent="0.2">
      <c r="A38" s="1526" t="s">
        <v>207</v>
      </c>
      <c r="B38" s="615">
        <v>2130</v>
      </c>
      <c r="C38" s="466"/>
      <c r="D38" s="466"/>
      <c r="E38" s="466"/>
      <c r="F38" s="466"/>
      <c r="G38" s="466"/>
      <c r="H38" s="466"/>
      <c r="I38" s="467"/>
      <c r="J38" s="467"/>
      <c r="K38" s="1692">
        <f t="shared" si="2"/>
        <v>0</v>
      </c>
      <c r="L38" s="466"/>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42104</v>
      </c>
      <c r="D42" s="1691">
        <f t="shared" ref="D42:L42" si="3">SUM(D36:D41)</f>
        <v>8567</v>
      </c>
      <c r="E42" s="1691">
        <f t="shared" si="3"/>
        <v>25116</v>
      </c>
      <c r="F42" s="1691">
        <f t="shared" si="3"/>
        <v>1659</v>
      </c>
      <c r="G42" s="1691">
        <f t="shared" si="3"/>
        <v>0</v>
      </c>
      <c r="H42" s="1691">
        <f t="shared" si="3"/>
        <v>0</v>
      </c>
      <c r="I42" s="1691">
        <f t="shared" si="3"/>
        <v>0</v>
      </c>
      <c r="J42" s="1691">
        <f t="shared" si="3"/>
        <v>0</v>
      </c>
      <c r="K42" s="1691">
        <f t="shared" si="3"/>
        <v>77446</v>
      </c>
      <c r="L42" s="1691">
        <f t="shared" si="3"/>
        <v>79415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37778</v>
      </c>
      <c r="D44" s="481">
        <v>27532</v>
      </c>
      <c r="E44" s="481">
        <v>12350</v>
      </c>
      <c r="F44" s="481"/>
      <c r="G44" s="481"/>
      <c r="H44" s="481"/>
      <c r="I44" s="467"/>
      <c r="J44" s="467"/>
      <c r="K44" s="1693">
        <f>SUM(C44:J44)</f>
        <v>77660</v>
      </c>
      <c r="L44" s="481">
        <v>53321</v>
      </c>
    </row>
    <row r="45" spans="1:14" x14ac:dyDescent="0.2">
      <c r="A45" s="1526" t="s">
        <v>869</v>
      </c>
      <c r="B45" s="615">
        <v>2220</v>
      </c>
      <c r="C45" s="466"/>
      <c r="D45" s="466"/>
      <c r="E45" s="466"/>
      <c r="F45" s="466"/>
      <c r="G45" s="466"/>
      <c r="H45" s="466"/>
      <c r="I45" s="467"/>
      <c r="J45" s="467"/>
      <c r="K45" s="1693">
        <f>SUM(C45:J45)</f>
        <v>0</v>
      </c>
      <c r="L45" s="466"/>
    </row>
    <row r="46" spans="1:14" x14ac:dyDescent="0.2">
      <c r="A46" s="1526" t="s">
        <v>870</v>
      </c>
      <c r="B46" s="615">
        <v>2230</v>
      </c>
      <c r="C46" s="466"/>
      <c r="D46" s="466"/>
      <c r="E46" s="466"/>
      <c r="F46" s="466"/>
      <c r="G46" s="466"/>
      <c r="H46" s="466"/>
      <c r="I46" s="467"/>
      <c r="J46" s="467"/>
      <c r="K46" s="1693">
        <f>SUM(C46:J46)</f>
        <v>0</v>
      </c>
      <c r="L46" s="466">
        <v>3400</v>
      </c>
    </row>
    <row r="47" spans="1:14" ht="12.75" customHeight="1" thickBot="1" x14ac:dyDescent="0.25">
      <c r="A47" s="1689" t="s">
        <v>582</v>
      </c>
      <c r="B47" s="1690" t="s">
        <v>32</v>
      </c>
      <c r="C47" s="1691">
        <f>SUM(C44:C46)</f>
        <v>37778</v>
      </c>
      <c r="D47" s="1691">
        <f t="shared" ref="D47:K47" si="4">SUM(D44:D46)</f>
        <v>27532</v>
      </c>
      <c r="E47" s="1691">
        <f t="shared" si="4"/>
        <v>12350</v>
      </c>
      <c r="F47" s="1691">
        <f t="shared" si="4"/>
        <v>0</v>
      </c>
      <c r="G47" s="1691">
        <f t="shared" si="4"/>
        <v>0</v>
      </c>
      <c r="H47" s="1691">
        <f t="shared" si="4"/>
        <v>0</v>
      </c>
      <c r="I47" s="1691">
        <f t="shared" si="4"/>
        <v>0</v>
      </c>
      <c r="J47" s="1691">
        <f t="shared" si="4"/>
        <v>0</v>
      </c>
      <c r="K47" s="1691">
        <f t="shared" si="4"/>
        <v>77660</v>
      </c>
      <c r="L47" s="1691">
        <f>SUM(L44:L46)</f>
        <v>56721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46754</v>
      </c>
      <c r="D49" s="481">
        <v>4779</v>
      </c>
      <c r="E49" s="481">
        <v>86889</v>
      </c>
      <c r="F49" s="481">
        <v>547</v>
      </c>
      <c r="G49" s="481"/>
      <c r="H49" s="481">
        <v>1925</v>
      </c>
      <c r="I49" s="467"/>
      <c r="J49" s="467"/>
      <c r="K49" s="1693">
        <f>SUM(C49:J49)</f>
        <v>140894</v>
      </c>
      <c r="L49" s="481">
        <v>141174</v>
      </c>
    </row>
    <row r="50" spans="1:14" x14ac:dyDescent="0.2">
      <c r="A50" s="1526" t="s">
        <v>872</v>
      </c>
      <c r="B50" s="615">
        <v>2320</v>
      </c>
      <c r="C50" s="466"/>
      <c r="D50" s="466"/>
      <c r="E50" s="466"/>
      <c r="F50" s="466"/>
      <c r="G50" s="466"/>
      <c r="H50" s="466"/>
      <c r="I50" s="467"/>
      <c r="J50" s="467"/>
      <c r="K50" s="1693">
        <f>SUM(C50:J50)</f>
        <v>0</v>
      </c>
      <c r="L50" s="466"/>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46754</v>
      </c>
      <c r="D53" s="1691">
        <f t="shared" ref="D53:L53" si="5">SUM(D49:D52)</f>
        <v>4779</v>
      </c>
      <c r="E53" s="1691">
        <f t="shared" si="5"/>
        <v>86889</v>
      </c>
      <c r="F53" s="1691">
        <f t="shared" si="5"/>
        <v>547</v>
      </c>
      <c r="G53" s="1691">
        <f t="shared" si="5"/>
        <v>0</v>
      </c>
      <c r="H53" s="1691">
        <f t="shared" si="5"/>
        <v>1925</v>
      </c>
      <c r="I53" s="1691">
        <f t="shared" si="5"/>
        <v>0</v>
      </c>
      <c r="J53" s="1691">
        <f t="shared" si="5"/>
        <v>0</v>
      </c>
      <c r="K53" s="1691">
        <f t="shared" si="5"/>
        <v>140894</v>
      </c>
      <c r="L53" s="1691">
        <f t="shared" si="5"/>
        <v>141174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115094</v>
      </c>
      <c r="D55" s="481">
        <v>11435</v>
      </c>
      <c r="E55" s="481">
        <v>500</v>
      </c>
      <c r="F55" s="481">
        <v>1531</v>
      </c>
      <c r="G55" s="481">
        <v>42051</v>
      </c>
      <c r="H55" s="481">
        <v>775</v>
      </c>
      <c r="I55" s="467">
        <v>1690</v>
      </c>
      <c r="J55" s="467"/>
      <c r="K55" s="1693">
        <f>SUM(C55:J55)</f>
        <v>173076</v>
      </c>
      <c r="L55" s="481">
        <v>140906</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115094</v>
      </c>
      <c r="D57" s="1695">
        <f t="shared" ref="D57:K57" si="6">SUM(D55:D56)</f>
        <v>11435</v>
      </c>
      <c r="E57" s="1695">
        <f t="shared" si="6"/>
        <v>500</v>
      </c>
      <c r="F57" s="1695">
        <f t="shared" si="6"/>
        <v>1531</v>
      </c>
      <c r="G57" s="1695">
        <f t="shared" si="6"/>
        <v>42051</v>
      </c>
      <c r="H57" s="1695">
        <f t="shared" si="6"/>
        <v>775</v>
      </c>
      <c r="I57" s="1695">
        <f t="shared" si="6"/>
        <v>1690</v>
      </c>
      <c r="J57" s="1695">
        <f t="shared" si="6"/>
        <v>0</v>
      </c>
      <c r="K57" s="1695">
        <f t="shared" si="6"/>
        <v>173076</v>
      </c>
      <c r="L57" s="1691">
        <f>SUM(L55:L56)</f>
        <v>140906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v>1659</v>
      </c>
      <c r="F59" s="481"/>
      <c r="G59" s="481"/>
      <c r="H59" s="481"/>
      <c r="I59" s="467"/>
      <c r="J59" s="467"/>
      <c r="K59" s="1693">
        <f t="shared" ref="K59:K64" si="7">SUM(C59:J59)</f>
        <v>1659</v>
      </c>
      <c r="L59" s="481">
        <v>2300</v>
      </c>
      <c r="M59" s="610"/>
      <c r="N59" s="610"/>
    </row>
    <row r="60" spans="1:14" s="343" customFormat="1" x14ac:dyDescent="0.2">
      <c r="A60" s="1526" t="s">
        <v>483</v>
      </c>
      <c r="B60" s="615">
        <v>2520</v>
      </c>
      <c r="C60" s="466"/>
      <c r="D60" s="466"/>
      <c r="E60" s="466"/>
      <c r="F60" s="466"/>
      <c r="G60" s="466"/>
      <c r="H60" s="466"/>
      <c r="I60" s="467"/>
      <c r="J60" s="467"/>
      <c r="K60" s="1693">
        <f t="shared" si="7"/>
        <v>0</v>
      </c>
      <c r="L60" s="466"/>
      <c r="M60" s="610"/>
      <c r="N60" s="610"/>
    </row>
    <row r="61" spans="1:14" s="343" customFormat="1" x14ac:dyDescent="0.2">
      <c r="A61" s="1526" t="s">
        <v>206</v>
      </c>
      <c r="B61" s="615">
        <v>2540</v>
      </c>
      <c r="C61" s="466"/>
      <c r="D61" s="466"/>
      <c r="E61" s="466"/>
      <c r="F61" s="466"/>
      <c r="G61" s="466"/>
      <c r="H61" s="466"/>
      <c r="I61" s="467"/>
      <c r="J61" s="467"/>
      <c r="K61" s="1693">
        <f t="shared" si="7"/>
        <v>0</v>
      </c>
      <c r="L61" s="466"/>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c r="D63" s="466"/>
      <c r="E63" s="466"/>
      <c r="F63" s="466"/>
      <c r="G63" s="466"/>
      <c r="H63" s="466"/>
      <c r="I63" s="467"/>
      <c r="J63" s="467"/>
      <c r="K63" s="1693">
        <f t="shared" si="7"/>
        <v>0</v>
      </c>
      <c r="L63" s="466"/>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0</v>
      </c>
      <c r="D65" s="1691">
        <f t="shared" ref="D65:L65" si="8">SUM(D59:D64)</f>
        <v>0</v>
      </c>
      <c r="E65" s="1691">
        <f t="shared" si="8"/>
        <v>1659</v>
      </c>
      <c r="F65" s="1691">
        <f t="shared" si="8"/>
        <v>0</v>
      </c>
      <c r="G65" s="1691">
        <f t="shared" si="8"/>
        <v>0</v>
      </c>
      <c r="H65" s="1691">
        <f t="shared" si="8"/>
        <v>0</v>
      </c>
      <c r="I65" s="1691">
        <f t="shared" si="8"/>
        <v>0</v>
      </c>
      <c r="J65" s="1691">
        <f t="shared" si="8"/>
        <v>0</v>
      </c>
      <c r="K65" s="1691">
        <f t="shared" si="8"/>
        <v>1659</v>
      </c>
      <c r="L65" s="1691">
        <f t="shared" si="8"/>
        <v>2300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241730</v>
      </c>
      <c r="D74" s="1698">
        <f t="shared" ref="D74:K74" si="10">SUM(D42,D47,D53,D57,D65,D72,D73)</f>
        <v>52313</v>
      </c>
      <c r="E74" s="1698">
        <f t="shared" si="10"/>
        <v>126514</v>
      </c>
      <c r="F74" s="1698">
        <f t="shared" si="10"/>
        <v>3737</v>
      </c>
      <c r="G74" s="1698">
        <f t="shared" si="10"/>
        <v>42051</v>
      </c>
      <c r="H74" s="1698">
        <f t="shared" si="10"/>
        <v>2700</v>
      </c>
      <c r="I74" s="1698">
        <f t="shared" si="10"/>
        <v>1690</v>
      </c>
      <c r="J74" s="1698">
        <f t="shared" si="10"/>
        <v>0</v>
      </c>
      <c r="K74" s="1698">
        <f t="shared" si="10"/>
        <v>470735</v>
      </c>
      <c r="L74" s="1698">
        <f>SUM(L42,L47,L53,L57,L65,L72,L73)</f>
        <v>420516</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c r="F79" s="617"/>
      <c r="G79" s="617"/>
      <c r="H79" s="466"/>
      <c r="I79" s="477"/>
      <c r="J79" s="477"/>
      <c r="K79" s="1692">
        <f t="shared" si="11"/>
        <v>0</v>
      </c>
      <c r="L79" s="466"/>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v>100236</v>
      </c>
      <c r="I81" s="477"/>
      <c r="J81" s="477"/>
      <c r="K81" s="1692">
        <f t="shared" si="11"/>
        <v>100236</v>
      </c>
      <c r="L81" s="466">
        <v>188603</v>
      </c>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v>34800</v>
      </c>
      <c r="F83" s="617"/>
      <c r="G83" s="617"/>
      <c r="H83" s="466"/>
      <c r="I83" s="477"/>
      <c r="J83" s="477"/>
      <c r="K83" s="1692">
        <f t="shared" si="11"/>
        <v>34800</v>
      </c>
      <c r="L83" s="466">
        <v>29770</v>
      </c>
    </row>
    <row r="84" spans="1:12" ht="13.5" thickBot="1" x14ac:dyDescent="0.25">
      <c r="A84" s="1689" t="s">
        <v>1565</v>
      </c>
      <c r="B84" s="1699">
        <v>4100</v>
      </c>
      <c r="C84" s="617"/>
      <c r="D84" s="617"/>
      <c r="E84" s="1691">
        <f>SUM(E78:E83)</f>
        <v>34800</v>
      </c>
      <c r="F84" s="617"/>
      <c r="G84" s="617"/>
      <c r="H84" s="1691">
        <f>SUM(H78:H83)</f>
        <v>100236</v>
      </c>
      <c r="I84" s="477"/>
      <c r="J84" s="477"/>
      <c r="K84" s="1691">
        <f>SUM(K78:K83)</f>
        <v>135036</v>
      </c>
      <c r="L84" s="1691">
        <f>SUM(L78:L83)</f>
        <v>218373</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c r="I86" s="477"/>
      <c r="J86" s="477"/>
      <c r="K86" s="1698">
        <f t="shared" ref="K86:K98" si="12">H86</f>
        <v>0</v>
      </c>
      <c r="L86" s="530"/>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34800</v>
      </c>
      <c r="F102" s="617"/>
      <c r="G102" s="617"/>
      <c r="H102" s="1698">
        <f>SUM(H84,H92,H100,H101)</f>
        <v>100236</v>
      </c>
      <c r="I102" s="477"/>
      <c r="J102" s="477"/>
      <c r="K102" s="1698">
        <f>SUM(K84,K92,K100,K101)</f>
        <v>135036</v>
      </c>
      <c r="L102" s="1698">
        <f>SUM(L84,L92,L100,L101)</f>
        <v>218373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843907</v>
      </c>
      <c r="D114" s="1691">
        <f t="shared" ref="D114:K114" si="13">SUM(D33,D74,D75,D102,D112,D113)</f>
        <v>261034</v>
      </c>
      <c r="E114" s="1691">
        <f t="shared" si="13"/>
        <v>205967</v>
      </c>
      <c r="F114" s="1691">
        <f t="shared" si="13"/>
        <v>99911</v>
      </c>
      <c r="G114" s="1691">
        <f t="shared" si="13"/>
        <v>80445</v>
      </c>
      <c r="H114" s="1691">
        <f>SUM(H33,H74,H75,H102,H112,H113)</f>
        <v>102936</v>
      </c>
      <c r="I114" s="1691">
        <f t="shared" si="13"/>
        <v>57145</v>
      </c>
      <c r="J114" s="1691">
        <f t="shared" si="13"/>
        <v>0</v>
      </c>
      <c r="K114" s="1691">
        <f t="shared" si="13"/>
        <v>1651345</v>
      </c>
      <c r="L114" s="1691">
        <f>SUM(L33,L74,L75,L102,L112,L113)</f>
        <v>1647898</v>
      </c>
    </row>
    <row r="115" spans="1:14" ht="13.5" thickTop="1" x14ac:dyDescent="0.2">
      <c r="A115" s="2199" t="s">
        <v>1053</v>
      </c>
      <c r="B115" s="2200"/>
      <c r="C115" s="619"/>
      <c r="D115" s="619"/>
      <c r="E115" s="619"/>
      <c r="F115" s="619"/>
      <c r="G115" s="619"/>
      <c r="H115" s="619"/>
      <c r="I115" s="619"/>
      <c r="J115" s="619"/>
      <c r="K115" s="1705">
        <f>'Revenues 9-14'!C275-'Expenditures 15-22'!K114</f>
        <v>16448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v>480</v>
      </c>
      <c r="F123" s="466"/>
      <c r="G123" s="466"/>
      <c r="H123" s="466"/>
      <c r="I123" s="467"/>
      <c r="J123" s="467"/>
      <c r="K123" s="1691">
        <f>SUM(C123:J123)</f>
        <v>480</v>
      </c>
      <c r="L123" s="466">
        <v>2500</v>
      </c>
    </row>
    <row r="124" spans="1:14" ht="14.25" thickTop="1" thickBot="1" x14ac:dyDescent="0.25">
      <c r="A124" s="1526" t="s">
        <v>206</v>
      </c>
      <c r="B124" s="615">
        <v>2540</v>
      </c>
      <c r="C124" s="466">
        <v>59061</v>
      </c>
      <c r="D124" s="466">
        <v>20892</v>
      </c>
      <c r="E124" s="466">
        <v>71926</v>
      </c>
      <c r="F124" s="466">
        <v>21884</v>
      </c>
      <c r="G124" s="466">
        <v>79599</v>
      </c>
      <c r="H124" s="466"/>
      <c r="I124" s="467">
        <v>2176</v>
      </c>
      <c r="J124" s="467"/>
      <c r="K124" s="1691">
        <f>SUM(C124:J124)</f>
        <v>255538</v>
      </c>
      <c r="L124" s="466">
        <v>598450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59061</v>
      </c>
      <c r="D127" s="1691">
        <f t="shared" ref="D127:L127" si="14">SUM(D122:D126)</f>
        <v>20892</v>
      </c>
      <c r="E127" s="1691">
        <f t="shared" si="14"/>
        <v>72406</v>
      </c>
      <c r="F127" s="1691">
        <f t="shared" si="14"/>
        <v>21884</v>
      </c>
      <c r="G127" s="1691">
        <f t="shared" si="14"/>
        <v>79599</v>
      </c>
      <c r="H127" s="1691">
        <f t="shared" si="14"/>
        <v>0</v>
      </c>
      <c r="I127" s="1691">
        <f t="shared" si="14"/>
        <v>2176</v>
      </c>
      <c r="J127" s="1691">
        <f t="shared" si="14"/>
        <v>0</v>
      </c>
      <c r="K127" s="1691">
        <f t="shared" si="14"/>
        <v>256018</v>
      </c>
      <c r="L127" s="1691">
        <f t="shared" si="14"/>
        <v>600950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59061</v>
      </c>
      <c r="D129" s="1698">
        <f t="shared" ref="D129:L129" si="15">SUM(D120,D127,D128)</f>
        <v>20892</v>
      </c>
      <c r="E129" s="1698">
        <f t="shared" si="15"/>
        <v>72406</v>
      </c>
      <c r="F129" s="1698">
        <f t="shared" si="15"/>
        <v>21884</v>
      </c>
      <c r="G129" s="1698">
        <f t="shared" si="15"/>
        <v>79599</v>
      </c>
      <c r="H129" s="1698">
        <f t="shared" si="15"/>
        <v>0</v>
      </c>
      <c r="I129" s="1698">
        <f t="shared" si="15"/>
        <v>2176</v>
      </c>
      <c r="J129" s="1698">
        <f t="shared" si="15"/>
        <v>0</v>
      </c>
      <c r="K129" s="1698">
        <f t="shared" si="15"/>
        <v>256018</v>
      </c>
      <c r="L129" s="1698">
        <f t="shared" si="15"/>
        <v>600950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1956</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1">
        <f>SUM(C129,C130,C139,C149,C150)</f>
        <v>59061</v>
      </c>
      <c r="D151" s="1691">
        <f t="shared" ref="D151:K151" si="16">SUM(D129,D130,D139,D149,D150)</f>
        <v>20892</v>
      </c>
      <c r="E151" s="1691">
        <f t="shared" si="16"/>
        <v>72406</v>
      </c>
      <c r="F151" s="1691">
        <f t="shared" si="16"/>
        <v>21884</v>
      </c>
      <c r="G151" s="1691">
        <f t="shared" si="16"/>
        <v>79599</v>
      </c>
      <c r="H151" s="1691">
        <f t="shared" si="16"/>
        <v>0</v>
      </c>
      <c r="I151" s="1691">
        <f t="shared" si="16"/>
        <v>2176</v>
      </c>
      <c r="J151" s="1691">
        <f t="shared" si="16"/>
        <v>0</v>
      </c>
      <c r="K151" s="1691">
        <f t="shared" si="16"/>
        <v>256018</v>
      </c>
      <c r="L151" s="1691">
        <f>SUM(L129,L130,L139,L149,L150)</f>
        <v>600950</v>
      </c>
    </row>
    <row r="152" spans="1:14" ht="12.75" customHeight="1" thickTop="1" x14ac:dyDescent="0.2">
      <c r="A152" s="2192" t="s">
        <v>1240</v>
      </c>
      <c r="B152" s="2193"/>
      <c r="C152" s="619"/>
      <c r="D152" s="619"/>
      <c r="E152" s="619"/>
      <c r="F152" s="619"/>
      <c r="G152" s="619"/>
      <c r="H152" s="619"/>
      <c r="I152" s="619"/>
      <c r="J152" s="617"/>
      <c r="K152" s="1705">
        <f>'Revenues 9-14'!D275-'Expenditures 15-22'!K151</f>
        <v>237126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1957</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1956</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1958</v>
      </c>
      <c r="C158" s="617"/>
      <c r="D158" s="617"/>
      <c r="E158" s="617"/>
      <c r="F158" s="617"/>
      <c r="G158" s="617"/>
      <c r="H158" s="467"/>
      <c r="I158" s="617"/>
      <c r="J158" s="617"/>
      <c r="K158" s="1692">
        <f>H158</f>
        <v>0</v>
      </c>
      <c r="L158" s="467"/>
      <c r="M158" s="620"/>
      <c r="N158" s="620"/>
    </row>
    <row r="159" spans="1:14" s="621" customFormat="1" ht="12" x14ac:dyDescent="0.2">
      <c r="A159" s="1848" t="s">
        <v>1959</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1960</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99" t="s">
        <v>1053</v>
      </c>
      <c r="B175" s="2200"/>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2613</v>
      </c>
      <c r="D182" s="466">
        <v>419</v>
      </c>
      <c r="E182" s="466">
        <v>50</v>
      </c>
      <c r="F182" s="466">
        <v>897</v>
      </c>
      <c r="G182" s="466"/>
      <c r="H182" s="466"/>
      <c r="I182" s="467">
        <v>2499</v>
      </c>
      <c r="J182" s="467"/>
      <c r="K182" s="1692">
        <f>SUM(C182:J182)</f>
        <v>6478</v>
      </c>
      <c r="L182" s="466">
        <v>8074</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2613</v>
      </c>
      <c r="D184" s="1698">
        <f t="shared" ref="D184:J184" si="17">SUM(D180,D182,D183)</f>
        <v>419</v>
      </c>
      <c r="E184" s="1698">
        <f t="shared" si="17"/>
        <v>50</v>
      </c>
      <c r="F184" s="1698">
        <f t="shared" si="17"/>
        <v>897</v>
      </c>
      <c r="G184" s="1698">
        <f t="shared" si="17"/>
        <v>0</v>
      </c>
      <c r="H184" s="1698">
        <f t="shared" si="17"/>
        <v>0</v>
      </c>
      <c r="I184" s="1698">
        <f t="shared" si="17"/>
        <v>2499</v>
      </c>
      <c r="J184" s="1698">
        <f t="shared" si="17"/>
        <v>0</v>
      </c>
      <c r="K184" s="1698">
        <f>SUM(K180,K182,K183)</f>
        <v>6478</v>
      </c>
      <c r="L184" s="1698">
        <f>SUM(L180, L182:L183)</f>
        <v>8074</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2613</v>
      </c>
      <c r="D210" s="1691">
        <f>SUM(D184,D185)</f>
        <v>419</v>
      </c>
      <c r="E210" s="1691">
        <f>SUM(E184,E185,E196)</f>
        <v>50</v>
      </c>
      <c r="F210" s="1691">
        <f>SUM(F184,F185)</f>
        <v>897</v>
      </c>
      <c r="G210" s="1691">
        <f>SUM(G184,G185)</f>
        <v>0</v>
      </c>
      <c r="H210" s="1691">
        <f>SUM(H184,H185,H196,H208,H209)</f>
        <v>0</v>
      </c>
      <c r="I210" s="1691">
        <f>SUM(I184,I185)</f>
        <v>2499</v>
      </c>
      <c r="J210" s="1691">
        <f>SUM(J184,J185)</f>
        <v>0</v>
      </c>
      <c r="K210" s="1692">
        <f>SUM(K184,K185,K196,K208,K209)</f>
        <v>6478</v>
      </c>
      <c r="L210" s="1691">
        <f>SUM(L184,L185,L196,L208,L209)</f>
        <v>8074</v>
      </c>
    </row>
    <row r="211" spans="1:14" ht="13.5" thickTop="1" x14ac:dyDescent="0.2">
      <c r="A211" s="2199" t="s">
        <v>1053</v>
      </c>
      <c r="B211" s="2200"/>
      <c r="C211" s="619"/>
      <c r="D211" s="619"/>
      <c r="E211" s="619"/>
      <c r="F211" s="619"/>
      <c r="G211" s="619"/>
      <c r="H211" s="619"/>
      <c r="I211" s="617"/>
      <c r="J211" s="617"/>
      <c r="K211" s="1705">
        <f>'Revenues 9-14'!F275-'Expenditures 15-22'!K210</f>
        <v>6255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2">
        <f>D215</f>
        <v>0</v>
      </c>
      <c r="L215" s="466"/>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c r="E217" s="617"/>
      <c r="F217" s="617"/>
      <c r="G217" s="617"/>
      <c r="H217" s="617"/>
      <c r="I217" s="617"/>
      <c r="J217" s="617"/>
      <c r="K217" s="1692">
        <f t="shared" si="19"/>
        <v>0</v>
      </c>
      <c r="L217" s="466"/>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c r="E219" s="617"/>
      <c r="F219" s="617"/>
      <c r="G219" s="617"/>
      <c r="H219" s="617"/>
      <c r="I219" s="617"/>
      <c r="J219" s="617"/>
      <c r="K219" s="1692">
        <f t="shared" si="19"/>
        <v>0</v>
      </c>
      <c r="L219" s="466"/>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c r="E223" s="617"/>
      <c r="F223" s="617"/>
      <c r="G223" s="617"/>
      <c r="H223" s="617"/>
      <c r="I223" s="617"/>
      <c r="J223" s="617"/>
      <c r="K223" s="1692">
        <f t="shared" si="19"/>
        <v>0</v>
      </c>
      <c r="L223" s="466"/>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0</v>
      </c>
      <c r="E229" s="617"/>
      <c r="F229" s="617"/>
      <c r="G229" s="617"/>
      <c r="H229" s="617"/>
      <c r="I229" s="617"/>
      <c r="J229" s="617"/>
      <c r="K229" s="1691">
        <f>SUM(K215:K228)</f>
        <v>0</v>
      </c>
      <c r="L229" s="1691">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c r="E234" s="617"/>
      <c r="F234" s="617"/>
      <c r="G234" s="617"/>
      <c r="H234" s="617"/>
      <c r="I234" s="617"/>
      <c r="J234" s="617"/>
      <c r="K234" s="1692">
        <f t="shared" si="20"/>
        <v>0</v>
      </c>
      <c r="L234" s="466"/>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row>
    <row r="246" spans="1:12" x14ac:dyDescent="0.2">
      <c r="A246" s="1526" t="s">
        <v>872</v>
      </c>
      <c r="B246" s="615">
        <v>2320</v>
      </c>
      <c r="C246" s="617"/>
      <c r="D246" s="466"/>
      <c r="E246" s="617"/>
      <c r="F246" s="617"/>
      <c r="G246" s="617"/>
      <c r="H246" s="617"/>
      <c r="I246" s="617"/>
      <c r="J246" s="617"/>
      <c r="K246" s="1693">
        <f t="shared" ref="K246:K256" si="21">D246</f>
        <v>0</v>
      </c>
      <c r="L246" s="466"/>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0</v>
      </c>
      <c r="E257" s="617"/>
      <c r="F257" s="617"/>
      <c r="G257" s="617"/>
      <c r="H257" s="617"/>
      <c r="I257" s="617"/>
      <c r="J257" s="617"/>
      <c r="K257" s="1691">
        <f>SUM(K245:K256)</f>
        <v>0</v>
      </c>
      <c r="L257" s="169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3">
        <f>D259</f>
        <v>0</v>
      </c>
      <c r="L259" s="481"/>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c r="E264" s="617"/>
      <c r="F264" s="617"/>
      <c r="G264" s="617"/>
      <c r="H264" s="617"/>
      <c r="I264" s="617"/>
      <c r="J264" s="617"/>
      <c r="K264" s="1693">
        <f t="shared" ref="K264:K269" si="22">D264</f>
        <v>0</v>
      </c>
      <c r="L264" s="466"/>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c r="E266" s="617"/>
      <c r="F266" s="617"/>
      <c r="G266" s="617"/>
      <c r="H266" s="617"/>
      <c r="I266" s="617"/>
      <c r="J266" s="617"/>
      <c r="K266" s="1693">
        <f t="shared" si="22"/>
        <v>0</v>
      </c>
      <c r="L266" s="466"/>
    </row>
    <row r="267" spans="1:14" x14ac:dyDescent="0.2">
      <c r="A267" s="1526" t="s">
        <v>1010</v>
      </c>
      <c r="B267" s="615">
        <v>2550</v>
      </c>
      <c r="C267" s="617"/>
      <c r="D267" s="466"/>
      <c r="E267" s="617"/>
      <c r="F267" s="617"/>
      <c r="G267" s="617"/>
      <c r="H267" s="617"/>
      <c r="I267" s="617"/>
      <c r="J267" s="617"/>
      <c r="K267" s="1693">
        <f t="shared" si="22"/>
        <v>0</v>
      </c>
      <c r="L267" s="466"/>
    </row>
    <row r="268" spans="1:14" x14ac:dyDescent="0.2">
      <c r="A268" s="1526" t="s">
        <v>102</v>
      </c>
      <c r="B268" s="615">
        <v>2560</v>
      </c>
      <c r="C268" s="617"/>
      <c r="D268" s="466"/>
      <c r="E268" s="617"/>
      <c r="F268" s="617"/>
      <c r="G268" s="617"/>
      <c r="H268" s="617"/>
      <c r="I268" s="617"/>
      <c r="J268" s="617"/>
      <c r="K268" s="1693">
        <f t="shared" si="22"/>
        <v>0</v>
      </c>
      <c r="L268" s="466"/>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0</v>
      </c>
      <c r="E270" s="617"/>
      <c r="F270" s="617"/>
      <c r="G270" s="617"/>
      <c r="H270" s="617"/>
      <c r="I270" s="617"/>
      <c r="J270" s="617"/>
      <c r="K270" s="1691">
        <f>SUM(K263:K269)</f>
        <v>0</v>
      </c>
      <c r="L270" s="169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0</v>
      </c>
      <c r="E279" s="617"/>
      <c r="F279" s="617"/>
      <c r="G279" s="617"/>
      <c r="H279" s="617"/>
      <c r="I279" s="617"/>
      <c r="J279" s="617"/>
      <c r="K279" s="1698">
        <f>SUM(K238,K243,K257,K261,K270,K277,K278)</f>
        <v>0</v>
      </c>
      <c r="L279" s="1698">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1956</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1">
        <f>SUM(D229,D279,D280,D285)</f>
        <v>0</v>
      </c>
      <c r="E295" s="617"/>
      <c r="F295" s="617"/>
      <c r="G295" s="617"/>
      <c r="H295" s="1691">
        <f>H293</f>
        <v>0</v>
      </c>
      <c r="I295" s="617"/>
      <c r="J295" s="617"/>
      <c r="K295" s="1691">
        <f>SUM(K229,K279,K280,K285,K293,K294)</f>
        <v>0</v>
      </c>
      <c r="L295" s="1691">
        <f>SUM(L229,L279,L280,L285,L293,L294)</f>
        <v>0</v>
      </c>
    </row>
    <row r="296" spans="1:14" ht="13.5" thickTop="1" x14ac:dyDescent="0.2">
      <c r="A296" s="2199" t="s">
        <v>1053</v>
      </c>
      <c r="B296" s="2200"/>
      <c r="C296" s="617"/>
      <c r="D296" s="619"/>
      <c r="E296" s="617"/>
      <c r="F296" s="617"/>
      <c r="G296" s="617"/>
      <c r="H296" s="688"/>
      <c r="I296" s="617"/>
      <c r="J296" s="617"/>
      <c r="K296" s="170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3" t="s">
        <v>1053</v>
      </c>
      <c r="B313" s="2184"/>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1962</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1956</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1958</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1963</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85" t="s">
        <v>1053</v>
      </c>
      <c r="B343" s="2186"/>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1964</v>
      </c>
      <c r="B354" s="684" t="s">
        <v>1956</v>
      </c>
      <c r="C354" s="617"/>
      <c r="D354" s="617"/>
      <c r="E354" s="617"/>
      <c r="F354" s="617"/>
      <c r="G354" s="617"/>
      <c r="H354" s="474"/>
      <c r="I354" s="702"/>
      <c r="J354" s="617"/>
      <c r="K354" s="1720">
        <f>H354</f>
        <v>0</v>
      </c>
      <c r="L354" s="471"/>
    </row>
    <row r="355" spans="1:14" ht="12.75" customHeight="1" x14ac:dyDescent="0.2">
      <c r="A355" s="1535" t="s">
        <v>1965</v>
      </c>
      <c r="B355" s="691" t="s">
        <v>1958</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99" t="s">
        <v>1053</v>
      </c>
      <c r="B368" s="2200"/>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BUDGET TO ACTUAL
FOR THE YEAR ENDING JUNE 30, 2018&amp;R&amp;8Page &amp;P</oddHeader>
    <oddFooter>&amp;L&amp;8Print Date: &amp;D
&amp;F&amp;CSee Accompanying Notes to Financial Statements.</oddFooter>
  </headerFooter>
  <rowBreaks count="5" manualBreakCount="5">
    <brk id="53" max="16383" man="1"/>
    <brk id="153" max="16383" man="1"/>
    <brk id="196" max="16383" man="1"/>
    <brk id="297" max="16383" man="1"/>
    <brk id="344" max="16383" man="1"/>
  </rowBreak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zoomScalePageLayoutView="110" workbookViewId="0">
      <selection sqref="A1:F1"/>
    </sheetView>
  </sheetViews>
  <sheetFormatPr defaultColWidth="8.8554687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8.85546875" style="329"/>
  </cols>
  <sheetData>
    <row r="1" spans="1:6" ht="33.75" customHeight="1" x14ac:dyDescent="0.2">
      <c r="A1" s="1907"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0">
        <f>'Revenues 9-14'!C5</f>
        <v>0</v>
      </c>
      <c r="C4" s="1546"/>
      <c r="D4" s="1773">
        <f>B4-C4</f>
        <v>0</v>
      </c>
      <c r="E4" s="1546"/>
      <c r="F4" s="1773">
        <f>E4-C4</f>
        <v>0</v>
      </c>
    </row>
    <row r="5" spans="1:6" ht="13.7" customHeight="1" x14ac:dyDescent="0.2">
      <c r="A5" s="716" t="s">
        <v>925</v>
      </c>
      <c r="B5" s="1771">
        <f>'Revenues 9-14'!D5</f>
        <v>0</v>
      </c>
      <c r="C5" s="585"/>
      <c r="D5" s="1774">
        <f t="shared" ref="D5:D18" si="0">B5-C5</f>
        <v>0</v>
      </c>
      <c r="E5" s="585"/>
      <c r="F5" s="1774">
        <f>E5-C5</f>
        <v>0</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0</v>
      </c>
      <c r="C7" s="585"/>
      <c r="D7" s="1774">
        <f t="shared" si="0"/>
        <v>0</v>
      </c>
      <c r="E7" s="585"/>
      <c r="F7" s="1774">
        <f t="shared" si="1"/>
        <v>0</v>
      </c>
    </row>
    <row r="8" spans="1:6" ht="13.7" customHeight="1" x14ac:dyDescent="0.2">
      <c r="A8" s="716" t="s">
        <v>1241</v>
      </c>
      <c r="B8" s="1771">
        <f>'Revenues 9-14'!G5</f>
        <v>0</v>
      </c>
      <c r="C8" s="585"/>
      <c r="D8" s="1774">
        <f t="shared" si="0"/>
        <v>0</v>
      </c>
      <c r="E8" s="585"/>
      <c r="F8" s="1774">
        <f t="shared" si="1"/>
        <v>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0</v>
      </c>
      <c r="C16" s="585"/>
      <c r="D16" s="1774">
        <f t="shared" si="0"/>
        <v>0</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0</v>
      </c>
      <c r="C19" s="1772">
        <f>SUM(C4:C18)</f>
        <v>0</v>
      </c>
      <c r="D19" s="1772">
        <f>SUM(D4:D18)</f>
        <v>0</v>
      </c>
      <c r="E19" s="1772">
        <f>SUM(E4:E18)</f>
        <v>0</v>
      </c>
      <c r="F19" s="1772">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zoomScalePageLayoutView="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8" t="s">
        <v>2036</v>
      </c>
      <c r="D2" s="724" t="s">
        <v>2043</v>
      </c>
      <c r="E2" s="724" t="s">
        <v>2044</v>
      </c>
      <c r="F2" s="1908"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6">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5" t="s">
        <v>652</v>
      </c>
      <c r="B15" s="2206"/>
      <c r="C15" s="1776">
        <f>SUM(C6:C14)</f>
        <v>0</v>
      </c>
      <c r="D15" s="1776">
        <f>SUM(D6:D14)</f>
        <v>0</v>
      </c>
      <c r="E15" s="1776">
        <f>SUM(E6:E14)</f>
        <v>0</v>
      </c>
      <c r="F15" s="1776">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6">
        <f>SUM(C17+D17)-E17</f>
        <v>0</v>
      </c>
    </row>
    <row r="18" spans="1:11" ht="12.75" customHeight="1" thickTop="1" thickBot="1" x14ac:dyDescent="0.25">
      <c r="A18" s="2228" t="s">
        <v>6</v>
      </c>
      <c r="B18" s="2229"/>
      <c r="C18" s="727"/>
      <c r="D18" s="585"/>
      <c r="E18" s="727"/>
      <c r="F18" s="1776">
        <f>SUM(C18+D18)-E18</f>
        <v>0</v>
      </c>
    </row>
    <row r="19" spans="1:11" ht="12.75" customHeight="1" thickTop="1" thickBot="1" x14ac:dyDescent="0.25">
      <c r="A19" s="2228" t="s">
        <v>406</v>
      </c>
      <c r="B19" s="2229"/>
      <c r="C19" s="727"/>
      <c r="D19" s="585"/>
      <c r="E19" s="727"/>
      <c r="F19" s="1776">
        <f>SUM(C19+D19)-E19</f>
        <v>0</v>
      </c>
    </row>
    <row r="20" spans="1:11" ht="12.75" customHeight="1" thickTop="1" thickBot="1" x14ac:dyDescent="0.25">
      <c r="A20" s="2228" t="s">
        <v>468</v>
      </c>
      <c r="B20" s="2229"/>
      <c r="C20" s="727"/>
      <c r="D20" s="585"/>
      <c r="E20" s="727"/>
      <c r="F20" s="1776">
        <f>SUM(C20+D20)-E20</f>
        <v>0</v>
      </c>
    </row>
    <row r="21" spans="1:11" ht="14.25" thickTop="1" thickBot="1" x14ac:dyDescent="0.25">
      <c r="A21" s="2205" t="s">
        <v>653</v>
      </c>
      <c r="B21" s="2206"/>
      <c r="C21" s="1776">
        <f>SUM(C17:C20)</f>
        <v>0</v>
      </c>
      <c r="D21" s="1776">
        <f>SUM(D17:D20)</f>
        <v>0</v>
      </c>
      <c r="E21" s="1776">
        <f>SUM(E17:E20)</f>
        <v>0</v>
      </c>
      <c r="F21" s="1776">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6">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6">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6">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zoomScalePageLayoutView="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42578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8"/>
      <c r="G12" s="1779">
        <f>SUM(G5:G11)</f>
        <v>0</v>
      </c>
      <c r="H12" s="1779">
        <f>SUM(H5:H11)</f>
        <v>0</v>
      </c>
      <c r="I12" s="1779">
        <f>SUM(I5:I11)</f>
        <v>0</v>
      </c>
      <c r="J12" s="1779">
        <f>SUM(J5:J11)</f>
        <v>0</v>
      </c>
      <c r="K12" s="1779">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0"/>
      <c r="G21" s="793"/>
      <c r="H21" s="797"/>
      <c r="I21" s="797"/>
      <c r="J21" s="1781">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2"/>
      <c r="G23" s="1779">
        <f>SUM(G14:G16,G21,G22)</f>
        <v>0</v>
      </c>
      <c r="H23" s="1779">
        <f>SUM(H14:H16,H21,H22)</f>
        <v>0</v>
      </c>
      <c r="I23" s="1779">
        <f>SUM(I14:I16,I21,I22)</f>
        <v>0</v>
      </c>
      <c r="J23" s="1779">
        <f>SUM(J14:J16,J21,J22)</f>
        <v>0</v>
      </c>
      <c r="K23" s="1779">
        <f>SUM(K14:K16,K21,K22)</f>
        <v>0</v>
      </c>
    </row>
    <row r="24" spans="1:11" ht="14.25" thickTop="1" thickBot="1" x14ac:dyDescent="0.25">
      <c r="A24" s="2253" t="s">
        <v>2024</v>
      </c>
      <c r="B24" s="2252"/>
      <c r="C24" s="2252"/>
      <c r="D24" s="2252"/>
      <c r="E24" s="2252"/>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2101</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zoomScalePageLayoutView="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42578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1">
        <f>(C5+D5)-E5</f>
        <v>0</v>
      </c>
      <c r="G5" s="838"/>
      <c r="H5" s="843"/>
      <c r="I5" s="843"/>
      <c r="J5" s="843"/>
      <c r="K5" s="794"/>
      <c r="L5" s="1790">
        <f>F5-K5</f>
        <v>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2183315</v>
      </c>
      <c r="D8" s="845">
        <v>444530</v>
      </c>
      <c r="E8" s="845">
        <v>10937</v>
      </c>
      <c r="F8" s="1781">
        <f>(C8+D8)-E8</f>
        <v>2616908</v>
      </c>
      <c r="G8" s="844">
        <v>50</v>
      </c>
      <c r="H8" s="766">
        <v>1321257</v>
      </c>
      <c r="I8" s="766">
        <v>50116</v>
      </c>
      <c r="J8" s="766">
        <v>10937</v>
      </c>
      <c r="K8" s="1790">
        <f>(H8+I8)-J8</f>
        <v>1360436</v>
      </c>
      <c r="L8" s="1790">
        <f>F8-K8</f>
        <v>1256472</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c r="E10" s="847"/>
      <c r="F10" s="1785">
        <f>(C10+D10)-E10</f>
        <v>0</v>
      </c>
      <c r="G10" s="844">
        <v>20</v>
      </c>
      <c r="H10" s="848"/>
      <c r="I10" s="848"/>
      <c r="J10" s="848"/>
      <c r="K10" s="1790">
        <f>(H10+I10)-J10</f>
        <v>0</v>
      </c>
      <c r="L10" s="1790">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177287</v>
      </c>
      <c r="D12" s="845">
        <f>60945+19500</f>
        <v>80445</v>
      </c>
      <c r="E12" s="845">
        <v>9875</v>
      </c>
      <c r="F12" s="1781">
        <f>(C12+D12)-E12</f>
        <v>247857</v>
      </c>
      <c r="G12" s="844">
        <v>10</v>
      </c>
      <c r="H12" s="766">
        <v>57794</v>
      </c>
      <c r="I12" s="766">
        <v>15040</v>
      </c>
      <c r="J12" s="766">
        <v>9875</v>
      </c>
      <c r="K12" s="1790">
        <f>(H12+I12)-J12</f>
        <v>62959</v>
      </c>
      <c r="L12" s="1790">
        <f>F12-K12</f>
        <v>184898</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v>364930</v>
      </c>
      <c r="D15" s="845"/>
      <c r="E15" s="845">
        <v>364930</v>
      </c>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2725532</v>
      </c>
      <c r="D16" s="1781">
        <f>SUM(D3,D5:D6,D8:D10,D12:D15)</f>
        <v>524975</v>
      </c>
      <c r="E16" s="1781">
        <f>SUM(E3,E5:E6,E8:E10,E12:E15)</f>
        <v>385742</v>
      </c>
      <c r="F16" s="1781">
        <f>SUM(F3,F5:F6,F8:F10,F12:F15)</f>
        <v>2864765</v>
      </c>
      <c r="G16" s="844"/>
      <c r="H16" s="1781">
        <f>SUM(H3,H6,H8:H10,H12:H14,)</f>
        <v>1379051</v>
      </c>
      <c r="I16" s="1781">
        <f>SUM(I3,I6,I8:I10,I12:I14,)</f>
        <v>65156</v>
      </c>
      <c r="J16" s="1781">
        <f>SUM(J3,J6,J8:J10,J12:J14,)</f>
        <v>20812</v>
      </c>
      <c r="K16" s="1781">
        <f>(H16+I16)-J16</f>
        <v>1423395</v>
      </c>
      <c r="L16" s="1781">
        <f>F16-K16</f>
        <v>1441370</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61820</v>
      </c>
      <c r="G17" s="838">
        <v>10</v>
      </c>
      <c r="H17" s="770"/>
      <c r="I17" s="1790">
        <f>F17/G17</f>
        <v>6182</v>
      </c>
      <c r="J17" s="770"/>
      <c r="K17" s="796"/>
      <c r="L17" s="796"/>
    </row>
    <row r="18" spans="1:12" ht="14.25" thickTop="1" thickBot="1" x14ac:dyDescent="0.25">
      <c r="A18" s="1788" t="s">
        <v>706</v>
      </c>
      <c r="B18" s="1789"/>
      <c r="C18" s="772"/>
      <c r="D18" s="772"/>
      <c r="E18" s="772"/>
      <c r="F18" s="851"/>
      <c r="G18" s="852"/>
      <c r="H18" s="774"/>
      <c r="I18" s="1781">
        <f>SUM(I16,I17)</f>
        <v>71338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1.1"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71" firstPageNumber="26" orientation="landscape" useFirstPageNumber="1" r:id="rId1"/>
  <headerFooter alignWithMargins="0">
    <oddHeader>&amp;L&amp;8Page &amp;P&amp;C &amp;R&amp;8Page &amp;P</oddHeader>
    <oddFooter>&amp;L&amp;8Print Date: &amp;D
&amp;F</oddFooter>
  </headerFooter>
  <colBreaks count="1" manualBreakCount="1">
    <brk id="12" max="1048575" man="1"/>
  </col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zoomScalePageLayoutView="110" workbookViewId="0">
      <pane ySplit="5" topLeftCell="A6" activePane="bottomLeft" state="frozen"/>
      <selection sqref="A1:F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1651345</v>
      </c>
      <c r="G8" s="866"/>
    </row>
    <row r="9" spans="1:7" x14ac:dyDescent="0.2">
      <c r="A9" s="870" t="s">
        <v>480</v>
      </c>
      <c r="B9" s="871" t="s">
        <v>1988</v>
      </c>
      <c r="C9" s="872"/>
      <c r="D9" s="870" t="s">
        <v>522</v>
      </c>
      <c r="E9" s="869"/>
      <c r="F9" s="1934">
        <f>'Expenditures 15-22'!K151</f>
        <v>256018</v>
      </c>
      <c r="G9" s="873"/>
    </row>
    <row r="10" spans="1:7" x14ac:dyDescent="0.2">
      <c r="A10" s="870" t="s">
        <v>520</v>
      </c>
      <c r="B10" s="871" t="s">
        <v>1989</v>
      </c>
      <c r="C10" s="872"/>
      <c r="D10" s="870" t="s">
        <v>522</v>
      </c>
      <c r="E10" s="869"/>
      <c r="F10" s="1934">
        <f>'Expenditures 15-22'!K174</f>
        <v>0</v>
      </c>
      <c r="G10" s="873"/>
    </row>
    <row r="11" spans="1:7" x14ac:dyDescent="0.2">
      <c r="A11" s="870" t="s">
        <v>481</v>
      </c>
      <c r="B11" s="871" t="s">
        <v>1990</v>
      </c>
      <c r="C11" s="872"/>
      <c r="D11" s="870" t="s">
        <v>522</v>
      </c>
      <c r="E11" s="869"/>
      <c r="F11" s="1934">
        <f>'Expenditures 15-22'!K210</f>
        <v>6478</v>
      </c>
      <c r="G11" s="873"/>
    </row>
    <row r="12" spans="1:7" x14ac:dyDescent="0.2">
      <c r="A12" s="870" t="s">
        <v>482</v>
      </c>
      <c r="B12" s="871" t="s">
        <v>1991</v>
      </c>
      <c r="C12" s="872"/>
      <c r="D12" s="870" t="s">
        <v>522</v>
      </c>
      <c r="E12" s="869"/>
      <c r="F12" s="1934">
        <f>'Expenditures 15-22'!K295</f>
        <v>0</v>
      </c>
      <c r="G12" s="873"/>
    </row>
    <row r="13" spans="1:7" x14ac:dyDescent="0.2">
      <c r="A13" s="870" t="s">
        <v>108</v>
      </c>
      <c r="B13" s="871" t="s">
        <v>1992</v>
      </c>
      <c r="C13" s="872"/>
      <c r="D13" s="870" t="s">
        <v>522</v>
      </c>
      <c r="E13" s="869"/>
      <c r="F13" s="1934">
        <f>'Expenditures 15-22'!K342</f>
        <v>0</v>
      </c>
      <c r="G13" s="874"/>
    </row>
    <row r="14" spans="1:7" ht="12" customHeight="1" thickBot="1" x14ac:dyDescent="0.25">
      <c r="A14" s="1791"/>
      <c r="B14" s="1792"/>
      <c r="C14" s="1793"/>
      <c r="D14" s="1794" t="s">
        <v>522</v>
      </c>
      <c r="E14" s="1795" t="s">
        <v>1015</v>
      </c>
      <c r="F14" s="1796">
        <f>SUM(F8:F13)</f>
        <v>1913841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5747</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135036</v>
      </c>
      <c r="G53" s="866"/>
    </row>
    <row r="54" spans="1:7" x14ac:dyDescent="0.2">
      <c r="A54" s="870" t="s">
        <v>479</v>
      </c>
      <c r="B54" s="870" t="s">
        <v>1552</v>
      </c>
      <c r="C54" s="890" t="s">
        <v>1039</v>
      </c>
      <c r="D54" s="886" t="s">
        <v>1157</v>
      </c>
      <c r="E54" s="869"/>
      <c r="F54" s="1938">
        <f>'Expenditures 15-22'!G114</f>
        <v>80445</v>
      </c>
      <c r="G54" s="866"/>
    </row>
    <row r="55" spans="1:7" x14ac:dyDescent="0.2">
      <c r="A55" s="870" t="s">
        <v>479</v>
      </c>
      <c r="B55" s="870" t="s">
        <v>1553</v>
      </c>
      <c r="C55" s="890" t="s">
        <v>1039</v>
      </c>
      <c r="D55" s="886" t="s">
        <v>309</v>
      </c>
      <c r="E55" s="869"/>
      <c r="F55" s="1938">
        <f>'Expenditures 15-22'!I114</f>
        <v>57145</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79599</v>
      </c>
      <c r="G58" s="866"/>
    </row>
    <row r="59" spans="1:7" x14ac:dyDescent="0.2">
      <c r="A59" s="894" t="s">
        <v>480</v>
      </c>
      <c r="B59" s="857" t="s">
        <v>1995</v>
      </c>
      <c r="C59" s="895" t="s">
        <v>1039</v>
      </c>
      <c r="D59" s="857" t="s">
        <v>309</v>
      </c>
      <c r="F59" s="1941">
        <f>'Expenditures 15-22'!I151</f>
        <v>2176</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2499</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2010</v>
      </c>
      <c r="E76" s="1795" t="s">
        <v>1015</v>
      </c>
      <c r="F76" s="1799">
        <f>SUM(F18:F74)</f>
        <v>362647</v>
      </c>
      <c r="G76" s="866"/>
    </row>
    <row r="77" spans="1:8" s="894" customFormat="1" ht="12" customHeight="1" thickTop="1" thickBot="1" x14ac:dyDescent="0.25">
      <c r="A77" s="1800"/>
      <c r="B77" s="1797"/>
      <c r="C77" s="1793"/>
      <c r="D77" s="1798" t="s">
        <v>2011</v>
      </c>
      <c r="E77" s="1795"/>
      <c r="F77" s="1801">
        <f>(F14-F76)</f>
        <v>1551194</v>
      </c>
      <c r="G77" s="870"/>
    </row>
    <row r="78" spans="1:8" s="894" customFormat="1" ht="12" customHeight="1" thickTop="1" x14ac:dyDescent="0.2">
      <c r="A78" s="1802"/>
      <c r="B78" s="1797"/>
      <c r="C78" s="1793"/>
      <c r="D78" s="1798" t="s">
        <v>2057</v>
      </c>
      <c r="E78" s="1795"/>
      <c r="F78" s="899">
        <v>0</v>
      </c>
      <c r="G78" s="900"/>
      <c r="H78" s="870"/>
    </row>
    <row r="79" spans="1:8" s="894" customFormat="1" ht="12" customHeight="1" thickBot="1" x14ac:dyDescent="0.25">
      <c r="A79" s="1803"/>
      <c r="B79" s="1797"/>
      <c r="C79" s="1793"/>
      <c r="D79" s="1798" t="s">
        <v>2012</v>
      </c>
      <c r="E79" s="1795" t="s">
        <v>1015</v>
      </c>
      <c r="F79" s="180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2770</v>
      </c>
      <c r="G94" s="913"/>
    </row>
    <row r="95" spans="1:7" x14ac:dyDescent="0.2">
      <c r="A95" s="909" t="s">
        <v>142</v>
      </c>
      <c r="B95" s="909" t="s">
        <v>177</v>
      </c>
      <c r="C95" s="911">
        <v>1700</v>
      </c>
      <c r="D95" s="919" t="str">
        <f>'Revenues 9-14'!A82</f>
        <v>Total District/School Activity Income</v>
      </c>
      <c r="E95" s="907"/>
      <c r="F95" s="1810">
        <f>SUM('Revenues 9-14'!C82,'Revenues 9-14'!D82)</f>
        <v>9387</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18750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472297</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0</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678766</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11924</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0</v>
      </c>
      <c r="G129" s="931"/>
    </row>
    <row r="130" spans="1:7" x14ac:dyDescent="0.2">
      <c r="A130" s="928" t="s">
        <v>689</v>
      </c>
      <c r="B130" s="928" t="s">
        <v>804</v>
      </c>
      <c r="C130" s="933">
        <v>4300</v>
      </c>
      <c r="D130" s="934" t="str">
        <f>'Revenues 9-14'!A211</f>
        <v>Total Title I</v>
      </c>
      <c r="E130" s="907"/>
      <c r="F130" s="1810">
        <f>SUM('Revenues 9-14'!C211,'Revenues 9-14'!D211,'Revenues 9-14'!F211,'Revenues 9-14'!G211)</f>
        <v>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192278</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2013</v>
      </c>
      <c r="E178" s="1808" t="s">
        <v>1015</v>
      </c>
      <c r="F178" s="1809">
        <f>SUM(F84:F136,F161:F176)</f>
        <v>1386172</v>
      </c>
    </row>
    <row r="179" spans="1:7" ht="12" customHeight="1" x14ac:dyDescent="0.2">
      <c r="A179" s="1791"/>
      <c r="B179" s="1805"/>
      <c r="C179" s="1806"/>
      <c r="D179" s="1807" t="s">
        <v>2014</v>
      </c>
      <c r="E179" s="1808"/>
      <c r="F179" s="1810">
        <f>'PCTC-OEPP 27-28'!F77-F178</f>
        <v>165022</v>
      </c>
    </row>
    <row r="180" spans="1:7" ht="12" customHeight="1" x14ac:dyDescent="0.2">
      <c r="A180" s="1791"/>
      <c r="B180" s="1805"/>
      <c r="C180" s="1806"/>
      <c r="D180" s="1807" t="s">
        <v>1924</v>
      </c>
      <c r="E180" s="1808"/>
      <c r="F180" s="1810">
        <f>'Cap Outlay Deprec 26'!I18</f>
        <v>71338</v>
      </c>
    </row>
    <row r="181" spans="1:7" ht="12" customHeight="1" x14ac:dyDescent="0.2">
      <c r="A181" s="1791"/>
      <c r="B181" s="1805"/>
      <c r="C181" s="1806"/>
      <c r="D181" s="1807" t="s">
        <v>2015</v>
      </c>
      <c r="E181" s="1808"/>
      <c r="F181" s="1810">
        <f>F179+F180</f>
        <v>236360</v>
      </c>
    </row>
    <row r="182" spans="1:7" ht="12" customHeight="1" x14ac:dyDescent="0.2">
      <c r="A182" s="1791"/>
      <c r="B182" s="1811"/>
      <c r="C182" s="1806"/>
      <c r="D182" s="1807" t="str">
        <f>D78</f>
        <v>9 Month ADA from District Average Daily Attendance/Prior General State Aid Inquiry 2017-2018</v>
      </c>
      <c r="E182" s="1808"/>
      <c r="F182" s="1812">
        <f>'PCTC-OEPP 27-28'!F78</f>
        <v>0</v>
      </c>
      <c r="G182" s="931"/>
    </row>
    <row r="183" spans="1:7" ht="12" customHeight="1" thickBot="1" x14ac:dyDescent="0.25">
      <c r="A183" s="1791"/>
      <c r="B183" s="1811"/>
      <c r="C183" s="1806"/>
      <c r="D183" s="1807" t="s">
        <v>2016</v>
      </c>
      <c r="E183" s="1808" t="s">
        <v>1626</v>
      </c>
      <c r="F183" s="1813" t="e">
        <f>F181/F182</f>
        <v>#DIV/0!</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zoomScaleNormal="100" workbookViewId="0">
      <pane ySplit="16" topLeftCell="A17" activePane="bottomLeft" state="frozen"/>
      <selection sqref="A1:F1"/>
      <selection pane="bottomLeft" sqref="A1:F1"/>
    </sheetView>
  </sheetViews>
  <sheetFormatPr defaultColWidth="8.8554687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42578125" style="1566" customWidth="1"/>
    <col min="7" max="7" width="23.28515625" style="1565" customWidth="1"/>
    <col min="8" max="16384" width="8.8554687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2" t="s">
        <v>1941</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2093</v>
      </c>
      <c r="B17" s="1859" t="s">
        <v>2094</v>
      </c>
      <c r="C17" s="1958" t="s">
        <v>2095</v>
      </c>
      <c r="D17" s="1866">
        <v>8881</v>
      </c>
      <c r="E17" s="1562">
        <f t="shared" ref="E17:E39" si="1">IF(D17&lt;=25000,D17,IF(D17&gt;25000,25000,0))</f>
        <v>8881</v>
      </c>
      <c r="F17" s="1814">
        <f t="shared" si="0"/>
        <v>0</v>
      </c>
      <c r="G17" s="1815">
        <f>IF(F17=0,0,D17-F17)</f>
        <v>0</v>
      </c>
      <c r="H17" s="1669"/>
    </row>
    <row r="18" spans="1:8" x14ac:dyDescent="0.25">
      <c r="A18" s="1675"/>
      <c r="B18" s="1867"/>
      <c r="C18" s="1677"/>
      <c r="D18" s="1866"/>
      <c r="E18" s="1562">
        <f t="shared" ref="E18:E38" si="2">IF(D18&lt;=25000,D18,IF(D18&gt;25000,25000,0))</f>
        <v>0</v>
      </c>
      <c r="F18" s="1814">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38" si="4">IF(F18=0,0,D18-F18)</f>
        <v>0</v>
      </c>
    </row>
    <row r="19" spans="1:8" x14ac:dyDescent="0.25">
      <c r="A19" s="1675"/>
      <c r="B19" s="1868"/>
      <c r="C19" s="1677"/>
      <c r="D19" s="1866"/>
      <c r="E19" s="1562">
        <f t="shared" si="2"/>
        <v>0</v>
      </c>
      <c r="F19" s="1814">
        <f t="shared" si="3"/>
        <v>0</v>
      </c>
      <c r="G19" s="1815">
        <f t="shared" si="4"/>
        <v>0</v>
      </c>
    </row>
    <row r="20" spans="1:8" x14ac:dyDescent="0.25">
      <c r="A20" s="1675"/>
      <c r="B20" s="1867"/>
      <c r="C20" s="1677"/>
      <c r="D20" s="1866"/>
      <c r="E20" s="1562">
        <f t="shared" si="2"/>
        <v>0</v>
      </c>
      <c r="F20" s="1814">
        <f t="shared" si="3"/>
        <v>0</v>
      </c>
      <c r="G20" s="1815">
        <f t="shared" si="4"/>
        <v>0</v>
      </c>
    </row>
    <row r="21" spans="1:8" x14ac:dyDescent="0.25">
      <c r="A21" s="1675"/>
      <c r="B21" s="1867"/>
      <c r="C21" s="1677"/>
      <c r="D21" s="1866"/>
      <c r="E21" s="1562">
        <f t="shared" si="2"/>
        <v>0</v>
      </c>
      <c r="F21" s="1814">
        <f t="shared" si="3"/>
        <v>0</v>
      </c>
      <c r="G21" s="1815">
        <f t="shared" si="4"/>
        <v>0</v>
      </c>
    </row>
    <row r="22" spans="1:8" x14ac:dyDescent="0.25">
      <c r="A22" s="1675"/>
      <c r="B22" s="1867"/>
      <c r="C22" s="1677"/>
      <c r="D22" s="1866"/>
      <c r="E22" s="1562">
        <f t="shared" si="2"/>
        <v>0</v>
      </c>
      <c r="F22" s="1814">
        <f t="shared" si="3"/>
        <v>0</v>
      </c>
      <c r="G22" s="1815">
        <f t="shared" si="4"/>
        <v>0</v>
      </c>
    </row>
    <row r="23" spans="1:8" x14ac:dyDescent="0.25">
      <c r="A23" s="1675"/>
      <c r="B23" s="1867"/>
      <c r="C23" s="1677"/>
      <c r="D23" s="1866"/>
      <c r="E23" s="1562">
        <f t="shared" si="2"/>
        <v>0</v>
      </c>
      <c r="F23" s="1814">
        <f t="shared" si="3"/>
        <v>0</v>
      </c>
      <c r="G23" s="1815">
        <f t="shared" si="4"/>
        <v>0</v>
      </c>
    </row>
    <row r="24" spans="1:8" x14ac:dyDescent="0.25">
      <c r="A24" s="1675"/>
      <c r="B24" s="1868"/>
      <c r="C24" s="1677"/>
      <c r="D24" s="1866"/>
      <c r="E24" s="1562">
        <f t="shared" si="2"/>
        <v>0</v>
      </c>
      <c r="F24" s="1814">
        <f t="shared" si="3"/>
        <v>0</v>
      </c>
      <c r="G24" s="1815">
        <f t="shared" si="4"/>
        <v>0</v>
      </c>
    </row>
    <row r="25" spans="1:8" x14ac:dyDescent="0.25">
      <c r="A25" s="1675"/>
      <c r="B25" s="1867"/>
      <c r="C25" s="1677"/>
      <c r="D25" s="1866"/>
      <c r="E25" s="1562">
        <f t="shared" si="2"/>
        <v>0</v>
      </c>
      <c r="F25" s="1814">
        <f t="shared" si="3"/>
        <v>0</v>
      </c>
      <c r="G25" s="1815">
        <f t="shared" si="4"/>
        <v>0</v>
      </c>
    </row>
    <row r="26" spans="1:8" x14ac:dyDescent="0.25">
      <c r="A26" s="1675"/>
      <c r="B26" s="1868"/>
      <c r="C26" s="1676"/>
      <c r="D26" s="1866"/>
      <c r="E26" s="1562">
        <f t="shared" si="2"/>
        <v>0</v>
      </c>
      <c r="F26" s="1814">
        <f t="shared" si="3"/>
        <v>0</v>
      </c>
      <c r="G26" s="1815">
        <f t="shared" si="4"/>
        <v>0</v>
      </c>
    </row>
    <row r="27" spans="1:8" x14ac:dyDescent="0.25">
      <c r="A27" s="1675"/>
      <c r="B27" s="1868"/>
      <c r="C27" s="1676"/>
      <c r="D27" s="1866"/>
      <c r="E27" s="1562">
        <f t="shared" si="2"/>
        <v>0</v>
      </c>
      <c r="F27" s="1814">
        <f t="shared" si="3"/>
        <v>0</v>
      </c>
      <c r="G27" s="1815">
        <f t="shared" si="4"/>
        <v>0</v>
      </c>
    </row>
    <row r="28" spans="1:8" x14ac:dyDescent="0.25">
      <c r="A28" s="1675"/>
      <c r="B28" s="1868"/>
      <c r="C28" s="1676"/>
      <c r="D28" s="1866"/>
      <c r="E28" s="1562">
        <f t="shared" si="2"/>
        <v>0</v>
      </c>
      <c r="F28" s="1814">
        <f t="shared" si="3"/>
        <v>0</v>
      </c>
      <c r="G28" s="1815">
        <f t="shared" si="4"/>
        <v>0</v>
      </c>
    </row>
    <row r="29" spans="1:8" x14ac:dyDescent="0.25">
      <c r="A29" s="1675"/>
      <c r="B29" s="1868"/>
      <c r="C29" s="1676"/>
      <c r="D29" s="1866"/>
      <c r="E29" s="1562">
        <f t="shared" si="2"/>
        <v>0</v>
      </c>
      <c r="F29" s="1814">
        <f t="shared" si="3"/>
        <v>0</v>
      </c>
      <c r="G29" s="1815">
        <f t="shared" si="4"/>
        <v>0</v>
      </c>
    </row>
    <row r="30" spans="1:8" x14ac:dyDescent="0.25">
      <c r="A30" s="1675"/>
      <c r="B30" s="1868"/>
      <c r="C30" s="1676"/>
      <c r="D30" s="1866"/>
      <c r="E30" s="1562">
        <f t="shared" si="2"/>
        <v>0</v>
      </c>
      <c r="F30" s="1814">
        <f t="shared" si="3"/>
        <v>0</v>
      </c>
      <c r="G30" s="1815">
        <f t="shared" si="4"/>
        <v>0</v>
      </c>
    </row>
    <row r="31" spans="1:8" x14ac:dyDescent="0.25">
      <c r="A31" s="1675"/>
      <c r="B31" s="1868"/>
      <c r="C31" s="1676"/>
      <c r="D31" s="1866"/>
      <c r="E31" s="1562">
        <f t="shared" si="2"/>
        <v>0</v>
      </c>
      <c r="F31" s="1814">
        <f t="shared" si="3"/>
        <v>0</v>
      </c>
      <c r="G31" s="1815">
        <f t="shared" si="4"/>
        <v>0</v>
      </c>
    </row>
    <row r="32" spans="1:8" x14ac:dyDescent="0.25">
      <c r="A32" s="1675"/>
      <c r="B32" s="1868"/>
      <c r="C32" s="1676"/>
      <c r="D32" s="1866"/>
      <c r="E32" s="1562">
        <f t="shared" si="2"/>
        <v>0</v>
      </c>
      <c r="F32" s="1814">
        <f t="shared" si="3"/>
        <v>0</v>
      </c>
      <c r="G32" s="1815">
        <f t="shared" si="4"/>
        <v>0</v>
      </c>
    </row>
    <row r="33" spans="1:7" x14ac:dyDescent="0.25">
      <c r="A33" s="1675"/>
      <c r="B33" s="1868"/>
      <c r="C33" s="1676"/>
      <c r="D33" s="1866"/>
      <c r="E33" s="1562">
        <f t="shared" si="2"/>
        <v>0</v>
      </c>
      <c r="F33" s="1814">
        <f t="shared" si="3"/>
        <v>0</v>
      </c>
      <c r="G33" s="1815">
        <f t="shared" si="4"/>
        <v>0</v>
      </c>
    </row>
    <row r="34" spans="1:7" x14ac:dyDescent="0.25">
      <c r="A34" s="1675"/>
      <c r="B34" s="1868"/>
      <c r="C34" s="1676"/>
      <c r="D34" s="1866"/>
      <c r="E34" s="1562">
        <f t="shared" si="2"/>
        <v>0</v>
      </c>
      <c r="F34" s="1814">
        <f t="shared" si="3"/>
        <v>0</v>
      </c>
      <c r="G34" s="1815">
        <f t="shared" si="4"/>
        <v>0</v>
      </c>
    </row>
    <row r="35" spans="1:7" x14ac:dyDescent="0.25">
      <c r="A35" s="1675"/>
      <c r="B35" s="1868"/>
      <c r="C35" s="1676"/>
      <c r="D35" s="1866"/>
      <c r="E35" s="1562">
        <f t="shared" si="2"/>
        <v>0</v>
      </c>
      <c r="F35" s="1814">
        <f t="shared" si="3"/>
        <v>0</v>
      </c>
      <c r="G35" s="1815">
        <f t="shared" si="4"/>
        <v>0</v>
      </c>
    </row>
    <row r="36" spans="1:7" x14ac:dyDescent="0.25">
      <c r="A36" s="1675"/>
      <c r="B36" s="1868"/>
      <c r="C36" s="1676"/>
      <c r="D36" s="1866"/>
      <c r="E36" s="1562">
        <f t="shared" si="2"/>
        <v>0</v>
      </c>
      <c r="F36" s="1814">
        <f t="shared" si="3"/>
        <v>0</v>
      </c>
      <c r="G36" s="1815">
        <f t="shared" si="4"/>
        <v>0</v>
      </c>
    </row>
    <row r="37" spans="1:7" x14ac:dyDescent="0.25">
      <c r="A37" s="1675"/>
      <c r="B37" s="1688"/>
      <c r="C37" s="1676"/>
      <c r="D37" s="1866"/>
      <c r="E37" s="1562">
        <f t="shared" ref="E37" si="5">IF(D37&lt;=25000,D37,IF(D37&gt;25000,25000,0))</f>
        <v>0</v>
      </c>
      <c r="F37" s="1814">
        <f t="shared" ref="F37" si="6">IF(OR(B37="10-1000-100",B37="10-1000-200",B37="10-1000-300",B37="10-1000-400",B37="10-1000-600",B37="10-1000-800",B37="50-1000-200",B37="10-2100-100",B37="10-2100-200",B37="10-2100-300",B37="10-2100-400",B37="10-2100-600",B37="10-2100-800",B37="20-2100-200",B37="20-2190-100",B37="20-2190-200",B37="20-2190-300",B37="20-2190-400",B37="20-2190-600",B37="20-2190-800",B37="40-2190-100",B37="40-2190-200",B37="40-2190-300",B37="40-2190-400",B37="40-2190-600",B37="40-2190-800",B37="50-2190-200",B37="10-2200-100",B37="10-2200-200",B37="10-2200-300",B37="10-2200-400",B37="10-2200-600",B37="10-2200-800",B37="50-2200-200",B37="10-2300-100",B37="10-2300-200",B37="10-2300-300",B37="10-2300-400",B37="10-2300-600",B37="10-2300-800",B37="50-2300-200",B37="80-2300-100",B37="80-2300-200",B37="80-2300-300",B37="80-2300-400",B37="80-2300-600",B37="80-2300-800",B37="10-2400-100",B37="10-2400-200",B37="10-2400-300",B37="10-2400-400",B37="10-2400-600",B37="10-2400-800",B37="50-2400-200",B37="10-2510-100",B37="10-2510-200",B37="10-2510-300",B37="10-2510-400",B37="10-2510-600",B37="10-2510-800",B37="20-2510-100",B37="20-2510-200",B37="20-2510-300",B37="20-2510-400",B37="20-2510-600",B37="20-2510-800",B37="50-2510-200",B37="10-2520-100",B37="10-2520-200",B37="10-2520-300",B37="10-2520-400",B37="10-2520-600",B37="10-2520-800",B37="50-2520-200",B37="10-2540-100",B37="10-2540-200",B37="10-2540-300",B37="10-2540-400",B37="10-2540-600",B37="20-2540-800",B37="20-2540-100",B37="20-2540-200",B37="20-2540-300",B37="20-2540-400",B37="20-2540-600",B37="50-2540-200",B37="90-2540-100",B37="90-2540-200",B37="90-2540-300",B37="90-2540-400",B37="90-2540-600",B37="90-2540-800",B37="90-2540-800",B37="10-2550-100",B37="10-2550-200",B37="10-2550-300",B37="10-2550-400",B37="10-2550-600",B37="10-2550-800",B37="20-2550-100",B37="20-2550-200",B37="20-2550-300",B37="20-2550-400",B37="20-2550-600",B37="20-2550-800",B37="40-2550-100",B37="40-2550-200",B37="40-2550-300",B37="40-2550-400",B37="40-2550-600",B37="40-2550-800",B37="50-2550-200",B37="10-2560-100",B37="10-2560-200",B37="10-2560-300",B37="10-2560-400",B37="10-2560-600",B37="10-2560-800",B37="20-2560-100",B37="20-2560-200",B37="20-2560-300",B37="20-2560-400",B37="20-2560-600",B37="20-2560-800",B37="50-2560-200",B37="10-2570-100",B37="10-2570-200",B37="10-2570-300",B37="10-2570-400",B37="10-2570-600",B37="10-2570-800",B37="50-2570-200",B37="10-2610-100",B37="10-2610-200",B37="10-2610-300",B37="10-2610-400",B37="10-2610-600",B37="10-2610-800",B37="50-2610-200",B37="10-2620-100",B37="10-2620-200",B37="10-2620-300",B37="10-2620-400",B37="10-2620-600",B37="10-2620-800",B37="50-2620-200",B37="10-2630-100",B37="10-2630-200",B37="10-2630-300",B37="10-2630-400",B37="10-2630-600",B37="10-2630-800",B37="50-2630-200",B37="10-2640-100",B37="10-2640-200",B37="10-2640-300",B37="10-2640-400",B37="10-2640-600",B37="10-2640-800",B37="50-2640-200",B37="10-2660-100",B37="10-2660-200",B37="10-2660-300",B37="10-2660-400",B37="10-2660-600",B37="10-2660-800",B37="50-2660-200",B37="10-2900-100",B37="10-2900-200",B37="10-2900-300",B37="10-2900-400",B37="10-2900-600",B37="10-2900-800",B37="20-2900-100",B37="20-2900-200",B37="20-2900-300",B37="20-2900-400",B37="20-2900-600",B37="20-2900-800",B37="40-2900-100",B37="40-2900-200",B37="40-2900-300",B37="40-2900-400",B37="40-2900-600",B37="40-2900-800",B37="50-2900-200",B37="60-2900-100",B37="60-2900-200",B37="60-2900-300",B37="60-2900-400",B37="60-2900-600",B37="60-2900-800",B37="90-2900-100",B37="90-2900-200",B37="90-2900-300",B37="90-2900-400",B37="90-2900-600",B37="90-2900-800",B37="10-3000-100",B37="10-3000-200",B37="10-3000-300",B37="10-3000-400",B37="10-3000-600",B37="10-3000-800",B37="20-3000-100",B37="20-3000-200",B37="20-3000-300",B37="20-3000-400",B37="20-3000-600",B37="20-3000-800",B37="40-3000-100",B37="40-3000-200",B37="40-3000-300",B37="40-3000-400",B37="40-3000-600",B37="40-3000-800",B37="50-3000-200"),E37,0)</f>
        <v>0</v>
      </c>
      <c r="G37" s="1815">
        <f t="shared" ref="G37" si="7">IF(F37=0,0,D37-F37)</f>
        <v>0</v>
      </c>
    </row>
    <row r="38" spans="1:7" x14ac:dyDescent="0.25">
      <c r="A38" s="1675"/>
      <c r="B38" s="1687"/>
      <c r="C38" s="1676"/>
      <c r="D38" s="1866"/>
      <c r="E38" s="1562">
        <f t="shared" si="2"/>
        <v>0</v>
      </c>
      <c r="F38" s="1814">
        <f t="shared" si="3"/>
        <v>0</v>
      </c>
      <c r="G38" s="1815">
        <f t="shared" si="4"/>
        <v>0</v>
      </c>
    </row>
    <row r="39" spans="1:7" x14ac:dyDescent="0.25">
      <c r="A39" s="1818" t="s">
        <v>158</v>
      </c>
      <c r="B39" s="1819"/>
      <c r="C39" s="1820"/>
      <c r="D39" s="1816">
        <f>SUM(D17:D38)</f>
        <v>8881</v>
      </c>
      <c r="E39" s="1563">
        <f t="shared" si="1"/>
        <v>8881</v>
      </c>
      <c r="F39" s="1816">
        <f>SUM(F17:F38)</f>
        <v>0</v>
      </c>
      <c r="G39" s="1817">
        <f>SUM(G17:G38)</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Normal="100" zoomScalePageLayoutView="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42578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951725</v>
      </c>
      <c r="F19" s="1821"/>
      <c r="G19" s="1823">
        <f>'Expenditures 15-22'!K33-SUM('Expenditures 15-22'!G33,'Expenditures 15-22'!I33)+'Expenditures 15-22'!D229</f>
        <v>951725</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77446</v>
      </c>
      <c r="F21" s="1824"/>
      <c r="G21" s="1827">
        <f>'Expenditures 15-22'!K42-SUM('Expenditures 15-22'!G42,'Expenditures 15-22'!I42)+'Expenditures 15-22'!K120-SUM('Expenditures 15-22'!G120,'Expenditures 15-22'!I120)+'Expenditures 15-22'!K180-SUM('Expenditures 15-22'!G180,'Expenditures 15-22'!I180)+'Expenditures 15-22'!D238</f>
        <v>77446</v>
      </c>
      <c r="H21" s="988"/>
      <c r="I21" s="162"/>
    </row>
    <row r="22" spans="1:9" s="669" customFormat="1" ht="12" customHeight="1" x14ac:dyDescent="0.2">
      <c r="A22" s="995" t="s">
        <v>585</v>
      </c>
      <c r="B22" s="996"/>
      <c r="C22" s="994">
        <v>2200</v>
      </c>
      <c r="D22" s="1824"/>
      <c r="E22" s="1826">
        <f>'Expenditures 15-22'!K47-SUM('Expenditures 15-22'!G47,'Expenditures 15-22'!I47)+'Expenditures 15-22'!D243</f>
        <v>77660</v>
      </c>
      <c r="F22" s="1824"/>
      <c r="G22" s="1827">
        <f>'Expenditures 15-22'!K47-SUM('Expenditures 15-22'!G47,'Expenditures 15-22'!I47)+'Expenditures 15-22'!D243</f>
        <v>77660</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140894</v>
      </c>
      <c r="F23" s="1824"/>
      <c r="G23" s="1826">
        <f>'Expenditures 15-22'!K53-SUM('Expenditures 15-22'!G53,'Expenditures 15-22'!I53)+'Expenditures 15-22'!D257+'Expenditures 15-22'!K330-SUM('Expenditures 15-22'!G330,'Expenditures 15-22'!I330)</f>
        <v>140894</v>
      </c>
      <c r="H23" s="988"/>
      <c r="I23" s="162"/>
    </row>
    <row r="24" spans="1:9" s="669" customFormat="1" ht="12" customHeight="1" x14ac:dyDescent="0.2">
      <c r="A24" s="995" t="s">
        <v>587</v>
      </c>
      <c r="B24" s="996"/>
      <c r="C24" s="994">
        <v>2400</v>
      </c>
      <c r="D24" s="1824"/>
      <c r="E24" s="1826">
        <f>'Expenditures 15-22'!K57-SUM('Expenditures 15-22'!G57,'Expenditures 15-22'!I57)+'Expenditures 15-22'!D261</f>
        <v>129335</v>
      </c>
      <c r="F24" s="1824"/>
      <c r="G24" s="1827">
        <f>'Expenditures 15-22'!K57-SUM('Expenditures 15-22'!G57,'Expenditures 15-22'!I57)+'Expenditures 15-22'!D261</f>
        <v>129335</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1659</v>
      </c>
      <c r="E26" s="1826">
        <f>'Expenditures 15-22'!K122-SUM('Expenditures 15-22'!G122,'Expenditures 15-22'!I122)+E7</f>
        <v>0</v>
      </c>
      <c r="F26" s="1826">
        <f>'Expenditures 15-22'!K59-SUM('Expenditures 15-22'!G59,'Expenditures 15-22'!I59)+'Expenditures 15-22'!D263-E7</f>
        <v>1659</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0</v>
      </c>
      <c r="E27" s="1826">
        <f>E8</f>
        <v>0</v>
      </c>
      <c r="F27" s="1826">
        <f>'Expenditures 15-22'!K60-SUM('Expenditures 15-22'!G60,'Expenditures 15-22'!I60)+'Expenditures 15-22'!D264-E8</f>
        <v>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173763</v>
      </c>
      <c r="F28" s="1828">
        <f>'Expenditures 15-22'!K61-SUM('Expenditures 15-22'!G61,'Expenditures 15-22'!I61)+'Expenditures 15-22'!K124-SUM('Expenditures 15-22'!G124,'Expenditures 15-22'!I124)+'Expenditures 15-22'!D266-E9</f>
        <v>173763</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3979</v>
      </c>
      <c r="F29" s="1824"/>
      <c r="G29" s="1827">
        <f>'Expenditures 15-22'!K62-SUM('Expenditures 15-22'!G62,'Expenditures 15-22'!I62)+'Expenditures 15-22'!K125-SUM('Expenditures 15-22'!G125,'Expenditures 15-22'!I125)+'Expenditures 15-22'!K182-SUM('Expenditures 15-22'!G182,'Expenditures 15-22'!I182)+'Expenditures 15-22'!D267</f>
        <v>3979</v>
      </c>
      <c r="H29" s="986"/>
    </row>
    <row r="30" spans="1:9" ht="12" customHeight="1" x14ac:dyDescent="0.2">
      <c r="A30" s="995" t="s">
        <v>102</v>
      </c>
      <c r="B30" s="998"/>
      <c r="C30" s="994">
        <v>2560</v>
      </c>
      <c r="D30" s="1824"/>
      <c r="E30" s="1826">
        <f>'Expenditures 15-22'!K63-SUM('Expenditures 15-22'!G63,'Expenditures 15-22'!I63)+'Expenditures 15-22'!D268-E10</f>
        <v>0</v>
      </c>
      <c r="F30" s="1824"/>
      <c r="G30" s="1826">
        <f>'Expenditures 15-22'!K63-SUM('Expenditures 15-22'!G63,'Expenditures 15-22'!I63)+'Expenditures 15-22'!D268-E10</f>
        <v>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29'!G39</f>
        <v>0</v>
      </c>
      <c r="F40" s="1824"/>
      <c r="G40" s="1828">
        <f>-'Contracts Paid in CY 29'!G39</f>
        <v>0</v>
      </c>
    </row>
    <row r="41" spans="1:7" ht="12" customHeight="1" x14ac:dyDescent="0.2">
      <c r="A41" s="999" t="s">
        <v>158</v>
      </c>
      <c r="B41" s="1000"/>
      <c r="C41" s="1001"/>
      <c r="D41" s="1828">
        <f>SUM(D19:D39)</f>
        <v>1659</v>
      </c>
      <c r="E41" s="1828">
        <f>SUM(E19:E40)</f>
        <v>1554802</v>
      </c>
      <c r="F41" s="1828">
        <f>SUM(F19:F39)</f>
        <v>175422</v>
      </c>
      <c r="G41" s="1828">
        <f>SUM(G19:G40)</f>
        <v>1381039</v>
      </c>
    </row>
    <row r="42" spans="1:7" x14ac:dyDescent="0.2">
      <c r="A42" s="988"/>
      <c r="B42" s="162"/>
      <c r="C42" s="1002"/>
      <c r="D42" s="2303" t="s">
        <v>543</v>
      </c>
      <c r="E42" s="2304"/>
      <c r="F42" s="1003" t="s">
        <v>544</v>
      </c>
      <c r="G42" s="1004"/>
    </row>
    <row r="43" spans="1:7" ht="12" customHeight="1" x14ac:dyDescent="0.2">
      <c r="A43" s="988"/>
      <c r="B43" s="162"/>
      <c r="C43" s="1002"/>
      <c r="D43" s="1829" t="s">
        <v>493</v>
      </c>
      <c r="E43" s="1830">
        <f>D41</f>
        <v>1659</v>
      </c>
      <c r="F43" s="1829" t="s">
        <v>495</v>
      </c>
      <c r="G43" s="1830">
        <f>F41</f>
        <v>175422</v>
      </c>
    </row>
    <row r="44" spans="1:7" ht="12" customHeight="1" x14ac:dyDescent="0.2">
      <c r="A44" s="988"/>
      <c r="B44" s="162"/>
      <c r="C44" s="1002"/>
      <c r="D44" s="1829" t="s">
        <v>494</v>
      </c>
      <c r="E44" s="1830">
        <f>E41</f>
        <v>1554802</v>
      </c>
      <c r="F44" s="1829" t="s">
        <v>494</v>
      </c>
      <c r="G44" s="1830">
        <f>G41</f>
        <v>1381039</v>
      </c>
    </row>
    <row r="45" spans="1:7" ht="12" customHeight="1" x14ac:dyDescent="0.2">
      <c r="A45" s="988"/>
      <c r="B45" s="162"/>
      <c r="C45" s="162"/>
      <c r="D45" s="1831" t="s">
        <v>1063</v>
      </c>
      <c r="E45" s="1832">
        <f>(E43/E44)</f>
        <v>1.0670168934693936E-3</v>
      </c>
      <c r="F45" s="1831" t="s">
        <v>1063</v>
      </c>
      <c r="G45" s="1832">
        <f>(G43/G44)</f>
        <v>0.12702175680773678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zoomScalePageLayoutView="110" workbookViewId="0">
      <pane ySplit="4" topLeftCell="A5" activePane="bottomLeft" state="frozen"/>
      <selection sqref="A1:F1"/>
      <selection pane="bottomLeft" activeCell="A5" sqref="A5:F5"/>
    </sheetView>
  </sheetViews>
  <sheetFormatPr defaultColWidth="9.140625" defaultRowHeight="12.75" x14ac:dyDescent="0.2"/>
  <cols>
    <col min="1" max="1" width="54.42578125" style="1900" customWidth="1"/>
    <col min="2" max="2" width="4.140625" style="1900" customWidth="1"/>
    <col min="3" max="4" width="9.85546875" style="1871" customWidth="1"/>
    <col min="5" max="5" width="12.42578125" style="1901" customWidth="1"/>
    <col min="6" max="6" width="67.42578125" style="1871" customWidth="1"/>
    <col min="7" max="7" width="9.140625" style="1871" customWidth="1"/>
    <col min="8" max="8" width="5.42578125" style="1902" bestFit="1" customWidth="1"/>
    <col min="9" max="10" width="2" style="1902" bestFit="1" customWidth="1"/>
    <col min="11" max="11" width="9" style="1902" customWidth="1"/>
    <col min="12" max="16384" width="9.140625" style="1871"/>
  </cols>
  <sheetData>
    <row r="1" spans="1:10" x14ac:dyDescent="0.2">
      <c r="A1" s="2311" t="s">
        <v>1446</v>
      </c>
      <c r="B1" s="2311"/>
      <c r="C1" s="2311"/>
      <c r="D1" s="2311"/>
      <c r="E1" s="2311"/>
      <c r="F1" s="2311"/>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2" t="s">
        <v>1627</v>
      </c>
      <c r="B5" s="2313"/>
      <c r="C5" s="2314"/>
      <c r="D5" s="2314"/>
      <c r="E5" s="2314"/>
      <c r="F5" s="2314"/>
    </row>
    <row r="6" spans="1:10" ht="12" customHeight="1" x14ac:dyDescent="0.25">
      <c r="A6" s="1874"/>
      <c r="B6" s="1875"/>
      <c r="C6" s="2315" t="str">
        <f>COVER!A17</f>
        <v>Whiteside RVS</v>
      </c>
      <c r="D6" s="2315"/>
      <c r="E6" s="2315"/>
      <c r="F6" s="1876"/>
    </row>
    <row r="7" spans="1:10" ht="11.25" customHeight="1" thickBot="1" x14ac:dyDescent="0.3">
      <c r="A7" s="1874"/>
      <c r="B7" s="1875"/>
      <c r="C7" s="2316">
        <f>COVER!A13</f>
        <v>47098005046</v>
      </c>
      <c r="D7" s="2316"/>
      <c r="E7" s="2316"/>
      <c r="F7" s="1876"/>
    </row>
    <row r="8" spans="1:10" ht="25.5" customHeight="1" thickBot="1" x14ac:dyDescent="0.25">
      <c r="A8" s="1917" t="s">
        <v>2023</v>
      </c>
      <c r="B8" s="1877" t="s">
        <v>2077</v>
      </c>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0</v>
      </c>
      <c r="I34" s="1902">
        <f>SUM(I11:I32)</f>
        <v>0</v>
      </c>
      <c r="J34" s="1902">
        <f>SUM(J11:J32)</f>
        <v>0</v>
      </c>
      <c r="K34" s="1902">
        <f>SUM(H34:J34)</f>
        <v>0</v>
      </c>
    </row>
    <row r="35" spans="1:11" ht="12" customHeight="1" x14ac:dyDescent="0.2">
      <c r="A35" s="1895" t="s">
        <v>1459</v>
      </c>
      <c r="B35" s="1896"/>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7"/>
      <c r="B39" s="1897"/>
      <c r="C39" s="1897"/>
      <c r="D39" s="1897"/>
      <c r="E39" s="1897"/>
      <c r="F39" s="1897"/>
    </row>
    <row r="40" spans="1:11" s="1894" customFormat="1" ht="12" customHeight="1" x14ac:dyDescent="0.25">
      <c r="A40" s="1898" t="s">
        <v>1458</v>
      </c>
      <c r="B40" s="1899"/>
      <c r="C40" s="2325"/>
      <c r="D40" s="2325"/>
      <c r="E40" s="2325"/>
      <c r="F40" s="2326"/>
      <c r="H40" s="1903"/>
      <c r="I40" s="1903"/>
      <c r="J40" s="1903"/>
      <c r="K40" s="1903"/>
    </row>
    <row r="41" spans="1:11" s="1894" customFormat="1" ht="12" customHeight="1" x14ac:dyDescent="0.25">
      <c r="A41" s="2327"/>
      <c r="B41" s="2328"/>
      <c r="C41" s="2328"/>
      <c r="D41" s="2328"/>
      <c r="E41" s="2328"/>
      <c r="F41" s="2329"/>
      <c r="H41" s="1903"/>
      <c r="I41" s="1903"/>
      <c r="J41" s="1903"/>
      <c r="K41" s="1903"/>
    </row>
    <row r="42" spans="1:11" s="1894" customFormat="1" ht="12" customHeight="1" x14ac:dyDescent="0.25">
      <c r="A42" s="2327"/>
      <c r="B42" s="2328"/>
      <c r="C42" s="2328"/>
      <c r="D42" s="2328"/>
      <c r="E42" s="2328"/>
      <c r="F42" s="2329"/>
      <c r="H42" s="1903"/>
      <c r="I42" s="1903"/>
      <c r="J42" s="1903"/>
      <c r="K42" s="1903"/>
    </row>
    <row r="43" spans="1:11" s="1894" customFormat="1" ht="15" x14ac:dyDescent="0.25">
      <c r="A43" s="2319"/>
      <c r="B43" s="2320"/>
      <c r="C43" s="2320"/>
      <c r="D43" s="2320"/>
      <c r="E43" s="2320"/>
      <c r="F43" s="2321"/>
      <c r="H43" s="1903"/>
      <c r="I43" s="1903"/>
      <c r="J43" s="1903"/>
      <c r="K43" s="1903"/>
    </row>
    <row r="44" spans="1:11" s="1894" customFormat="1" ht="12" hidden="1" customHeight="1" x14ac:dyDescent="0.25">
      <c r="A44" s="2319"/>
      <c r="B44" s="2320"/>
      <c r="C44" s="2320"/>
      <c r="D44" s="2320"/>
      <c r="E44" s="2320"/>
      <c r="F44" s="232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fitToHeight="0" orientation="landscape" r:id="rId1"/>
  <headerFooter>
    <oddFooter>&amp;C&amp;8Page 31</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zoomScalePageLayoutView="110" workbookViewId="0">
      <selection sqref="A1:F1"/>
    </sheetView>
  </sheetViews>
  <sheetFormatPr defaultColWidth="9.140625" defaultRowHeight="12.75" x14ac:dyDescent="0.2"/>
  <cols>
    <col min="1" max="1" width="3" style="1011" customWidth="1"/>
    <col min="2" max="2" width="2.7109375" style="1011" customWidth="1"/>
    <col min="3" max="3" width="38.42578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Whiteside RVS</v>
      </c>
      <c r="J6" s="2336"/>
      <c r="Q6" s="1685"/>
    </row>
    <row r="7" spans="1:17" x14ac:dyDescent="0.2">
      <c r="A7" s="2337" t="s">
        <v>924</v>
      </c>
      <c r="B7" s="2338"/>
      <c r="C7" s="2338"/>
      <c r="D7" s="2338"/>
      <c r="E7" s="2339"/>
      <c r="F7" s="1018"/>
      <c r="G7" s="1010"/>
      <c r="H7" s="1017" t="s">
        <v>390</v>
      </c>
      <c r="I7" s="2340">
        <f>COVER!A13</f>
        <v>47098005046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0</v>
      </c>
      <c r="F12" s="1040"/>
      <c r="G12" s="1833">
        <f t="shared" ref="G12:G18" si="0">SUM(E12:F12)</f>
        <v>0</v>
      </c>
      <c r="H12" s="1041"/>
      <c r="I12" s="1040"/>
      <c r="J12" s="1833">
        <f t="shared" ref="J12:J18" si="1">SUM(H12:I12)</f>
        <v>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1659</v>
      </c>
      <c r="F15" s="1833">
        <f>'Expenditures 15-22'!K122</f>
        <v>0</v>
      </c>
      <c r="G15" s="1833">
        <f t="shared" si="0"/>
        <v>1659</v>
      </c>
      <c r="H15" s="1041">
        <v>0</v>
      </c>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4" t="s">
        <v>7</v>
      </c>
      <c r="C18" s="2345"/>
      <c r="D18" s="2346"/>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1659</v>
      </c>
      <c r="F19" s="1835">
        <f t="shared" si="2"/>
        <v>0</v>
      </c>
      <c r="G19" s="1835">
        <f t="shared" si="2"/>
        <v>1659</v>
      </c>
      <c r="H19" s="1835">
        <f t="shared" si="2"/>
        <v>0</v>
      </c>
      <c r="I19" s="1835">
        <f t="shared" si="2"/>
        <v>0</v>
      </c>
      <c r="J19" s="1835">
        <f t="shared" si="2"/>
        <v>0</v>
      </c>
    </row>
    <row r="20" spans="1:10" ht="13.5" thickTop="1" x14ac:dyDescent="0.2">
      <c r="A20" s="1036">
        <v>9</v>
      </c>
      <c r="B20" s="2347" t="s">
        <v>1703</v>
      </c>
      <c r="C20" s="2347"/>
      <c r="D20" s="2348"/>
      <c r="E20" s="1047"/>
      <c r="F20" s="1047"/>
      <c r="G20" s="1047"/>
      <c r="H20" s="1047"/>
      <c r="I20" s="1047"/>
      <c r="J20" s="1836"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zoomScalePageLayoutView="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42578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8" t="s">
        <v>1709</v>
      </c>
    </row>
    <row r="23" spans="1:5" x14ac:dyDescent="0.2">
      <c r="A23" s="168"/>
      <c r="B23" s="162" t="s">
        <v>1968</v>
      </c>
      <c r="D23" s="167" t="s">
        <v>658</v>
      </c>
      <c r="E23" s="1858"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zoomScalePageLayoutView="110" workbookViewId="0">
      <selection sqref="A1:F1"/>
    </sheetView>
  </sheetViews>
  <sheetFormatPr defaultColWidth="8.85546875" defaultRowHeight="12.75" x14ac:dyDescent="0.2"/>
  <cols>
    <col min="1" max="1" width="3" style="329" customWidth="1"/>
    <col min="2" max="2" width="109.140625" style="329" customWidth="1"/>
    <col min="3" max="3" width="3.140625" style="329" customWidth="1"/>
    <col min="4" max="16384" width="8.85546875" style="329"/>
  </cols>
  <sheetData>
    <row r="2" spans="1:2" x14ac:dyDescent="0.2">
      <c r="A2" s="389" t="s">
        <v>276</v>
      </c>
    </row>
    <row r="3" spans="1:2" x14ac:dyDescent="0.2">
      <c r="A3" s="329" t="s">
        <v>277</v>
      </c>
    </row>
    <row r="5" spans="1:2" x14ac:dyDescent="0.2">
      <c r="A5" s="1069">
        <v>1</v>
      </c>
      <c r="B5" s="1956" t="s">
        <v>2098</v>
      </c>
    </row>
    <row r="6" spans="1:2" x14ac:dyDescent="0.2">
      <c r="A6" s="1069">
        <v>2</v>
      </c>
      <c r="B6" s="1956" t="s">
        <v>2097</v>
      </c>
    </row>
    <row r="7" spans="1:2" x14ac:dyDescent="0.2">
      <c r="A7" s="1069">
        <v>3</v>
      </c>
      <c r="B7" s="1957" t="s">
        <v>2100</v>
      </c>
    </row>
    <row r="8" spans="1:2" x14ac:dyDescent="0.2">
      <c r="A8" s="1069">
        <v>4</v>
      </c>
      <c r="B8" s="1956" t="s">
        <v>2099</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Whiteside RVS</v>
      </c>
    </row>
    <row r="65" spans="2:2" x14ac:dyDescent="0.2">
      <c r="B65" s="1071">
        <f>COVER!A13</f>
        <v>47098005046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zoomScalePageLayoutView="110" workbookViewId="0">
      <selection sqref="A1:F1"/>
    </sheetView>
  </sheetViews>
  <sheetFormatPr defaultColWidth="8.85546875"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zoomScalePageLayoutView="110" workbookViewId="0"/>
  </sheetViews>
  <sheetFormatPr defaultColWidth="8.85546875" defaultRowHeight="12.75" x14ac:dyDescent="0.2"/>
  <cols>
    <col min="1" max="1" width="1.85546875" style="329" customWidth="1"/>
    <col min="2" max="2" width="59.7109375" style="329" customWidth="1"/>
    <col min="3" max="16384" width="8.8554687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1" r:id="rId4"/>
      </mc:Fallback>
    </mc:AlternateContent>
  </oleObject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zoomScalePageLayoutView="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1667793</v>
      </c>
      <c r="C8" s="1837">
        <f>'Acct Summary 7-8'!D8</f>
        <v>493144</v>
      </c>
      <c r="D8" s="1837">
        <f>'Acct Summary 7-8'!F8</f>
        <v>12733</v>
      </c>
      <c r="E8" s="1837">
        <f>'Acct Summary 7-8'!I8</f>
        <v>0</v>
      </c>
      <c r="F8" s="1837">
        <f>SUM(B8:E8)</f>
        <v>2173670</v>
      </c>
    </row>
    <row r="9" spans="1:8" s="1080" customFormat="1" ht="14.25" customHeight="1" thickBot="1" x14ac:dyDescent="0.25">
      <c r="A9" s="1079" t="s">
        <v>1436</v>
      </c>
      <c r="B9" s="1838">
        <f>'Acct Summary 7-8'!C17</f>
        <v>1651345</v>
      </c>
      <c r="C9" s="1838">
        <f>'Acct Summary 7-8'!D17</f>
        <v>256018</v>
      </c>
      <c r="D9" s="1838">
        <f>'Acct Summary 7-8'!F17</f>
        <v>6478</v>
      </c>
      <c r="E9" s="1837"/>
      <c r="F9" s="1837">
        <f>SUM(B9:E9)</f>
        <v>1913841</v>
      </c>
    </row>
    <row r="10" spans="1:8" s="1080" customFormat="1" ht="14.25" thickTop="1" thickBot="1" x14ac:dyDescent="0.25">
      <c r="A10" s="1081" t="s">
        <v>1437</v>
      </c>
      <c r="B10" s="1839">
        <f>(B8-B9)</f>
        <v>16448</v>
      </c>
      <c r="C10" s="1839">
        <f>(C8-C9)</f>
        <v>237126</v>
      </c>
      <c r="D10" s="1839">
        <f>(D8-D9)</f>
        <v>6255</v>
      </c>
      <c r="E10" s="1838">
        <f>(E8-E9)</f>
        <v>0</v>
      </c>
      <c r="F10" s="1840">
        <f>SUM(F8-F9)</f>
        <v>259829</v>
      </c>
    </row>
    <row r="11" spans="1:8" s="1080" customFormat="1" ht="14.25" thickTop="1" thickBot="1" x14ac:dyDescent="0.25">
      <c r="A11" s="1082" t="s">
        <v>1785</v>
      </c>
      <c r="B11" s="1841">
        <f>'Acct Summary 7-8'!C81</f>
        <v>809143</v>
      </c>
      <c r="C11" s="1841">
        <f>'Acct Summary 7-8'!D81</f>
        <v>178441</v>
      </c>
      <c r="D11" s="1841">
        <f>'Acct Summary 7-8'!F81</f>
        <v>26477</v>
      </c>
      <c r="E11" s="1841">
        <f>'Acct Summary 7-8'!I81</f>
        <v>0</v>
      </c>
      <c r="F11" s="1842">
        <f>SUM(B11:E11)</f>
        <v>1014061</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zoomScalePageLayoutView="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29'!D39&gt;0,"OK","PLEASE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workbookViewId="0">
      <pane ySplit="1" topLeftCell="A52" activePane="bottomLeft" state="frozen"/>
      <selection activeCell="W22" sqref="W22"/>
      <selection pane="bottomLeft" activeCell="D1" sqref="D1:D1048576"/>
    </sheetView>
  </sheetViews>
  <sheetFormatPr defaultColWidth="8.85546875" defaultRowHeight="12.75" x14ac:dyDescent="0.2"/>
  <cols>
    <col min="1" max="1" width="65.7109375" bestFit="1" customWidth="1"/>
    <col min="2" max="2" width="38.85546875" style="138" bestFit="1" customWidth="1"/>
    <col min="3" max="3" width="3.42578125" style="2" customWidth="1"/>
    <col min="4" max="4" width="8.85546875" style="2" customWidth="1"/>
    <col min="5" max="5" width="15.42578125" style="2" customWidth="1"/>
    <col min="6" max="6" width="16.42578125" bestFit="1" customWidth="1"/>
  </cols>
  <sheetData>
    <row r="1" spans="1:2" x14ac:dyDescent="0.2">
      <c r="A1" t="s">
        <v>576</v>
      </c>
      <c r="B1" s="138" t="s">
        <v>279</v>
      </c>
    </row>
    <row r="2" spans="1:2" x14ac:dyDescent="0.2">
      <c r="A2" t="s">
        <v>280</v>
      </c>
      <c r="B2" s="138">
        <f>COVER!A13</f>
        <v>47098005046</v>
      </c>
    </row>
    <row r="3" spans="1:2" x14ac:dyDescent="0.2">
      <c r="A3" t="s">
        <v>1013</v>
      </c>
      <c r="B3" s="138" t="str">
        <f>COVER!A15</f>
        <v>Whiteside</v>
      </c>
    </row>
    <row r="4" spans="1:2" x14ac:dyDescent="0.2">
      <c r="A4" t="s">
        <v>1064</v>
      </c>
      <c r="B4" s="138" t="str">
        <f>COVER!A17</f>
        <v>Whiteside RVS</v>
      </c>
    </row>
    <row r="5" spans="1:2" x14ac:dyDescent="0.2">
      <c r="A5" t="s">
        <v>728</v>
      </c>
      <c r="B5" s="138" t="str">
        <f>COVER!A38</f>
        <v>R. Tad Everett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Schueler</v>
      </c>
    </row>
    <row r="18" spans="1:2" x14ac:dyDescent="0.2">
      <c r="A18" t="s">
        <v>1212</v>
      </c>
      <c r="B18" s="138" t="str">
        <f>COVER!T17</f>
        <v>403 East Third</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Illinois</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22510</v>
      </c>
      <c r="D72" s="2" t="str">
        <f t="shared" si="0"/>
        <v>Error?</v>
      </c>
    </row>
    <row r="73" spans="1:4" x14ac:dyDescent="0.2">
      <c r="A73" s="5">
        <v>12</v>
      </c>
      <c r="B73" s="138">
        <f>'Assets-Liab 5-6'!C5</f>
        <v>746760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845040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35897</v>
      </c>
      <c r="C91" s="2" t="s">
        <v>594</v>
      </c>
      <c r="D91" s="2" t="str">
        <f t="shared" si="0"/>
        <v>Error?</v>
      </c>
    </row>
    <row r="92" spans="1:4" x14ac:dyDescent="0.2">
      <c r="A92" s="5">
        <v>31</v>
      </c>
      <c r="B92" s="138">
        <f>'Assets-Liab 5-6'!C39</f>
        <v>776392</v>
      </c>
      <c r="D92" s="2" t="str">
        <f t="shared" si="0"/>
        <v>Error?</v>
      </c>
    </row>
    <row r="93" spans="1:4" x14ac:dyDescent="0.2">
      <c r="A93" s="5">
        <v>32</v>
      </c>
      <c r="B93" s="138">
        <f>'Assets-Liab 5-6'!C41</f>
        <v>845040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183282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184073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5632</v>
      </c>
      <c r="C122" s="2" t="s">
        <v>594</v>
      </c>
      <c r="D122" s="2" t="str">
        <f t="shared" si="0"/>
        <v>Error?</v>
      </c>
    </row>
    <row r="123" spans="1:4" x14ac:dyDescent="0.2">
      <c r="A123" s="5">
        <v>62</v>
      </c>
      <c r="B123" s="138">
        <f>'Assets-Liab 5-6'!D39</f>
        <v>178441</v>
      </c>
      <c r="D123" s="2" t="str">
        <f t="shared" si="0"/>
        <v>Error?</v>
      </c>
    </row>
    <row r="124" spans="1:4" x14ac:dyDescent="0.2">
      <c r="A124" s="5">
        <v>63</v>
      </c>
      <c r="B124" s="138">
        <f>'Assets-Liab 5-6'!D41</f>
        <v>184073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23376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26477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26477</v>
      </c>
      <c r="D170" s="2" t="str">
        <f t="shared" si="1"/>
        <v>Error?</v>
      </c>
    </row>
    <row r="171" spans="1:4" x14ac:dyDescent="0.2">
      <c r="A171" s="5">
        <v>110</v>
      </c>
      <c r="B171" s="138">
        <f>'Assets-Liab 5-6'!F41</f>
        <v>26477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1256472</v>
      </c>
      <c r="D274" s="2" t="str">
        <f t="shared" si="3"/>
        <v>Error?</v>
      </c>
    </row>
    <row r="275" spans="1:4" x14ac:dyDescent="0.2">
      <c r="A275" s="5">
        <v>214</v>
      </c>
      <c r="B275" s="138">
        <f>'Assets-Liab 5-6'!M18</f>
        <v>0</v>
      </c>
      <c r="D275" s="2" t="str">
        <f t="shared" si="3"/>
        <v>Error?</v>
      </c>
    </row>
    <row r="276" spans="1:4" x14ac:dyDescent="0.2">
      <c r="A276" s="5">
        <v>215</v>
      </c>
      <c r="B276" s="138">
        <f>'Assets-Liab 5-6'!M19</f>
        <v>184898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1441370</v>
      </c>
      <c r="C279" s="2" t="s">
        <v>594</v>
      </c>
      <c r="D279" s="2" t="str">
        <f t="shared" si="3"/>
        <v>Error?</v>
      </c>
    </row>
    <row r="280" spans="1:4" x14ac:dyDescent="0.2">
      <c r="A280" s="5">
        <v>219</v>
      </c>
      <c r="B280" s="138">
        <f>'Assets-Liab 5-6'!M40</f>
        <v>1441370</v>
      </c>
      <c r="D280" s="2" t="str">
        <f t="shared" si="3"/>
        <v>Error?</v>
      </c>
    </row>
    <row r="281" spans="1:4" x14ac:dyDescent="0.2">
      <c r="A281" s="5">
        <v>220</v>
      </c>
      <c r="B281" s="138">
        <f>'Assets-Liab 5-6'!M41</f>
        <v>1441370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4427</v>
      </c>
      <c r="D716" s="2" t="str">
        <f t="shared" si="10"/>
        <v>Error?</v>
      </c>
    </row>
    <row r="717" spans="1:4" x14ac:dyDescent="0.2">
      <c r="A717" s="5">
        <v>656</v>
      </c>
      <c r="B717" s="138">
        <f>'Expenditures 15-22'!C13</f>
        <v>597750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602177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42104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42104</v>
      </c>
      <c r="C727" s="2" t="s">
        <v>594</v>
      </c>
      <c r="D727" s="2" t="str">
        <f t="shared" si="10"/>
        <v>Error?</v>
      </c>
    </row>
    <row r="728" spans="1:4" x14ac:dyDescent="0.2">
      <c r="A728" s="5">
        <v>667</v>
      </c>
      <c r="B728" s="138">
        <f>'Expenditures 15-22'!C44</f>
        <v>37778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37778</v>
      </c>
      <c r="C731" s="2" t="s">
        <v>594</v>
      </c>
      <c r="D731" s="2" t="str">
        <f t="shared" si="10"/>
        <v>Error?</v>
      </c>
    </row>
    <row r="732" spans="1:4" x14ac:dyDescent="0.2">
      <c r="A732" s="5">
        <v>671</v>
      </c>
      <c r="B732" s="138">
        <f>'Expenditures 15-22'!C49</f>
        <v>46754</v>
      </c>
      <c r="D732" s="2" t="str">
        <f t="shared" si="10"/>
        <v>Error?</v>
      </c>
    </row>
    <row r="733" spans="1:4" x14ac:dyDescent="0.2">
      <c r="A733" s="5">
        <v>672</v>
      </c>
      <c r="B733" s="138">
        <f>'Expenditures 15-22'!C50</f>
        <v>0</v>
      </c>
      <c r="D733" s="2" t="str">
        <f t="shared" si="10"/>
        <v>Error?</v>
      </c>
    </row>
    <row r="734" spans="1:4" x14ac:dyDescent="0.2">
      <c r="A734" s="5">
        <v>673</v>
      </c>
      <c r="B734" s="138">
        <f>'Expenditures 15-22'!C53</f>
        <v>46754</v>
      </c>
      <c r="C734" s="2" t="s">
        <v>594</v>
      </c>
      <c r="D734" s="2" t="str">
        <f t="shared" si="10"/>
        <v>Error?</v>
      </c>
    </row>
    <row r="735" spans="1:4" x14ac:dyDescent="0.2">
      <c r="A735" s="5">
        <v>674</v>
      </c>
      <c r="B735" s="138">
        <f>'Expenditures 15-22'!C55</f>
        <v>115094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115094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241730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843907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583</v>
      </c>
      <c r="D774" s="2" t="str">
        <f t="shared" si="11"/>
        <v>Error?</v>
      </c>
    </row>
    <row r="775" spans="1:4" x14ac:dyDescent="0.2">
      <c r="A775" s="5">
        <v>714</v>
      </c>
      <c r="B775" s="138">
        <f>'Expenditures 15-22'!D13</f>
        <v>208138</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208721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8567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8567</v>
      </c>
      <c r="C785" s="2" t="s">
        <v>594</v>
      </c>
      <c r="D785" s="2" t="str">
        <f t="shared" si="11"/>
        <v>Error?</v>
      </c>
    </row>
    <row r="786" spans="1:4" x14ac:dyDescent="0.2">
      <c r="A786" s="5">
        <v>725</v>
      </c>
      <c r="B786" s="138">
        <f>'Expenditures 15-22'!D44</f>
        <v>27532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27532</v>
      </c>
      <c r="C789" s="2" t="s">
        <v>594</v>
      </c>
      <c r="D789" s="2" t="str">
        <f t="shared" si="11"/>
        <v>Error?</v>
      </c>
    </row>
    <row r="790" spans="1:4" x14ac:dyDescent="0.2">
      <c r="A790" s="5">
        <v>729</v>
      </c>
      <c r="B790" s="138">
        <f>'Expenditures 15-22'!D49</f>
        <v>4779</v>
      </c>
      <c r="D790" s="2" t="str">
        <f t="shared" si="11"/>
        <v>Error?</v>
      </c>
    </row>
    <row r="791" spans="1:4" x14ac:dyDescent="0.2">
      <c r="A791" s="5">
        <v>730</v>
      </c>
      <c r="B791" s="138">
        <f>'Expenditures 15-22'!D50</f>
        <v>0</v>
      </c>
      <c r="D791" s="2" t="str">
        <f t="shared" si="11"/>
        <v>Error?</v>
      </c>
    </row>
    <row r="792" spans="1:4" x14ac:dyDescent="0.2">
      <c r="A792" s="5">
        <v>731</v>
      </c>
      <c r="B792" s="138">
        <f>'Expenditures 15-22'!D53</f>
        <v>4779</v>
      </c>
      <c r="C792" s="2" t="s">
        <v>594</v>
      </c>
      <c r="D792" s="2" t="str">
        <f t="shared" si="11"/>
        <v>Error?</v>
      </c>
    </row>
    <row r="793" spans="1:4" x14ac:dyDescent="0.2">
      <c r="A793" s="5">
        <v>732</v>
      </c>
      <c r="B793" s="138">
        <f>'Expenditures 15-22'!D55</f>
        <v>11435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11435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52313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261034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469</v>
      </c>
      <c r="D832" s="2" t="str">
        <f t="shared" si="12"/>
        <v>Error?</v>
      </c>
    </row>
    <row r="833" spans="1:4" x14ac:dyDescent="0.2">
      <c r="A833" s="5">
        <v>772</v>
      </c>
      <c r="B833" s="138">
        <f>'Expenditures 15-22'!E13</f>
        <v>44184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44653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25116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25116</v>
      </c>
      <c r="C843" s="2" t="s">
        <v>594</v>
      </c>
      <c r="D843" s="2" t="str">
        <f t="shared" si="12"/>
        <v>Error?</v>
      </c>
    </row>
    <row r="844" spans="1:4" x14ac:dyDescent="0.2">
      <c r="A844" s="5">
        <v>783</v>
      </c>
      <c r="B844" s="138">
        <f>'Expenditures 15-22'!E44</f>
        <v>12350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12350</v>
      </c>
      <c r="C847" s="2" t="s">
        <v>594</v>
      </c>
      <c r="D847" s="2" t="str">
        <f t="shared" si="12"/>
        <v>Error?</v>
      </c>
    </row>
    <row r="848" spans="1:4" x14ac:dyDescent="0.2">
      <c r="A848" s="5">
        <v>787</v>
      </c>
      <c r="B848" s="138">
        <f>'Expenditures 15-22'!E49</f>
        <v>86889</v>
      </c>
      <c r="D848" s="2" t="str">
        <f t="shared" si="12"/>
        <v>Error?</v>
      </c>
    </row>
    <row r="849" spans="1:4" x14ac:dyDescent="0.2">
      <c r="A849" s="5">
        <v>788</v>
      </c>
      <c r="B849" s="138">
        <f>'Expenditures 15-22'!E50</f>
        <v>0</v>
      </c>
      <c r="D849" s="2" t="str">
        <f t="shared" si="12"/>
        <v>Error?</v>
      </c>
    </row>
    <row r="850" spans="1:4" x14ac:dyDescent="0.2">
      <c r="A850" s="5">
        <v>789</v>
      </c>
      <c r="B850" s="138">
        <f>'Expenditures 15-22'!E53</f>
        <v>86889</v>
      </c>
      <c r="C850" s="2" t="s">
        <v>594</v>
      </c>
      <c r="D850" s="2" t="str">
        <f t="shared" si="12"/>
        <v>Error?</v>
      </c>
    </row>
    <row r="851" spans="1:4" x14ac:dyDescent="0.2">
      <c r="A851" s="5">
        <v>790</v>
      </c>
      <c r="B851" s="138">
        <f>'Expenditures 15-22'!E55</f>
        <v>500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500</v>
      </c>
      <c r="C853" s="2" t="s">
        <v>594</v>
      </c>
      <c r="D853" s="2" t="str">
        <f t="shared" si="12"/>
        <v>Error?</v>
      </c>
    </row>
    <row r="854" spans="1:4" x14ac:dyDescent="0.2">
      <c r="A854" s="5">
        <v>793</v>
      </c>
      <c r="B854" s="138">
        <f>'Expenditures 15-22'!E59</f>
        <v>1659</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1659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126514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205967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268</v>
      </c>
      <c r="D890" s="2" t="str">
        <f t="shared" si="12"/>
        <v>Error?</v>
      </c>
    </row>
    <row r="891" spans="1:4" x14ac:dyDescent="0.2">
      <c r="A891" s="5">
        <v>830</v>
      </c>
      <c r="B891" s="138">
        <f>'Expenditures 15-22'!F13</f>
        <v>95906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96174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1659</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1659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547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547</v>
      </c>
      <c r="C908" s="2" t="s">
        <v>594</v>
      </c>
      <c r="D908" s="2" t="str">
        <f t="shared" si="13"/>
        <v>Error?</v>
      </c>
    </row>
    <row r="909" spans="1:4" x14ac:dyDescent="0.2">
      <c r="A909" s="5">
        <v>848</v>
      </c>
      <c r="B909" s="138">
        <f>'Expenditures 15-22'!F55</f>
        <v>1531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1531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3737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99911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38394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38394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42051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42051</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42051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80445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1925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1925</v>
      </c>
      <c r="C1024" s="2" t="s">
        <v>594</v>
      </c>
      <c r="D1024" s="2" t="str">
        <f t="shared" si="15"/>
        <v>Error?</v>
      </c>
    </row>
    <row r="1025" spans="1:4" x14ac:dyDescent="0.2">
      <c r="A1025" s="5">
        <v>964</v>
      </c>
      <c r="B1025" s="138">
        <f>'Expenditures 15-22'!H55</f>
        <v>775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2700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100236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102936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5747</v>
      </c>
      <c r="C1104" s="2" t="s">
        <v>594</v>
      </c>
      <c r="D1104" s="2" t="str">
        <f t="shared" si="16"/>
        <v>Error?</v>
      </c>
    </row>
    <row r="1105" spans="1:4" x14ac:dyDescent="0.2">
      <c r="A1105" s="5">
        <v>1044</v>
      </c>
      <c r="B1105" s="138">
        <f>'Expenditures 15-22'!K13</f>
        <v>1039827</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1045574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77446</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77446</v>
      </c>
      <c r="C1115" s="2" t="s">
        <v>594</v>
      </c>
      <c r="D1115" s="2" t="str">
        <f t="shared" si="16"/>
        <v>Error?</v>
      </c>
    </row>
    <row r="1116" spans="1:4" x14ac:dyDescent="0.2">
      <c r="A1116" s="5">
        <v>1055</v>
      </c>
      <c r="B1116" s="138">
        <f>'Expenditures 15-22'!K44</f>
        <v>77660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77660</v>
      </c>
      <c r="C1119" s="2" t="s">
        <v>594</v>
      </c>
      <c r="D1119" s="2" t="str">
        <f t="shared" si="16"/>
        <v>Error?</v>
      </c>
    </row>
    <row r="1120" spans="1:4" x14ac:dyDescent="0.2">
      <c r="A1120" s="5">
        <v>1059</v>
      </c>
      <c r="B1120" s="138">
        <f>'Expenditures 15-22'!K49</f>
        <v>140894</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140894</v>
      </c>
      <c r="C1122" s="2" t="s">
        <v>594</v>
      </c>
      <c r="D1122" s="2" t="str">
        <f t="shared" si="16"/>
        <v>Error?</v>
      </c>
    </row>
    <row r="1123" spans="1:4" x14ac:dyDescent="0.2">
      <c r="A1123" s="5">
        <v>1062</v>
      </c>
      <c r="B1123" s="138">
        <f>'Expenditures 15-22'!K55</f>
        <v>173076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173076</v>
      </c>
      <c r="C1125" s="2" t="s">
        <v>594</v>
      </c>
      <c r="D1125" s="2" t="str">
        <f t="shared" si="16"/>
        <v>Error?</v>
      </c>
    </row>
    <row r="1126" spans="1:4" x14ac:dyDescent="0.2">
      <c r="A1126" s="5">
        <v>1065</v>
      </c>
      <c r="B1126" s="138">
        <f>'Expenditures 15-22'!K59</f>
        <v>1659</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1659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470735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135036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1651345</v>
      </c>
      <c r="C1152" s="2" t="s">
        <v>594</v>
      </c>
      <c r="D1152" s="2" t="str">
        <f t="shared" si="17"/>
        <v>Error?</v>
      </c>
    </row>
    <row r="1153" spans="1:4" x14ac:dyDescent="0.2">
      <c r="A1153" s="5">
        <v>1092</v>
      </c>
      <c r="B1153" s="138">
        <f>'Expenditures 15-22'!K115</f>
        <v>16448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59061</v>
      </c>
      <c r="D1221" s="2" t="str">
        <f t="shared" si="18"/>
        <v>Error?</v>
      </c>
    </row>
    <row r="1222" spans="1:4" x14ac:dyDescent="0.2">
      <c r="A1222" s="10">
        <v>1161</v>
      </c>
      <c r="D1222" s="2" t="str">
        <f t="shared" si="18"/>
        <v>OK</v>
      </c>
    </row>
    <row r="1223" spans="1:4" x14ac:dyDescent="0.2">
      <c r="A1223" s="5">
        <v>1162</v>
      </c>
      <c r="B1223" s="138">
        <f>'Expenditures 15-22'!C127</f>
        <v>59061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59061</v>
      </c>
      <c r="C1225" s="2" t="s">
        <v>594</v>
      </c>
      <c r="D1225" s="2" t="str">
        <f t="shared" si="18"/>
        <v>Error?</v>
      </c>
    </row>
    <row r="1226" spans="1:4" x14ac:dyDescent="0.2">
      <c r="A1226" s="5">
        <v>1165</v>
      </c>
      <c r="B1226" s="138">
        <f>'Expenditures 15-22'!C151</f>
        <v>59061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20892</v>
      </c>
      <c r="D1229" s="2" t="str">
        <f t="shared" si="18"/>
        <v>Error?</v>
      </c>
    </row>
    <row r="1230" spans="1:4" x14ac:dyDescent="0.2">
      <c r="A1230" s="10">
        <v>1169</v>
      </c>
      <c r="D1230" s="2" t="str">
        <f t="shared" si="18"/>
        <v>OK</v>
      </c>
    </row>
    <row r="1231" spans="1:4" x14ac:dyDescent="0.2">
      <c r="A1231" s="5">
        <v>1170</v>
      </c>
      <c r="B1231" s="138">
        <f>'Expenditures 15-22'!D127</f>
        <v>20892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20892</v>
      </c>
      <c r="C1233" s="2" t="s">
        <v>594</v>
      </c>
      <c r="D1233" s="2" t="str">
        <f t="shared" si="18"/>
        <v>Error?</v>
      </c>
    </row>
    <row r="1234" spans="1:4" x14ac:dyDescent="0.2">
      <c r="A1234" s="5">
        <v>1173</v>
      </c>
      <c r="B1234" s="138">
        <f>'Expenditures 15-22'!D151</f>
        <v>20892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480</v>
      </c>
      <c r="D1236" s="2" t="str">
        <f t="shared" si="18"/>
        <v>Error?</v>
      </c>
    </row>
    <row r="1237" spans="1:4" x14ac:dyDescent="0.2">
      <c r="A1237" s="5">
        <v>1176</v>
      </c>
      <c r="B1237" s="138">
        <f>'Expenditures 15-22'!E124</f>
        <v>71926</v>
      </c>
      <c r="D1237" s="2" t="str">
        <f t="shared" si="18"/>
        <v>Error?</v>
      </c>
    </row>
    <row r="1238" spans="1:4" x14ac:dyDescent="0.2">
      <c r="A1238" s="10">
        <v>1177</v>
      </c>
      <c r="D1238" s="2" t="str">
        <f t="shared" si="18"/>
        <v>OK</v>
      </c>
    </row>
    <row r="1239" spans="1:4" x14ac:dyDescent="0.2">
      <c r="A1239" s="5">
        <v>1178</v>
      </c>
      <c r="B1239" s="138">
        <f>'Expenditures 15-22'!E127</f>
        <v>72406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72406</v>
      </c>
      <c r="C1241" s="2" t="s">
        <v>594</v>
      </c>
      <c r="D1241" s="2" t="str">
        <f t="shared" si="18"/>
        <v>Error?</v>
      </c>
    </row>
    <row r="1242" spans="1:4" x14ac:dyDescent="0.2">
      <c r="A1242" s="5">
        <v>1181</v>
      </c>
      <c r="B1242" s="138">
        <f>'Expenditures 15-22'!E151</f>
        <v>72406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21884</v>
      </c>
      <c r="D1245" s="2" t="str">
        <f t="shared" si="18"/>
        <v>Error?</v>
      </c>
    </row>
    <row r="1246" spans="1:4" x14ac:dyDescent="0.2">
      <c r="A1246" s="10">
        <v>1185</v>
      </c>
      <c r="D1246" s="2" t="str">
        <f t="shared" si="18"/>
        <v>OK</v>
      </c>
    </row>
    <row r="1247" spans="1:4" x14ac:dyDescent="0.2">
      <c r="A1247" s="5">
        <v>1186</v>
      </c>
      <c r="B1247" s="138">
        <f>'Expenditures 15-22'!F127</f>
        <v>21884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21884</v>
      </c>
      <c r="C1249" s="2" t="s">
        <v>594</v>
      </c>
      <c r="D1249" s="2" t="str">
        <f t="shared" si="18"/>
        <v>Error?</v>
      </c>
    </row>
    <row r="1250" spans="1:4" x14ac:dyDescent="0.2">
      <c r="A1250" s="5">
        <v>1189</v>
      </c>
      <c r="B1250" s="138">
        <f>'Expenditures 15-22'!F151</f>
        <v>21884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79599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79599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79599</v>
      </c>
      <c r="C1258" s="2" t="s">
        <v>594</v>
      </c>
      <c r="D1258" s="2" t="str">
        <f t="shared" si="18"/>
        <v>Error?</v>
      </c>
    </row>
    <row r="1259" spans="1:4" x14ac:dyDescent="0.2">
      <c r="A1259" s="5">
        <v>1198</v>
      </c>
      <c r="B1259" s="138">
        <f>'Expenditures 15-22'!G151</f>
        <v>79599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480</v>
      </c>
      <c r="C1275" s="2" t="s">
        <v>594</v>
      </c>
      <c r="D1275" s="2" t="str">
        <f t="shared" si="18"/>
        <v>Error?</v>
      </c>
    </row>
    <row r="1276" spans="1:4" x14ac:dyDescent="0.2">
      <c r="A1276" s="5">
        <v>1215</v>
      </c>
      <c r="B1276" s="138">
        <f>'Expenditures 15-22'!K124</f>
        <v>255538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256018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256018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256018</v>
      </c>
      <c r="C1288" s="2" t="s">
        <v>594</v>
      </c>
      <c r="D1288" s="2" t="str">
        <f t="shared" si="19"/>
        <v>Error?</v>
      </c>
    </row>
    <row r="1289" spans="1:4" x14ac:dyDescent="0.2">
      <c r="A1289" s="5">
        <v>1228</v>
      </c>
      <c r="B1289" s="138">
        <f>'Expenditures 15-22'!K152</f>
        <v>237126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2613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2613</v>
      </c>
      <c r="C1339" s="2" t="s">
        <v>594</v>
      </c>
      <c r="D1339" s="2" t="str">
        <f t="shared" si="19"/>
        <v>Error?</v>
      </c>
    </row>
    <row r="1340" spans="1:4" x14ac:dyDescent="0.2">
      <c r="A1340" s="5">
        <v>1279</v>
      </c>
      <c r="B1340" s="138">
        <f>'Expenditures 15-22'!C210</f>
        <v>2613</v>
      </c>
      <c r="C1340" s="2" t="s">
        <v>594</v>
      </c>
      <c r="D1340" s="2" t="str">
        <f t="shared" si="19"/>
        <v>Error?</v>
      </c>
    </row>
    <row r="1341" spans="1:4" x14ac:dyDescent="0.2">
      <c r="A1341" s="5">
        <v>1280</v>
      </c>
      <c r="B1341" s="138">
        <f>'Expenditures 15-22'!D182</f>
        <v>419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419</v>
      </c>
      <c r="C1345" s="2" t="s">
        <v>594</v>
      </c>
      <c r="D1345" s="2" t="str">
        <f t="shared" si="20"/>
        <v>Error?</v>
      </c>
    </row>
    <row r="1346" spans="1:4" x14ac:dyDescent="0.2">
      <c r="A1346" s="5">
        <v>1285</v>
      </c>
      <c r="B1346" s="138">
        <f>'Expenditures 15-22'!D210</f>
        <v>419</v>
      </c>
      <c r="C1346" s="2" t="s">
        <v>594</v>
      </c>
      <c r="D1346" s="2" t="str">
        <f t="shared" si="20"/>
        <v>Error?</v>
      </c>
    </row>
    <row r="1347" spans="1:4" x14ac:dyDescent="0.2">
      <c r="A1347" s="5">
        <v>1286</v>
      </c>
      <c r="B1347" s="138">
        <f>'Expenditures 15-22'!E182</f>
        <v>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50</v>
      </c>
      <c r="C1353" s="2" t="s">
        <v>594</v>
      </c>
      <c r="D1353" s="2" t="str">
        <f t="shared" si="20"/>
        <v>Error?</v>
      </c>
    </row>
    <row r="1354" spans="1:4" x14ac:dyDescent="0.2">
      <c r="A1354" s="5">
        <v>1293</v>
      </c>
      <c r="B1354" s="138">
        <f>'Expenditures 15-22'!F182</f>
        <v>897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897</v>
      </c>
      <c r="C1358" s="2" t="s">
        <v>594</v>
      </c>
      <c r="D1358" s="2" t="str">
        <f t="shared" si="20"/>
        <v>Error?</v>
      </c>
    </row>
    <row r="1359" spans="1:4" x14ac:dyDescent="0.2">
      <c r="A1359" s="5">
        <v>1298</v>
      </c>
      <c r="B1359" s="138">
        <f>'Expenditures 15-22'!F210</f>
        <v>897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6478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6478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6478</v>
      </c>
      <c r="C1388" s="2" t="s">
        <v>594</v>
      </c>
      <c r="D1388" s="2" t="str">
        <f t="shared" si="20"/>
        <v>Error?</v>
      </c>
    </row>
    <row r="1389" spans="1:4" x14ac:dyDescent="0.2">
      <c r="A1389" s="5">
        <v>1328</v>
      </c>
      <c r="B1389" s="138">
        <f>'Expenditures 15-22'!K211</f>
        <v>6255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792695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809143</v>
      </c>
      <c r="C1630" s="2" t="s">
        <v>594</v>
      </c>
      <c r="D1630" s="2" t="str">
        <f t="shared" si="24"/>
        <v>Error?</v>
      </c>
    </row>
    <row r="1631" spans="1:4" x14ac:dyDescent="0.2">
      <c r="A1631" s="5">
        <v>1570</v>
      </c>
      <c r="B1631" s="138">
        <f>'Acct Summary 7-8'!D79</f>
        <v>-58685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178441</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20222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26477</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2183315</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177287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2725532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444530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80445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524975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10937</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9875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385742</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2616908</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247857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2864765</v>
      </c>
      <c r="C2031" s="2" t="s">
        <v>594</v>
      </c>
      <c r="D2031" s="2" t="str">
        <f t="shared" si="30"/>
        <v>Error?</v>
      </c>
    </row>
    <row r="2032" spans="1:4" x14ac:dyDescent="0.2">
      <c r="A2032" s="10">
        <v>1971</v>
      </c>
      <c r="D2032" s="2" t="str">
        <f t="shared" si="30"/>
        <v>OK</v>
      </c>
    </row>
    <row r="2033" spans="1:4" x14ac:dyDescent="0.2">
      <c r="A2033" s="5">
        <v>1972</v>
      </c>
      <c r="B2033" s="138">
        <f>'Cap Outlay Deprec 26'!H8</f>
        <v>1321257</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57794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1379051</v>
      </c>
      <c r="C2037" s="2" t="s">
        <v>594</v>
      </c>
      <c r="D2037" s="2" t="str">
        <f t="shared" si="30"/>
        <v>Error?</v>
      </c>
    </row>
    <row r="2038" spans="1:4" x14ac:dyDescent="0.2">
      <c r="A2038" s="10">
        <v>1977</v>
      </c>
      <c r="D2038" s="2" t="str">
        <f t="shared" si="30"/>
        <v>OK</v>
      </c>
    </row>
    <row r="2039" spans="1:4" x14ac:dyDescent="0.2">
      <c r="A2039" s="5">
        <v>1978</v>
      </c>
      <c r="B2039" s="138">
        <f>'Cap Outlay Deprec 26'!I8</f>
        <v>50116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15040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65156</v>
      </c>
      <c r="C2043" s="2" t="s">
        <v>594</v>
      </c>
      <c r="D2043" s="2" t="str">
        <f t="shared" si="30"/>
        <v>Error?</v>
      </c>
    </row>
    <row r="2044" spans="1:4" x14ac:dyDescent="0.2">
      <c r="A2044" s="10">
        <v>1983</v>
      </c>
      <c r="D2044" s="2" t="str">
        <f t="shared" si="30"/>
        <v>OK</v>
      </c>
    </row>
    <row r="2045" spans="1:4" x14ac:dyDescent="0.2">
      <c r="A2045" s="5">
        <v>1984</v>
      </c>
      <c r="B2045" s="138">
        <f>'Cap Outlay Deprec 26'!J8</f>
        <v>10937</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9875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20812</v>
      </c>
      <c r="C2049" s="2" t="s">
        <v>594</v>
      </c>
      <c r="D2049" s="2" t="str">
        <f t="shared" si="31"/>
        <v>Error?</v>
      </c>
    </row>
    <row r="2050" spans="1:4" x14ac:dyDescent="0.2">
      <c r="A2050" s="10">
        <v>1989</v>
      </c>
      <c r="D2050" s="2" t="str">
        <f t="shared" si="31"/>
        <v>OK</v>
      </c>
    </row>
    <row r="2051" spans="1:4" x14ac:dyDescent="0.2">
      <c r="A2051" s="5">
        <v>1990</v>
      </c>
      <c r="B2051" s="138">
        <f>'Cap Outlay Deprec 26'!K8</f>
        <v>1360436</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62959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1423395</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1256472</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184898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1441370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100236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135036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32751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796749</v>
      </c>
      <c r="C2551" s="2" t="s">
        <v>594</v>
      </c>
      <c r="D2551" s="2" t="str">
        <f t="shared" si="38"/>
        <v>Error?</v>
      </c>
    </row>
    <row r="2552" spans="1:4" x14ac:dyDescent="0.2">
      <c r="A2552" s="10">
        <v>2491</v>
      </c>
      <c r="D2552" s="2" t="str">
        <f t="shared" si="38"/>
        <v>OK</v>
      </c>
    </row>
    <row r="2553" spans="1:4" x14ac:dyDescent="0.2">
      <c r="A2553" s="5">
        <v>2492</v>
      </c>
      <c r="B2553" s="138">
        <f>'Acct Summary 7-8'!C6</f>
        <v>678766</v>
      </c>
      <c r="C2553" s="2" t="s">
        <v>594</v>
      </c>
      <c r="D2553" s="2" t="str">
        <f t="shared" si="38"/>
        <v>Error?</v>
      </c>
    </row>
    <row r="2554" spans="1:4" x14ac:dyDescent="0.2">
      <c r="A2554" s="5">
        <v>2493</v>
      </c>
      <c r="B2554" s="138">
        <f>'Acct Summary 7-8'!C7</f>
        <v>192278</v>
      </c>
      <c r="C2554" s="2" t="s">
        <v>594</v>
      </c>
      <c r="D2554" s="2" t="str">
        <f t="shared" si="38"/>
        <v>Error?</v>
      </c>
    </row>
    <row r="2555" spans="1:4" x14ac:dyDescent="0.2">
      <c r="A2555" s="5">
        <v>2494</v>
      </c>
      <c r="B2555" s="138">
        <f>'Acct Summary 7-8'!C8</f>
        <v>1667793</v>
      </c>
      <c r="C2555" s="2" t="s">
        <v>594</v>
      </c>
      <c r="D2555" s="2" t="str">
        <f t="shared" si="38"/>
        <v>Error?</v>
      </c>
    </row>
    <row r="2556" spans="1:4" x14ac:dyDescent="0.2">
      <c r="A2556" s="5">
        <v>2495</v>
      </c>
      <c r="B2556" s="138">
        <f>'Acct Summary 7-8'!C12</f>
        <v>1045574</v>
      </c>
      <c r="C2556" s="2" t="s">
        <v>594</v>
      </c>
      <c r="D2556" s="2" t="str">
        <f t="shared" si="38"/>
        <v>Error?</v>
      </c>
    </row>
    <row r="2557" spans="1:4" x14ac:dyDescent="0.2">
      <c r="A2557" s="5">
        <v>2496</v>
      </c>
      <c r="B2557" s="138">
        <f>'Acct Summary 7-8'!C13</f>
        <v>470735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135036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1651345</v>
      </c>
      <c r="C2561" s="2" t="s">
        <v>594</v>
      </c>
      <c r="D2561" s="2" t="str">
        <f t="shared" si="39"/>
        <v>Error?</v>
      </c>
    </row>
    <row r="2562" spans="1:4" x14ac:dyDescent="0.2">
      <c r="A2562" s="5">
        <v>2501</v>
      </c>
      <c r="B2562" s="138">
        <f>'Acct Summary 7-8'!C20</f>
        <v>16448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493144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493144</v>
      </c>
      <c r="C2568" s="2" t="s">
        <v>594</v>
      </c>
      <c r="D2568" s="2" t="str">
        <f t="shared" si="39"/>
        <v>Error?</v>
      </c>
    </row>
    <row r="2569" spans="1:4" x14ac:dyDescent="0.2">
      <c r="A2569" s="5">
        <v>2508</v>
      </c>
      <c r="B2569" s="138">
        <f>'Acct Summary 7-8'!D13</f>
        <v>256018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256018</v>
      </c>
      <c r="C2573" s="2" t="s">
        <v>594</v>
      </c>
      <c r="D2573" s="2" t="str">
        <f t="shared" si="39"/>
        <v>Error?</v>
      </c>
    </row>
    <row r="2574" spans="1:4" x14ac:dyDescent="0.2">
      <c r="A2574" s="5">
        <v>2513</v>
      </c>
      <c r="B2574" s="138">
        <f>'Acct Summary 7-8'!D20</f>
        <v>237126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809</v>
      </c>
      <c r="C2591" s="2" t="s">
        <v>594</v>
      </c>
      <c r="D2591" s="2" t="str">
        <f t="shared" si="39"/>
        <v>Error?</v>
      </c>
    </row>
    <row r="2592" spans="1:4" x14ac:dyDescent="0.2">
      <c r="A2592" s="10">
        <v>2531</v>
      </c>
      <c r="D2592" s="2" t="str">
        <f t="shared" si="39"/>
        <v>OK</v>
      </c>
    </row>
    <row r="2593" spans="1:4" x14ac:dyDescent="0.2">
      <c r="A2593" s="5">
        <v>2532</v>
      </c>
      <c r="B2593" s="138">
        <f>'Acct Summary 7-8'!F6</f>
        <v>11924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12733</v>
      </c>
      <c r="C2595" s="2" t="s">
        <v>594</v>
      </c>
      <c r="D2595" s="2" t="str">
        <f t="shared" si="39"/>
        <v>Error?</v>
      </c>
    </row>
    <row r="2596" spans="1:4" x14ac:dyDescent="0.2">
      <c r="A2596" s="5">
        <v>2535</v>
      </c>
      <c r="B2596" s="138">
        <f>'Acct Summary 7-8'!F13</f>
        <v>6478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6478</v>
      </c>
      <c r="C2600" s="2" t="s">
        <v>594</v>
      </c>
      <c r="D2600" s="2" t="str">
        <f t="shared" si="39"/>
        <v>Error?</v>
      </c>
    </row>
    <row r="2601" spans="1:4" x14ac:dyDescent="0.2">
      <c r="A2601" s="5">
        <v>2540</v>
      </c>
      <c r="B2601" s="138">
        <f>'Acct Summary 7-8'!F20</f>
        <v>6255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34800</v>
      </c>
      <c r="C2789" s="2" t="s">
        <v>594</v>
      </c>
      <c r="D2789" s="2" t="str">
        <f t="shared" si="42"/>
        <v>Error?</v>
      </c>
    </row>
    <row r="2790" spans="1:4" x14ac:dyDescent="0.2">
      <c r="A2790" s="5">
        <v>2729</v>
      </c>
      <c r="B2790" s="138">
        <f>'Expenditures 15-22'!E102</f>
        <v>34800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25101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119251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56276</v>
      </c>
      <c r="D2914" s="2" t="str">
        <f t="shared" si="44"/>
        <v>Error?</v>
      </c>
    </row>
    <row r="2915" spans="1:4" x14ac:dyDescent="0.2">
      <c r="A2915" s="10">
        <v>2854</v>
      </c>
      <c r="D2915" s="2" t="str">
        <f t="shared" si="44"/>
        <v>OK</v>
      </c>
    </row>
    <row r="2916" spans="1:4" x14ac:dyDescent="0.2">
      <c r="A2916" s="5">
        <v>2855</v>
      </c>
      <c r="B2916" s="138">
        <f>'Assets-Liab 5-6'!L34</f>
        <v>56276</v>
      </c>
      <c r="C2916" s="2" t="s">
        <v>594</v>
      </c>
      <c r="D2916" s="2" t="str">
        <f t="shared" si="44"/>
        <v>Error?</v>
      </c>
    </row>
    <row r="2917" spans="1:4" x14ac:dyDescent="0.2">
      <c r="A2917" s="5">
        <v>2856</v>
      </c>
      <c r="B2917" s="138">
        <f>'Assets-Liab 5-6'!L41</f>
        <v>119251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34800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100236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100236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34800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62975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16448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237126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6255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94150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364930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364930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556686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2224479</v>
      </c>
      <c r="C4122" s="2" t="s">
        <v>594</v>
      </c>
      <c r="D4122" s="2" t="str">
        <f t="shared" si="63"/>
        <v>Error?</v>
      </c>
    </row>
    <row r="4123" spans="1:4" x14ac:dyDescent="0.2">
      <c r="A4123" s="5">
        <v>4062</v>
      </c>
      <c r="B4123" s="138">
        <f>'Acct Summary 7-8'!D10</f>
        <v>493144</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12733</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556686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2208031</v>
      </c>
      <c r="C4136" s="2" t="s">
        <v>594</v>
      </c>
      <c r="D4136" s="2" t="str">
        <f t="shared" si="63"/>
        <v>Error?</v>
      </c>
    </row>
    <row r="4137" spans="1:4" x14ac:dyDescent="0.2">
      <c r="A4137" s="5">
        <v>4076</v>
      </c>
      <c r="B4137" s="138">
        <f>'Acct Summary 7-8'!D19</f>
        <v>256018</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6478</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1014061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560909</v>
      </c>
      <c r="D5079" s="2" t="str">
        <f t="shared" si="78"/>
        <v>Error?</v>
      </c>
    </row>
    <row r="5080" spans="1:4" x14ac:dyDescent="0.2">
      <c r="A5080" s="5">
        <v>5019</v>
      </c>
      <c r="B5080" s="138">
        <f>'Revenues 9-14'!C30</f>
        <v>8000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568909</v>
      </c>
      <c r="C5087" s="2" t="s">
        <v>594</v>
      </c>
      <c r="D5087" s="2" t="str">
        <f t="shared" si="78"/>
        <v>Error?</v>
      </c>
    </row>
    <row r="5088" spans="1:4" x14ac:dyDescent="0.2">
      <c r="A5088" s="5">
        <v>5027</v>
      </c>
      <c r="B5088" s="138">
        <f>'Revenues 9-14'!C65</f>
        <v>6918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6918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2770</v>
      </c>
      <c r="D5095" s="2" t="str">
        <f t="shared" si="78"/>
        <v>Error?</v>
      </c>
    </row>
    <row r="5096" spans="1:4" x14ac:dyDescent="0.2">
      <c r="A5096" s="5">
        <v>5035</v>
      </c>
      <c r="B5096" s="138">
        <f>'Revenues 9-14'!C75</f>
        <v>2770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9387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9387</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168819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5459</v>
      </c>
      <c r="D5116" s="2" t="str">
        <f t="shared" si="78"/>
        <v>Error?</v>
      </c>
    </row>
    <row r="5117" spans="1:4" x14ac:dyDescent="0.2">
      <c r="A5117" s="5">
        <v>5056</v>
      </c>
      <c r="B5117" s="138">
        <f>'Revenues 9-14'!C105</f>
        <v>31796</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2691</v>
      </c>
      <c r="D5119" s="2" t="str">
        <f t="shared" ref="D5119:D5182" si="79">IF(ISBLANK(B5119),"OK",IF(A5119-B5119=0,"OK","Error?"))</f>
        <v>Error?</v>
      </c>
    </row>
    <row r="5120" spans="1:4" x14ac:dyDescent="0.2">
      <c r="A5120" s="5">
        <v>5059</v>
      </c>
      <c r="B5120" s="138">
        <f>'Revenues 9-14'!C108</f>
        <v>208765</v>
      </c>
      <c r="C5120" s="2" t="s">
        <v>594</v>
      </c>
      <c r="D5120" s="2" t="str">
        <f t="shared" si="79"/>
        <v>Error?</v>
      </c>
    </row>
    <row r="5121" spans="1:4" x14ac:dyDescent="0.2">
      <c r="A5121" s="5">
        <v>5060</v>
      </c>
      <c r="B5121" s="138">
        <f>'Revenues 9-14'!C109</f>
        <v>796749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678766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678766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678766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678766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192278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192278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192278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192278</v>
      </c>
      <c r="C5326" s="2" t="s">
        <v>594</v>
      </c>
      <c r="D5326" s="2" t="str">
        <f t="shared" si="82"/>
        <v>Error?</v>
      </c>
    </row>
    <row r="5327" spans="1:4" x14ac:dyDescent="0.2">
      <c r="A5327" s="5">
        <v>5266</v>
      </c>
      <c r="B5327" s="138">
        <f>'Revenues 9-14'!C275</f>
        <v>1667793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2097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2097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18750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472297</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491047</v>
      </c>
      <c r="C5355" s="2" t="s">
        <v>594</v>
      </c>
      <c r="D5355" s="2" t="str">
        <f t="shared" si="82"/>
        <v>Error?</v>
      </c>
    </row>
    <row r="5356" spans="1:4" x14ac:dyDescent="0.2">
      <c r="A5356" s="5">
        <v>5295</v>
      </c>
      <c r="B5356" s="138">
        <f>'Revenues 9-14'!D109</f>
        <v>493144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493144</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600</v>
      </c>
      <c r="D5586" s="2" t="str">
        <f t="shared" si="86"/>
        <v>Error?</v>
      </c>
    </row>
    <row r="5587" spans="1:4" x14ac:dyDescent="0.2">
      <c r="A5587" s="5">
        <v>5526</v>
      </c>
      <c r="B5587" s="138">
        <f>'Revenues 9-14'!F108</f>
        <v>600</v>
      </c>
      <c r="C5587" s="2" t="s">
        <v>594</v>
      </c>
      <c r="D5587" s="2" t="str">
        <f t="shared" si="86"/>
        <v>Error?</v>
      </c>
    </row>
    <row r="5588" spans="1:4" x14ac:dyDescent="0.2">
      <c r="A5588" s="5">
        <v>5527</v>
      </c>
      <c r="B5588" s="138">
        <f>'Revenues 9-14'!F109</f>
        <v>809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11924</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11924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11924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11924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12733</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55337</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3001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8891</v>
      </c>
      <c r="D6099" s="2" t="str">
        <f t="shared" si="94"/>
        <v>Error?</v>
      </c>
      <c r="E6099" s="2" t="s">
        <v>199</v>
      </c>
    </row>
    <row r="6100" spans="1:5" x14ac:dyDescent="0.2">
      <c r="A6100">
        <v>6039</v>
      </c>
      <c r="B6100" s="138">
        <f>'Assets-Liab 5-6'!D9</f>
        <v>91</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10241</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21611</v>
      </c>
      <c r="D6142" s="2" t="str">
        <f t="shared" si="94"/>
        <v>Error?</v>
      </c>
      <c r="E6142" s="2" t="s">
        <v>199</v>
      </c>
    </row>
    <row r="6143" spans="1:5" x14ac:dyDescent="0.2">
      <c r="A6143">
        <v>6082</v>
      </c>
      <c r="B6143" s="138">
        <f>'Assets-Liab 5-6'!D27</f>
        <v>2112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14286</v>
      </c>
      <c r="D6169" s="2" t="str">
        <f t="shared" si="95"/>
        <v>Error?</v>
      </c>
      <c r="E6169" s="2" t="s">
        <v>199</v>
      </c>
    </row>
    <row r="6170" spans="1:5" x14ac:dyDescent="0.2">
      <c r="A6170">
        <v>6109</v>
      </c>
      <c r="B6170" s="138">
        <f>'Assets-Liab 5-6'!D30</f>
        <v>3520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16448</v>
      </c>
      <c r="D6267" s="2" t="str">
        <f t="shared" si="96"/>
        <v>Error?</v>
      </c>
      <c r="E6267" s="2" t="s">
        <v>199</v>
      </c>
    </row>
    <row r="6268" spans="1:5" x14ac:dyDescent="0.2">
      <c r="A6268">
        <v>6207</v>
      </c>
      <c r="B6268" s="138">
        <f>'Acct Summary 7-8'!D82</f>
        <v>237126</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6255</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2.0327680026892652E-2</v>
      </c>
      <c r="D6276" s="2" t="str">
        <f t="shared" si="97"/>
        <v>Error?</v>
      </c>
      <c r="E6276" s="2" t="s">
        <v>199</v>
      </c>
    </row>
    <row r="6277" spans="1:5" x14ac:dyDescent="0.2">
      <c r="A6277">
        <v>6216</v>
      </c>
      <c r="B6277" s="138">
        <f>'Acct Summary 7-8'!D83</f>
        <v>1.3288762111846493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0.23624277674963176</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55455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55455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1690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1690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1690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57145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2176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2176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2176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2176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2499</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2499</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2499</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61820</v>
      </c>
      <c r="D7624" s="2" t="str">
        <f t="shared" si="124"/>
        <v>Error?</v>
      </c>
      <c r="E7624" s="2" t="s">
        <v>19</v>
      </c>
    </row>
    <row r="7625" spans="1:5" x14ac:dyDescent="0.2">
      <c r="A7625">
        <f t="shared" si="123"/>
        <v>7564</v>
      </c>
      <c r="B7625" s="138">
        <f>'Cap Outlay Deprec 26'!I17</f>
        <v>6182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71338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3001</v>
      </c>
      <c r="D7759" s="2" t="str">
        <f t="shared" si="127"/>
        <v>Error?</v>
      </c>
      <c r="E7759" s="4" t="s">
        <v>1400</v>
      </c>
    </row>
    <row r="7760" spans="1:6" x14ac:dyDescent="0.2">
      <c r="A7760">
        <v>7699</v>
      </c>
      <c r="B7760" s="138">
        <f>'Aud Quest 2'!J90</f>
        <v>3001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29'!D39</f>
        <v>8881</v>
      </c>
      <c r="D7797" s="2" t="str">
        <f t="shared" si="127"/>
        <v>Error?</v>
      </c>
      <c r="E7797" s="4" t="s">
        <v>2019</v>
      </c>
    </row>
    <row r="7798" spans="1:5" x14ac:dyDescent="0.2">
      <c r="A7798">
        <v>7737</v>
      </c>
      <c r="B7798" s="138">
        <f>'Contracts Paid in CY 29'!F39</f>
        <v>0</v>
      </c>
      <c r="D7798" s="2" t="str">
        <f t="shared" si="127"/>
        <v>Error?</v>
      </c>
      <c r="E7798" s="4" t="s">
        <v>2019</v>
      </c>
    </row>
    <row r="7799" spans="1:5" x14ac:dyDescent="0.2">
      <c r="A7799">
        <v>7738</v>
      </c>
      <c r="B7799" s="138">
        <f>'Contracts Paid in CY 29'!G39</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zoomScalePageLayoutView="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42578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Whiteside RVS</v>
      </c>
      <c r="B7" s="2422"/>
      <c r="C7" s="2422"/>
      <c r="D7" s="2423"/>
      <c r="E7" s="2424">
        <f>COVER!A13</f>
        <v>47098005046</v>
      </c>
      <c r="F7" s="2425"/>
      <c r="G7" s="2431" t="str">
        <f>COVER!T23</f>
        <v>066-004023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Wipfli LLP</v>
      </c>
      <c r="H9" s="2437"/>
      <c r="I9" s="2437"/>
      <c r="J9" s="2437"/>
      <c r="K9" s="2437"/>
      <c r="L9" s="2438"/>
    </row>
    <row r="10" spans="1:29" ht="13.5" customHeight="1" x14ac:dyDescent="0.2">
      <c r="A10" s="2411" t="str">
        <f>COVER!A38</f>
        <v>R. Tad Everett</v>
      </c>
      <c r="B10" s="2412"/>
      <c r="C10" s="2412"/>
      <c r="D10" s="2412"/>
      <c r="E10" s="2412"/>
      <c r="F10" s="2413"/>
      <c r="G10" s="2405" t="str">
        <f>COVER!T17</f>
        <v>403 East Third</v>
      </c>
      <c r="H10" s="2406"/>
      <c r="I10" s="2406"/>
      <c r="J10" s="2406"/>
      <c r="K10" s="2406"/>
      <c r="L10" s="2407"/>
    </row>
    <row r="11" spans="1:29" ht="13.5" customHeight="1" x14ac:dyDescent="0.2">
      <c r="A11" s="1185" t="s">
        <v>1599</v>
      </c>
      <c r="B11" s="1186"/>
      <c r="C11" s="1187"/>
      <c r="D11" s="1192"/>
      <c r="E11" s="1187"/>
      <c r="F11" s="1191"/>
      <c r="G11" s="2405" t="str">
        <f>COVER!T19</f>
        <v>Sterling</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mschueler@wipfli.com</v>
      </c>
      <c r="J13" s="2418"/>
      <c r="K13" s="2418"/>
      <c r="L13" s="2419"/>
    </row>
    <row r="14" spans="1:29" ht="13.5" customHeight="1" x14ac:dyDescent="0.2">
      <c r="A14" s="2405" t="str">
        <f>COVER!A19</f>
        <v>1608 5th Avenue</v>
      </c>
      <c r="B14" s="2406"/>
      <c r="C14" s="2406"/>
      <c r="D14" s="2406"/>
      <c r="E14" s="2406"/>
      <c r="F14" s="2407"/>
      <c r="G14" s="1196" t="s">
        <v>1247</v>
      </c>
      <c r="H14" s="1194"/>
      <c r="I14" s="1194"/>
      <c r="J14" s="1194"/>
      <c r="K14" s="1194"/>
      <c r="L14" s="1195"/>
    </row>
    <row r="15" spans="1:29" ht="13.5" customHeight="1" x14ac:dyDescent="0.2">
      <c r="A15" s="2405" t="str">
        <f>COVER!A21</f>
        <v>Sterling</v>
      </c>
      <c r="B15" s="2406"/>
      <c r="C15" s="2406"/>
      <c r="D15" s="2406"/>
      <c r="E15" s="2406"/>
      <c r="F15" s="2407"/>
      <c r="G15" s="2402" t="str">
        <f>COVER!T15</f>
        <v>Matthew Schueler</v>
      </c>
      <c r="H15" s="2403"/>
      <c r="I15" s="2403"/>
      <c r="J15" s="2403"/>
      <c r="K15" s="2403"/>
      <c r="L15" s="2404"/>
    </row>
    <row r="16" spans="1:29" ht="12.2" customHeight="1" x14ac:dyDescent="0.2">
      <c r="A16" s="2427">
        <f>COVER!A25</f>
        <v>61081</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815-626-1277</v>
      </c>
      <c r="H18" s="2422"/>
      <c r="I18" s="2422"/>
      <c r="J18" s="2422"/>
      <c r="K18" s="2421" t="str">
        <f>COVER!X21</f>
        <v>815-626-9118</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3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1.1"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1.1"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zoomScalePageLayoutView="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Whiteside RVS</v>
      </c>
      <c r="B1" s="2420"/>
      <c r="C1" s="2420"/>
      <c r="D1" s="2420"/>
    </row>
    <row r="2" spans="1:11" s="1215" customFormat="1" ht="12.75" x14ac:dyDescent="0.2">
      <c r="A2" s="2444">
        <f>'Single Audit Cover'!E7</f>
        <v>47098005046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zoomScalePageLayoutView="110" workbookViewId="0">
      <selection sqref="A1:E1"/>
    </sheetView>
  </sheetViews>
  <sheetFormatPr defaultColWidth="15.7109375" defaultRowHeight="12.75" x14ac:dyDescent="0.2"/>
  <cols>
    <col min="1" max="1" width="31.85546875" style="317" customWidth="1"/>
    <col min="2" max="2" width="29.42578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Whiteside RVS</v>
      </c>
      <c r="B1" s="2447"/>
      <c r="C1" s="2447"/>
      <c r="D1" s="2447"/>
      <c r="E1" s="2447"/>
    </row>
    <row r="2" spans="1:5" x14ac:dyDescent="0.2">
      <c r="A2" s="2448">
        <f>'Single Audit Cover'!E7</f>
        <v>47098005046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192278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192278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192278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192278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zoomScalePageLayoutView="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42578125" style="317" customWidth="1"/>
    <col min="6" max="6" width="2.7109375" style="317" customWidth="1"/>
    <col min="7" max="7" width="3.28515625" style="317" customWidth="1"/>
    <col min="8" max="16384" width="8" style="317"/>
  </cols>
  <sheetData>
    <row r="1" spans="1:7" ht="13.5" customHeight="1" x14ac:dyDescent="0.2">
      <c r="A1" s="2460" t="str">
        <f>'Single Audit Cover'!A7</f>
        <v>Whiteside RVS</v>
      </c>
      <c r="B1" s="2460"/>
      <c r="C1" s="2460"/>
      <c r="D1" s="2460"/>
      <c r="E1" s="2460"/>
      <c r="F1" s="2460"/>
    </row>
    <row r="2" spans="1:7" ht="13.5" customHeight="1" x14ac:dyDescent="0.2">
      <c r="A2" s="2461">
        <f>'Single Audit Cover'!E7</f>
        <v>47098005046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0" t="s">
        <v>1332</v>
      </c>
      <c r="D15" s="2457" t="s">
        <v>1331</v>
      </c>
      <c r="E15" s="2457"/>
      <c r="F15" s="2457"/>
    </row>
    <row r="16" spans="1:7" ht="13.5" customHeight="1" x14ac:dyDescent="0.2">
      <c r="A16" s="1282"/>
      <c r="B16" s="1276" t="s">
        <v>1330</v>
      </c>
      <c r="C16" s="1870" t="s">
        <v>1329</v>
      </c>
      <c r="D16" s="2458" t="s">
        <v>1670</v>
      </c>
      <c r="E16" s="2458"/>
      <c r="F16" s="2458"/>
    </row>
    <row r="17" spans="1:6" ht="20.45" customHeight="1" x14ac:dyDescent="0.2">
      <c r="A17" s="1283"/>
      <c r="B17" s="1284"/>
      <c r="C17" s="1285"/>
      <c r="D17" s="2452"/>
      <c r="E17" s="2452"/>
      <c r="F17" s="2452"/>
    </row>
    <row r="18" spans="1:6" ht="20.85" customHeight="1" x14ac:dyDescent="0.2">
      <c r="A18" s="1283"/>
      <c r="B18" s="1284"/>
      <c r="C18" s="1285"/>
      <c r="D18" s="2452"/>
      <c r="E18" s="2452"/>
      <c r="F18" s="2452"/>
    </row>
    <row r="19" spans="1:6" ht="20.85" customHeight="1" x14ac:dyDescent="0.2">
      <c r="A19" s="1283"/>
      <c r="B19" s="1284"/>
      <c r="C19" s="1285"/>
      <c r="D19" s="2452"/>
      <c r="E19" s="2452"/>
      <c r="F19" s="2452"/>
    </row>
    <row r="20" spans="1:6" ht="20.85" customHeight="1" x14ac:dyDescent="0.2">
      <c r="A20" s="1283"/>
      <c r="B20" s="1284"/>
      <c r="C20" s="1285"/>
      <c r="D20" s="2452"/>
      <c r="E20" s="2452"/>
      <c r="F20" s="2452"/>
    </row>
    <row r="21" spans="1:6" ht="20.85" customHeight="1" x14ac:dyDescent="0.2">
      <c r="A21" s="1283"/>
      <c r="B21" s="1284"/>
      <c r="C21" s="1285"/>
      <c r="D21" s="2452"/>
      <c r="E21" s="2452"/>
      <c r="F21" s="2452"/>
    </row>
    <row r="22" spans="1:6" ht="20.85" customHeight="1" x14ac:dyDescent="0.2">
      <c r="A22" s="1283"/>
      <c r="B22" s="1284"/>
      <c r="C22" s="1285"/>
      <c r="D22" s="2452"/>
      <c r="E22" s="2452"/>
      <c r="F22" s="2452"/>
    </row>
    <row r="23" spans="1:6" ht="20.85" customHeight="1" x14ac:dyDescent="0.2">
      <c r="A23" s="1283"/>
      <c r="B23" s="1284"/>
      <c r="C23" s="1285"/>
      <c r="D23" s="2452"/>
      <c r="E23" s="2452"/>
      <c r="F23" s="2452"/>
    </row>
    <row r="24" spans="1:6" ht="20.85" customHeight="1" x14ac:dyDescent="0.2">
      <c r="A24" s="1283"/>
      <c r="B24" s="1284"/>
      <c r="C24" s="1285"/>
      <c r="D24" s="2452"/>
      <c r="E24" s="2452"/>
      <c r="F24" s="2452"/>
    </row>
    <row r="25" spans="1:6" ht="20.85" customHeight="1" x14ac:dyDescent="0.2">
      <c r="A25" s="1283"/>
      <c r="B25" s="1284"/>
      <c r="C25" s="1285"/>
      <c r="D25" s="2452"/>
      <c r="E25" s="2452"/>
      <c r="F25" s="2452"/>
    </row>
    <row r="26" spans="1:6" ht="20.85" customHeight="1" x14ac:dyDescent="0.2">
      <c r="A26" s="1283"/>
      <c r="B26" s="1284"/>
      <c r="C26" s="1285"/>
      <c r="D26" s="2452"/>
      <c r="E26" s="2452"/>
      <c r="F26" s="2452"/>
    </row>
    <row r="27" spans="1:6" ht="20.85" customHeight="1" x14ac:dyDescent="0.2">
      <c r="A27" s="1283"/>
      <c r="B27" s="1284"/>
      <c r="C27" s="1285"/>
      <c r="D27" s="2452"/>
      <c r="E27" s="2452"/>
      <c r="F27" s="2452"/>
    </row>
    <row r="28" spans="1:6" ht="20.85" customHeight="1" x14ac:dyDescent="0.2">
      <c r="A28" s="1283"/>
      <c r="B28" s="1284"/>
      <c r="C28" s="1285"/>
      <c r="D28" s="2452"/>
      <c r="E28" s="2452"/>
      <c r="F28" s="2452"/>
    </row>
    <row r="29" spans="1:6" ht="20.85" customHeight="1" x14ac:dyDescent="0.2">
      <c r="A29" s="1283"/>
      <c r="B29" s="1284"/>
      <c r="C29" s="1285"/>
      <c r="D29" s="2452"/>
      <c r="E29" s="2452"/>
      <c r="F29" s="2452"/>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4">
        <f>+C33+C34</f>
        <v>0</v>
      </c>
      <c r="F34" s="2455"/>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69"/>
      <c r="C50" s="1869"/>
      <c r="D50" s="1869"/>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Normal="100" zoomScalePageLayoutView="110" workbookViewId="0"/>
  </sheetViews>
  <sheetFormatPr defaultColWidth="9.140625" defaultRowHeight="12.75" x14ac:dyDescent="0.2"/>
  <cols>
    <col min="1" max="1" width="1.42578125" style="202" customWidth="1"/>
    <col min="2" max="2" width="2.85546875" style="203" customWidth="1"/>
    <col min="3" max="3" width="4.140625" style="204" customWidth="1"/>
    <col min="4" max="4" width="40" style="202" customWidth="1"/>
    <col min="5" max="6" width="12.42578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v>3001</v>
      </c>
      <c r="G88" s="276"/>
      <c r="H88" s="276"/>
      <c r="I88" s="276"/>
      <c r="J88" s="277">
        <f>SUM(E88:I88)</f>
        <v>3001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3001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workbookViewId="0"/>
  </sheetViews>
  <sheetFormatPr defaultColWidth="33.42578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42578125" style="317"/>
  </cols>
  <sheetData>
    <row r="1" spans="2:14" ht="11.85" customHeight="1" x14ac:dyDescent="0.2">
      <c r="B1" s="2430" t="str">
        <f>'Single Audit Cover'!A7</f>
        <v>Whiteside RVS</v>
      </c>
      <c r="C1" s="2464"/>
      <c r="D1" s="2464"/>
      <c r="E1" s="2464"/>
      <c r="F1" s="2464"/>
      <c r="G1" s="2464"/>
      <c r="H1" s="2464"/>
      <c r="I1" s="2464"/>
      <c r="J1" s="2464"/>
      <c r="K1" s="2464"/>
      <c r="L1" s="2464"/>
      <c r="M1" s="2464"/>
    </row>
    <row r="2" spans="2:14" ht="15" x14ac:dyDescent="0.2">
      <c r="B2" s="2461">
        <f>'Single Audit Cover'!E7</f>
        <v>47098005046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0" zoomScale="110" zoomScaleNormal="110" zoomScalePageLayoutView="110" workbookViewId="0"/>
  </sheetViews>
  <sheetFormatPr defaultColWidth="9.140625" defaultRowHeight="12.75" x14ac:dyDescent="0.2"/>
  <cols>
    <col min="1" max="1" width="1.42578125" style="1300" customWidth="1"/>
    <col min="2" max="2" width="24.42578125" style="1357" customWidth="1"/>
    <col min="3" max="3" width="29.42578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42578125" style="317" customWidth="1"/>
    <col min="13" max="16384" width="9.140625" style="317"/>
  </cols>
  <sheetData>
    <row r="1" spans="2:10" s="317" customFormat="1" ht="12.75" customHeight="1" x14ac:dyDescent="0.2">
      <c r="B1" s="2478" t="str">
        <f>'Single Audit Cover'!A7</f>
        <v>Whiteside RVS</v>
      </c>
      <c r="C1" s="2479"/>
      <c r="D1" s="2479"/>
      <c r="E1" s="2479"/>
      <c r="F1" s="2479"/>
      <c r="G1" s="2479"/>
      <c r="H1" s="2479"/>
      <c r="I1" s="2479"/>
      <c r="J1" s="1422"/>
    </row>
    <row r="2" spans="2:10" s="317" customFormat="1" ht="12.75" customHeight="1" x14ac:dyDescent="0.2">
      <c r="B2" s="2480">
        <f>'Single Audit Cover'!E7</f>
        <v>47098005046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zoomScalePageLayoutView="110" workbookViewId="0"/>
  </sheetViews>
  <sheetFormatPr defaultColWidth="9.140625" defaultRowHeight="12.75" x14ac:dyDescent="0.2"/>
  <cols>
    <col min="1" max="1" width="1.42578125" style="317" customWidth="1"/>
    <col min="2" max="2" width="21.42578125" style="317" customWidth="1"/>
    <col min="3" max="3" width="6.140625" style="317" customWidth="1"/>
    <col min="4" max="4" width="4.42578125" style="317" customWidth="1"/>
    <col min="5" max="5" width="3.42578125" style="317" customWidth="1"/>
    <col min="6" max="6" width="20.140625" style="317" customWidth="1"/>
    <col min="7" max="7" width="3.42578125" style="1258" customWidth="1"/>
    <col min="8" max="8" width="10.42578125" style="317" customWidth="1"/>
    <col min="9" max="9" width="3.42578125" style="1258"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Whiteside RVS</v>
      </c>
      <c r="C1" s="2478"/>
      <c r="D1" s="2478"/>
      <c r="E1" s="2478"/>
      <c r="F1" s="2478"/>
      <c r="G1" s="2478"/>
      <c r="H1" s="2478"/>
      <c r="I1" s="2478"/>
      <c r="J1" s="2478"/>
      <c r="K1" s="2478"/>
      <c r="L1" s="1374"/>
      <c r="M1" s="1374"/>
    </row>
    <row r="2" spans="1:13" ht="12" customHeight="1" x14ac:dyDescent="0.2">
      <c r="B2" s="2480">
        <f>'Single Audit Cover'!E7</f>
        <v>47098005046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zoomScalePageLayoutView="110" workbookViewId="0"/>
  </sheetViews>
  <sheetFormatPr defaultColWidth="9.140625" defaultRowHeight="12.75" x14ac:dyDescent="0.2"/>
  <cols>
    <col min="1" max="1" width="1.42578125" style="317" customWidth="1"/>
    <col min="2" max="2" width="21.42578125" style="317" customWidth="1"/>
    <col min="3" max="3" width="6.140625" style="317" customWidth="1"/>
    <col min="4" max="4" width="4.7109375" style="317" customWidth="1"/>
    <col min="5" max="5" width="3.42578125" style="317" customWidth="1"/>
    <col min="6" max="6" width="20.140625" style="317" customWidth="1"/>
    <col min="7" max="7" width="3.42578125" style="1258" customWidth="1"/>
    <col min="8" max="8" width="10.42578125" style="317" customWidth="1"/>
    <col min="9" max="9" width="3.42578125" style="1258"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2" ht="12.75" customHeight="1" x14ac:dyDescent="0.2">
      <c r="B1" s="2501" t="str">
        <f>'Single Audit Cover'!A7</f>
        <v>Whiteside RVS</v>
      </c>
      <c r="C1" s="2501"/>
      <c r="D1" s="2501"/>
      <c r="E1" s="2501"/>
      <c r="F1" s="2501"/>
      <c r="G1" s="2501"/>
      <c r="H1" s="2501"/>
      <c r="I1" s="2501"/>
      <c r="J1" s="2501"/>
      <c r="K1" s="2501"/>
      <c r="L1" s="1465"/>
    </row>
    <row r="2" spans="1:12" ht="12.75" customHeight="1" x14ac:dyDescent="0.2">
      <c r="B2" s="2502">
        <f>'Single Audit Cover'!E7</f>
        <v>47098005046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6"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6"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zoomScalePageLayoutView="110" workbookViewId="0"/>
  </sheetViews>
  <sheetFormatPr defaultColWidth="9.140625" defaultRowHeight="12.75" x14ac:dyDescent="0.2"/>
  <cols>
    <col min="1" max="1" width="1.42578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Whiteside RVS</v>
      </c>
      <c r="C1" s="2478"/>
      <c r="D1" s="2478"/>
      <c r="E1" s="1491"/>
    </row>
    <row r="2" spans="2:5" s="1282" customFormat="1" ht="12.75" customHeight="1" x14ac:dyDescent="0.2">
      <c r="B2" s="2480">
        <f>'Single Audit Cover'!E7</f>
        <v>47098005046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3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Normal="100" workbookViewId="0">
      <selection sqref="A1:F1"/>
    </sheetView>
  </sheetViews>
  <sheetFormatPr defaultRowHeight="12.75" x14ac:dyDescent="0.2"/>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zoomScalePageLayoutView="110" workbookViewId="0">
      <selection sqref="A1:F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3">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2173670</v>
      </c>
      <c r="E16" s="356"/>
      <c r="F16" s="1754">
        <f>SUM('Acct Summary 7-8'!C17,'Acct Summary 7-8'!D17,'Acct Summary 7-8'!F17)</f>
        <v>1913841</v>
      </c>
      <c r="G16" s="356"/>
      <c r="H16" s="1754">
        <f>SUM(D16-F16)</f>
        <v>259829</v>
      </c>
      <c r="I16" s="222"/>
      <c r="J16" s="1754">
        <f>SUM('Acct Summary 7-8'!C81,'Acct Summary 7-8'!D81,'Acct Summary 7-8'!F81,'Acct Summary 7-8'!I81)</f>
        <v>1014061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zoomScalePageLayoutView="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Whiteside RVS</v>
      </c>
      <c r="E7" s="391"/>
      <c r="G7" s="252"/>
      <c r="H7" s="387"/>
      <c r="I7" s="387"/>
      <c r="J7" s="387"/>
      <c r="K7" s="387"/>
      <c r="L7" s="329"/>
      <c r="M7" s="329"/>
      <c r="N7" s="329"/>
      <c r="O7" s="329"/>
      <c r="P7" s="329"/>
    </row>
    <row r="8" spans="1:18" ht="12.75" x14ac:dyDescent="0.2">
      <c r="A8" s="329"/>
      <c r="B8" s="329"/>
      <c r="C8" s="389" t="s">
        <v>1187</v>
      </c>
      <c r="D8" s="392">
        <f>COVER!A13</f>
        <v>47098005046</v>
      </c>
      <c r="E8" s="393"/>
      <c r="G8" s="329"/>
      <c r="H8" s="329"/>
      <c r="I8" s="329"/>
      <c r="J8" s="329"/>
      <c r="K8" s="329"/>
      <c r="L8" s="329"/>
      <c r="M8" s="329"/>
      <c r="N8" s="329"/>
      <c r="O8" s="329"/>
      <c r="P8" s="329"/>
    </row>
    <row r="9" spans="1:18" ht="12.75" x14ac:dyDescent="0.2">
      <c r="A9" s="329"/>
      <c r="B9" s="329"/>
      <c r="C9" s="389" t="s">
        <v>737</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1014061</v>
      </c>
      <c r="I12" s="404"/>
      <c r="J12" s="404"/>
      <c r="K12" s="405">
        <f>TRUNC((H12/H13*100000),5)/100000</f>
        <v>0.46652021690000001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2173670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1913841</v>
      </c>
      <c r="I17" s="404"/>
      <c r="J17" s="416"/>
      <c r="K17" s="405">
        <f>TRUNC((H17/H18*100000),5)/100000</f>
        <v>0.8804652959999999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2173670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955519</v>
      </c>
      <c r="I24" s="422"/>
      <c r="J24" s="422"/>
      <c r="K24" s="423">
        <f>TRUNC(((H24/H25*100000)/100000),2)</f>
        <v>179.73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5316.2250000000004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PageLayoutView="125" workbookViewId="0">
      <pane ySplit="2" topLeftCell="A3" activePane="bottomLeft" state="frozen"/>
      <selection sqref="A1:F1"/>
      <selection pane="bottomLeft" sqref="A1:F1"/>
    </sheetView>
  </sheetViews>
  <sheetFormatPr defaultColWidth="9.140625" defaultRowHeight="12.75" x14ac:dyDescent="0.2"/>
  <cols>
    <col min="1" max="1" width="47.28515625" style="501" customWidth="1"/>
    <col min="2" max="2" width="4.42578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1301</v>
      </c>
      <c r="D4" s="466">
        <v>700</v>
      </c>
      <c r="E4" s="466"/>
      <c r="F4" s="466">
        <v>100</v>
      </c>
      <c r="G4" s="466"/>
      <c r="H4" s="466"/>
      <c r="I4" s="466"/>
      <c r="J4" s="467"/>
      <c r="K4" s="466"/>
      <c r="L4" s="466">
        <v>94150</v>
      </c>
      <c r="M4" s="468"/>
      <c r="N4" s="469"/>
    </row>
    <row r="5" spans="1:14" x14ac:dyDescent="0.2">
      <c r="A5" s="463" t="s">
        <v>1049</v>
      </c>
      <c r="B5" s="470">
        <v>120</v>
      </c>
      <c r="C5" s="465">
        <v>746760</v>
      </c>
      <c r="D5" s="466">
        <v>183282</v>
      </c>
      <c r="E5" s="466"/>
      <c r="F5" s="466">
        <v>23376</v>
      </c>
      <c r="G5" s="466"/>
      <c r="H5" s="466"/>
      <c r="I5" s="466"/>
      <c r="J5" s="467"/>
      <c r="K5" s="471"/>
      <c r="L5" s="472">
        <v>25101</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55337</v>
      </c>
      <c r="D8" s="467"/>
      <c r="E8" s="467"/>
      <c r="F8" s="467">
        <v>3001</v>
      </c>
      <c r="G8" s="478"/>
      <c r="H8" s="467"/>
      <c r="I8" s="474"/>
      <c r="J8" s="474"/>
      <c r="K8" s="479"/>
      <c r="L8" s="480"/>
      <c r="M8" s="468"/>
      <c r="N8" s="469"/>
    </row>
    <row r="9" spans="1:14" ht="13.5" customHeight="1" x14ac:dyDescent="0.2">
      <c r="A9" s="473" t="s">
        <v>288</v>
      </c>
      <c r="B9" s="470">
        <v>160</v>
      </c>
      <c r="C9" s="476">
        <v>8891</v>
      </c>
      <c r="D9" s="467">
        <v>91</v>
      </c>
      <c r="E9" s="467"/>
      <c r="F9" s="467"/>
      <c r="G9" s="467"/>
      <c r="H9" s="478"/>
      <c r="I9" s="467"/>
      <c r="J9" s="467"/>
      <c r="K9" s="467"/>
      <c r="L9" s="467"/>
      <c r="M9" s="468"/>
      <c r="N9" s="469"/>
    </row>
    <row r="10" spans="1:14" ht="13.5" customHeight="1" x14ac:dyDescent="0.2">
      <c r="A10" s="473" t="s">
        <v>1048</v>
      </c>
      <c r="B10" s="470">
        <v>170</v>
      </c>
      <c r="C10" s="465">
        <v>22510</v>
      </c>
      <c r="D10" s="466"/>
      <c r="E10" s="467"/>
      <c r="F10" s="466"/>
      <c r="G10" s="478"/>
      <c r="H10" s="481"/>
      <c r="I10" s="467"/>
      <c r="J10" s="467"/>
      <c r="K10" s="481"/>
      <c r="L10" s="481"/>
      <c r="M10" s="469"/>
      <c r="N10" s="469"/>
    </row>
    <row r="11" spans="1:14" ht="13.5" customHeight="1" x14ac:dyDescent="0.2">
      <c r="A11" s="473" t="s">
        <v>289</v>
      </c>
      <c r="B11" s="470">
        <v>180</v>
      </c>
      <c r="C11" s="476">
        <v>10241</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845040</v>
      </c>
      <c r="D13" s="1758">
        <f t="shared" ref="D13:L13" si="0">SUM(D4:D12)</f>
        <v>184073</v>
      </c>
      <c r="E13" s="1758">
        <f t="shared" si="0"/>
        <v>0</v>
      </c>
      <c r="F13" s="1758">
        <f t="shared" si="0"/>
        <v>26477</v>
      </c>
      <c r="G13" s="1758">
        <f t="shared" si="0"/>
        <v>0</v>
      </c>
      <c r="H13" s="1758">
        <f t="shared" si="0"/>
        <v>0</v>
      </c>
      <c r="I13" s="1758">
        <f t="shared" si="0"/>
        <v>0</v>
      </c>
      <c r="J13" s="1758">
        <f t="shared" si="0"/>
        <v>0</v>
      </c>
      <c r="K13" s="1758">
        <f t="shared" si="0"/>
        <v>0</v>
      </c>
      <c r="L13" s="1758">
        <f t="shared" si="0"/>
        <v>119251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1256472</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184898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1441370</v>
      </c>
      <c r="N23" s="1709">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2111+19500</f>
        <v>21611</v>
      </c>
      <c r="D27" s="467">
        <f>2112</f>
        <v>2112</v>
      </c>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14286</v>
      </c>
      <c r="D30" s="474">
        <v>3520</v>
      </c>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56276</v>
      </c>
      <c r="M33" s="468"/>
      <c r="N33" s="469"/>
    </row>
    <row r="34" spans="1:14" ht="13.5" customHeight="1" thickBot="1" x14ac:dyDescent="0.25">
      <c r="A34" s="1759" t="s">
        <v>675</v>
      </c>
      <c r="B34" s="1760"/>
      <c r="C34" s="1761">
        <f>SUM(C25:C33)</f>
        <v>35897</v>
      </c>
      <c r="D34" s="1761">
        <f t="shared" ref="D34:K34" si="1">SUM(D25:D33)</f>
        <v>5632</v>
      </c>
      <c r="E34" s="1761">
        <f t="shared" si="1"/>
        <v>0</v>
      </c>
      <c r="F34" s="1761">
        <f t="shared" si="1"/>
        <v>0</v>
      </c>
      <c r="G34" s="1761">
        <f t="shared" si="1"/>
        <v>0</v>
      </c>
      <c r="H34" s="1761">
        <f t="shared" si="1"/>
        <v>0</v>
      </c>
      <c r="I34" s="1761">
        <f t="shared" si="1"/>
        <v>0</v>
      </c>
      <c r="J34" s="1761">
        <f t="shared" si="1"/>
        <v>0</v>
      </c>
      <c r="K34" s="1761">
        <f t="shared" si="1"/>
        <v>0</v>
      </c>
      <c r="L34" s="1742">
        <f>SUM(L33)</f>
        <v>56276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f>22510+10241</f>
        <v>32751</v>
      </c>
      <c r="D38" s="466"/>
      <c r="E38" s="466"/>
      <c r="F38" s="466"/>
      <c r="G38" s="466"/>
      <c r="H38" s="466"/>
      <c r="I38" s="466"/>
      <c r="J38" s="467"/>
      <c r="K38" s="466"/>
      <c r="L38" s="481">
        <v>62975</v>
      </c>
      <c r="M38" s="497"/>
      <c r="N38" s="497"/>
    </row>
    <row r="39" spans="1:14" s="329" customFormat="1" ht="13.5" customHeight="1" x14ac:dyDescent="0.2">
      <c r="A39" s="496" t="s">
        <v>360</v>
      </c>
      <c r="B39" s="483">
        <v>730</v>
      </c>
      <c r="C39" s="466">
        <v>776392</v>
      </c>
      <c r="D39" s="466">
        <v>178441</v>
      </c>
      <c r="E39" s="466"/>
      <c r="F39" s="466">
        <v>26477</v>
      </c>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1441370</v>
      </c>
      <c r="N40" s="497"/>
    </row>
    <row r="41" spans="1:14" ht="13.5" customHeight="1" thickBot="1" x14ac:dyDescent="0.25">
      <c r="A41" s="1757" t="s">
        <v>676</v>
      </c>
      <c r="B41" s="1727"/>
      <c r="C41" s="1709">
        <f>(SUM(C34,C37,C38,C39))</f>
        <v>845040</v>
      </c>
      <c r="D41" s="1709">
        <f t="shared" ref="D41:L41" si="2">SUM(D34,D37,D38:D39)</f>
        <v>184073</v>
      </c>
      <c r="E41" s="1709">
        <f t="shared" si="2"/>
        <v>0</v>
      </c>
      <c r="F41" s="1709">
        <f t="shared" si="2"/>
        <v>26477</v>
      </c>
      <c r="G41" s="1709">
        <f t="shared" si="2"/>
        <v>0</v>
      </c>
      <c r="H41" s="1709">
        <f t="shared" si="2"/>
        <v>0</v>
      </c>
      <c r="I41" s="1709">
        <f t="shared" si="2"/>
        <v>0</v>
      </c>
      <c r="J41" s="1709">
        <f t="shared" si="2"/>
        <v>0</v>
      </c>
      <c r="K41" s="1709">
        <f t="shared" si="2"/>
        <v>0</v>
      </c>
      <c r="L41" s="1709">
        <f t="shared" si="2"/>
        <v>119251</v>
      </c>
      <c r="M41" s="1709">
        <f>SUM(M40)</f>
        <v>1441370</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
STATEMENT OF POSITION AS OF JUNE 30, 2018&amp;R&amp;8Page &amp;P</oddHeader>
    <oddFooter>&amp;L&amp;8Print Date:  &amp;D
&amp;F&amp;CSee Accompanying Notes to Financial Statements.</oddFooter>
  </headerFooter>
  <colBreaks count="1" manualBreakCount="1">
    <brk id="11" max="1048575" man="1"/>
  </colBreak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zoomScalePageLayoutView="110" workbookViewId="0">
      <pane ySplit="2" topLeftCell="A3" activePane="bottomLeft" state="frozenSplit"/>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3">
        <f>'Revenues 9-14'!C109</f>
        <v>796749</v>
      </c>
      <c r="D4" s="1763">
        <f>'Revenues 9-14'!D109</f>
        <v>493144</v>
      </c>
      <c r="E4" s="1763">
        <f>'Revenues 9-14'!E109</f>
        <v>0</v>
      </c>
      <c r="F4" s="1763">
        <f>'Revenues 9-14'!F109</f>
        <v>809</v>
      </c>
      <c r="G4" s="1763">
        <f>'Revenues 9-14'!G109</f>
        <v>0</v>
      </c>
      <c r="H4" s="1763">
        <f>'Revenues 9-14'!H109</f>
        <v>0</v>
      </c>
      <c r="I4" s="1763">
        <f>'Revenues 9-14'!I109</f>
        <v>0</v>
      </c>
      <c r="J4" s="1763">
        <f>'Revenues 9-14'!J109</f>
        <v>0</v>
      </c>
      <c r="K4" s="1763">
        <f>'Revenues 9-14'!K109</f>
        <v>0</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678766</v>
      </c>
      <c r="D6" s="1764">
        <f>'Revenues 9-14'!D173</f>
        <v>0</v>
      </c>
      <c r="E6" s="1764">
        <f>'Revenues 9-14'!E173</f>
        <v>0</v>
      </c>
      <c r="F6" s="1764">
        <f>'Revenues 9-14'!F173</f>
        <v>11924</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192278</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1667793</v>
      </c>
      <c r="D8" s="1709">
        <f t="shared" ref="D8:K8" si="0">SUM(D4:D7)</f>
        <v>493144</v>
      </c>
      <c r="E8" s="1709">
        <f t="shared" si="0"/>
        <v>0</v>
      </c>
      <c r="F8" s="1709">
        <f t="shared" si="0"/>
        <v>12733</v>
      </c>
      <c r="G8" s="1709">
        <f t="shared" si="0"/>
        <v>0</v>
      </c>
      <c r="H8" s="1709">
        <f t="shared" si="0"/>
        <v>0</v>
      </c>
      <c r="I8" s="1709">
        <f t="shared" si="0"/>
        <v>0</v>
      </c>
      <c r="J8" s="1709">
        <f t="shared" si="0"/>
        <v>0</v>
      </c>
      <c r="K8" s="1709">
        <f t="shared" si="0"/>
        <v>0</v>
      </c>
      <c r="L8" s="347"/>
    </row>
    <row r="9" spans="1:13" ht="15.75" thickTop="1" x14ac:dyDescent="0.2">
      <c r="A9" s="514" t="s">
        <v>1752</v>
      </c>
      <c r="B9" s="515">
        <v>3998</v>
      </c>
      <c r="C9" s="481">
        <v>556686</v>
      </c>
      <c r="D9" s="516"/>
      <c r="E9" s="481"/>
      <c r="F9" s="481"/>
      <c r="G9" s="517"/>
      <c r="H9" s="481"/>
      <c r="I9" s="509" t="s">
        <v>1231</v>
      </c>
      <c r="J9" s="478"/>
      <c r="K9" s="481"/>
      <c r="L9" s="347"/>
    </row>
    <row r="10" spans="1:13" s="519" customFormat="1" ht="13.5" thickBot="1" x14ac:dyDescent="0.25">
      <c r="A10" s="1757" t="s">
        <v>1235</v>
      </c>
      <c r="B10" s="1730"/>
      <c r="C10" s="1709">
        <f>SUM(C8:C9)</f>
        <v>2224479</v>
      </c>
      <c r="D10" s="1709">
        <f t="shared" ref="D10:K10" si="1">SUM(D8:D9)</f>
        <v>493144</v>
      </c>
      <c r="E10" s="1709">
        <f t="shared" si="1"/>
        <v>0</v>
      </c>
      <c r="F10" s="1709">
        <f t="shared" si="1"/>
        <v>12733</v>
      </c>
      <c r="G10" s="1709">
        <f t="shared" si="1"/>
        <v>0</v>
      </c>
      <c r="H10" s="1709">
        <f t="shared" si="1"/>
        <v>0</v>
      </c>
      <c r="I10" s="1709">
        <f t="shared" si="1"/>
        <v>0</v>
      </c>
      <c r="J10" s="1709">
        <f t="shared" si="1"/>
        <v>0</v>
      </c>
      <c r="K10" s="1709">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3">
        <f>'Expenditures 15-22'!K33</f>
        <v>1045574</v>
      </c>
      <c r="D12" s="520" t="s">
        <v>1231</v>
      </c>
      <c r="E12" s="468" t="s">
        <v>1231</v>
      </c>
      <c r="F12" s="468" t="s">
        <v>1231</v>
      </c>
      <c r="G12" s="1763">
        <f>'Expenditures 15-22'!K229</f>
        <v>0</v>
      </c>
      <c r="H12" s="521"/>
      <c r="I12" s="468" t="s">
        <v>1231</v>
      </c>
      <c r="J12" s="468" t="s">
        <v>1231</v>
      </c>
      <c r="K12" s="521" t="s">
        <v>1231</v>
      </c>
      <c r="L12" s="347"/>
    </row>
    <row r="13" spans="1:13" ht="15.75" customHeight="1" x14ac:dyDescent="0.2">
      <c r="A13" s="1598" t="s">
        <v>477</v>
      </c>
      <c r="B13" s="1600">
        <v>2000</v>
      </c>
      <c r="C13" s="1764">
        <f>'Expenditures 15-22'!K74</f>
        <v>470735</v>
      </c>
      <c r="D13" s="1764">
        <f>'Expenditures 15-22'!K129</f>
        <v>256018</v>
      </c>
      <c r="E13" s="469" t="s">
        <v>1231</v>
      </c>
      <c r="F13" s="1764">
        <f>'Expenditures 15-22'!K184</f>
        <v>6478</v>
      </c>
      <c r="G13" s="1764">
        <f>'Expenditures 15-22'!K279</f>
        <v>0</v>
      </c>
      <c r="H13" s="1764">
        <f>'Expenditures 15-22'!K303</f>
        <v>0</v>
      </c>
      <c r="I13" s="468" t="s">
        <v>1231</v>
      </c>
      <c r="J13" s="1764">
        <f>'Expenditures 15-22'!K330</f>
        <v>0</v>
      </c>
      <c r="K13" s="1768">
        <f>'Expenditures 15-22'!K352</f>
        <v>0</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135036</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1651345</v>
      </c>
      <c r="D17" s="1709">
        <f t="shared" si="2"/>
        <v>256018</v>
      </c>
      <c r="E17" s="1709">
        <f t="shared" si="2"/>
        <v>0</v>
      </c>
      <c r="F17" s="1709">
        <f t="shared" si="2"/>
        <v>6478</v>
      </c>
      <c r="G17" s="1709">
        <f t="shared" si="2"/>
        <v>0</v>
      </c>
      <c r="H17" s="1709">
        <f t="shared" si="2"/>
        <v>0</v>
      </c>
      <c r="I17" s="468"/>
      <c r="J17" s="1709">
        <f>SUM(J12:J16)</f>
        <v>0</v>
      </c>
      <c r="K17" s="1709">
        <f>SUM(K12:K16)</f>
        <v>0</v>
      </c>
      <c r="L17" s="347"/>
    </row>
    <row r="18" spans="1:12" ht="15" customHeight="1" thickTop="1" x14ac:dyDescent="0.2">
      <c r="A18" s="1765" t="s">
        <v>1753</v>
      </c>
      <c r="B18" s="1766">
        <v>4180</v>
      </c>
      <c r="C18" s="1763">
        <f t="shared" ref="C18:H18" si="3">C9</f>
        <v>556686</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2208031</v>
      </c>
      <c r="D19" s="1709">
        <f t="shared" si="4"/>
        <v>256018</v>
      </c>
      <c r="E19" s="1709">
        <f t="shared" si="4"/>
        <v>0</v>
      </c>
      <c r="F19" s="1709">
        <f t="shared" si="4"/>
        <v>6478</v>
      </c>
      <c r="G19" s="1709">
        <f t="shared" si="4"/>
        <v>0</v>
      </c>
      <c r="H19" s="1709">
        <f t="shared" si="4"/>
        <v>0</v>
      </c>
      <c r="I19" s="468"/>
      <c r="J19" s="1709">
        <f>SUM(J17:J18)</f>
        <v>0</v>
      </c>
      <c r="K19" s="1709">
        <f>SUM(K17:K18)</f>
        <v>0</v>
      </c>
      <c r="L19" s="347"/>
    </row>
    <row r="20" spans="1:12" ht="16.5" thickTop="1" thickBot="1" x14ac:dyDescent="0.25">
      <c r="A20" s="2144" t="s">
        <v>1754</v>
      </c>
      <c r="B20" s="2145"/>
      <c r="C20" s="1767">
        <f>C8-C17</f>
        <v>16448</v>
      </c>
      <c r="D20" s="1767">
        <f t="shared" ref="D20:K20" si="5">D8-D17</f>
        <v>237126</v>
      </c>
      <c r="E20" s="1767">
        <f t="shared" si="5"/>
        <v>0</v>
      </c>
      <c r="F20" s="1767">
        <f t="shared" si="5"/>
        <v>6255</v>
      </c>
      <c r="G20" s="1767">
        <f t="shared" si="5"/>
        <v>0</v>
      </c>
      <c r="H20" s="1767">
        <f t="shared" si="5"/>
        <v>0</v>
      </c>
      <c r="I20" s="1767">
        <f t="shared" si="5"/>
        <v>0</v>
      </c>
      <c r="J20" s="1767">
        <f t="shared" si="5"/>
        <v>0</v>
      </c>
      <c r="K20" s="1767">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6" t="s">
        <v>1239</v>
      </c>
      <c r="B77" s="2137"/>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0" t="s">
        <v>618</v>
      </c>
      <c r="B78" s="2141"/>
      <c r="C78" s="1723">
        <f t="shared" ref="C78:K78" si="9">C20+C77</f>
        <v>16448</v>
      </c>
      <c r="D78" s="1723">
        <f t="shared" si="9"/>
        <v>237126</v>
      </c>
      <c r="E78" s="1723">
        <f t="shared" si="9"/>
        <v>0</v>
      </c>
      <c r="F78" s="1723">
        <f t="shared" si="9"/>
        <v>6255</v>
      </c>
      <c r="G78" s="1723">
        <f t="shared" si="9"/>
        <v>0</v>
      </c>
      <c r="H78" s="1723">
        <f t="shared" si="9"/>
        <v>0</v>
      </c>
      <c r="I78" s="1723">
        <f t="shared" si="9"/>
        <v>0</v>
      </c>
      <c r="J78" s="1723">
        <f t="shared" si="9"/>
        <v>0</v>
      </c>
      <c r="K78" s="1723">
        <f t="shared" si="9"/>
        <v>0</v>
      </c>
      <c r="L78" s="533"/>
    </row>
    <row r="79" spans="1:12" ht="13.5" thickTop="1" x14ac:dyDescent="0.2">
      <c r="A79" s="1516" t="s">
        <v>2071</v>
      </c>
      <c r="B79" s="534"/>
      <c r="C79" s="478">
        <v>792695</v>
      </c>
      <c r="D79" s="535">
        <v>-58685</v>
      </c>
      <c r="E79" s="535"/>
      <c r="F79" s="535">
        <v>20222</v>
      </c>
      <c r="G79" s="535"/>
      <c r="H79" s="535"/>
      <c r="I79" s="535"/>
      <c r="J79" s="535"/>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09">
        <f>(SUM(C78:C80))</f>
        <v>809143</v>
      </c>
      <c r="D81" s="1709">
        <f>SUM(D78:D80)</f>
        <v>178441</v>
      </c>
      <c r="E81" s="1709">
        <f t="shared" ref="E81:K81" si="10">SUM(E78:E80)</f>
        <v>0</v>
      </c>
      <c r="F81" s="1709">
        <f t="shared" si="10"/>
        <v>26477</v>
      </c>
      <c r="G81" s="1709">
        <f t="shared" si="10"/>
        <v>0</v>
      </c>
      <c r="H81" s="1709">
        <f t="shared" si="10"/>
        <v>0</v>
      </c>
      <c r="I81" s="1709">
        <f t="shared" si="10"/>
        <v>0</v>
      </c>
      <c r="J81" s="1709">
        <f t="shared" si="10"/>
        <v>0</v>
      </c>
      <c r="K81" s="1709">
        <f t="shared" si="10"/>
        <v>0</v>
      </c>
      <c r="L81" s="347"/>
    </row>
    <row r="82" spans="1:12" ht="0.75" customHeight="1" thickTop="1" thickBot="1" x14ac:dyDescent="0.25">
      <c r="A82" s="536" t="s">
        <v>361</v>
      </c>
      <c r="B82" s="537"/>
      <c r="C82" s="538">
        <f>(C81-C79)</f>
        <v>16448</v>
      </c>
      <c r="D82" s="538">
        <f t="shared" ref="D82:K82" si="11">(D81-D79)</f>
        <v>237126</v>
      </c>
      <c r="E82" s="538">
        <f t="shared" si="11"/>
        <v>0</v>
      </c>
      <c r="F82" s="538">
        <f t="shared" si="11"/>
        <v>6255</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2.0327680026892652E-2</v>
      </c>
      <c r="D83" s="540">
        <f t="shared" ref="D83:K83" si="12">D82/D81</f>
        <v>1.3288762111846493</v>
      </c>
      <c r="E83" s="540" t="e">
        <f t="shared" si="12"/>
        <v>#DIV/0!</v>
      </c>
      <c r="F83" s="540">
        <f t="shared" si="12"/>
        <v>0.23624277674963176</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zoomScalePageLayoutView="125" workbookViewId="0">
      <pane ySplit="2" topLeftCell="A3" activePane="bottomLeft" state="frozen"/>
      <selection sqref="A1:F1"/>
      <selection pane="bottomLeft" activeCell="C29" sqref="C2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0</v>
      </c>
      <c r="D12" s="1728">
        <f t="shared" si="0"/>
        <v>0</v>
      </c>
      <c r="E12" s="1728">
        <f t="shared" si="0"/>
        <v>0</v>
      </c>
      <c r="F12" s="1728">
        <f t="shared" si="0"/>
        <v>0</v>
      </c>
      <c r="G12" s="1728">
        <f t="shared" si="0"/>
        <v>0</v>
      </c>
      <c r="H12" s="1728">
        <f t="shared" si="0"/>
        <v>0</v>
      </c>
      <c r="I12" s="1728">
        <f t="shared" si="0"/>
        <v>0</v>
      </c>
      <c r="J12" s="1728">
        <f t="shared" si="0"/>
        <v>0</v>
      </c>
      <c r="K12" s="1709">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560909</v>
      </c>
      <c r="D29" s="468"/>
      <c r="E29" s="468"/>
      <c r="F29" s="468"/>
      <c r="G29" s="468"/>
      <c r="H29" s="468"/>
      <c r="I29" s="468"/>
      <c r="J29" s="468"/>
      <c r="K29" s="468"/>
    </row>
    <row r="30" spans="1:11" ht="12.75" customHeight="1" x14ac:dyDescent="0.2">
      <c r="A30" s="463" t="s">
        <v>1084</v>
      </c>
      <c r="B30" s="470">
        <v>1333</v>
      </c>
      <c r="C30" s="551">
        <v>8000</v>
      </c>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568909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6918</v>
      </c>
      <c r="D65" s="466">
        <v>2097</v>
      </c>
      <c r="E65" s="466"/>
      <c r="F65" s="467">
        <v>209</v>
      </c>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6918</v>
      </c>
      <c r="D67" s="1709">
        <f t="shared" ref="D67:K67" si="2">SUM(D65:D66)</f>
        <v>2097</v>
      </c>
      <c r="E67" s="1709">
        <f t="shared" si="2"/>
        <v>0</v>
      </c>
      <c r="F67" s="1709">
        <f t="shared" si="2"/>
        <v>209</v>
      </c>
      <c r="G67" s="1709">
        <f t="shared" si="2"/>
        <v>0</v>
      </c>
      <c r="H67" s="1709">
        <f t="shared" si="2"/>
        <v>0</v>
      </c>
      <c r="I67" s="1709">
        <f t="shared" si="2"/>
        <v>0</v>
      </c>
      <c r="J67" s="1709">
        <f t="shared" si="2"/>
        <v>0</v>
      </c>
      <c r="K67" s="1709">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2770</v>
      </c>
      <c r="D74" s="468"/>
      <c r="E74" s="468"/>
      <c r="F74" s="468"/>
      <c r="G74" s="468"/>
      <c r="H74" s="468"/>
      <c r="I74" s="468"/>
      <c r="J74" s="468"/>
      <c r="K74" s="468"/>
    </row>
    <row r="75" spans="1:11" ht="12.75" customHeight="1" thickBot="1" x14ac:dyDescent="0.25">
      <c r="A75" s="1729" t="s">
        <v>569</v>
      </c>
      <c r="B75" s="1730"/>
      <c r="C75" s="1709">
        <f>SUM(C69:C74)</f>
        <v>2770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9387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9387</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18750</v>
      </c>
      <c r="E95" s="521"/>
      <c r="F95" s="521"/>
      <c r="G95" s="521"/>
      <c r="H95" s="521"/>
      <c r="I95" s="521"/>
      <c r="J95" s="521"/>
      <c r="K95" s="521"/>
    </row>
    <row r="96" spans="1:11" ht="12.75" customHeight="1" x14ac:dyDescent="0.2">
      <c r="A96" s="463" t="s">
        <v>409</v>
      </c>
      <c r="B96" s="470">
        <v>1920</v>
      </c>
      <c r="C96" s="551">
        <v>168819</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5459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v>472297</v>
      </c>
      <c r="E104" s="481"/>
      <c r="F104" s="467"/>
      <c r="G104" s="467"/>
      <c r="H104" s="466"/>
      <c r="I104" s="468"/>
      <c r="J104" s="468"/>
      <c r="K104" s="468"/>
    </row>
    <row r="105" spans="1:12" ht="12.75" customHeight="1" x14ac:dyDescent="0.2">
      <c r="A105" s="463" t="s">
        <v>876</v>
      </c>
      <c r="B105" s="470">
        <v>1992</v>
      </c>
      <c r="C105" s="466">
        <v>31796</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2691</v>
      </c>
      <c r="D107" s="466"/>
      <c r="E107" s="466"/>
      <c r="F107" s="466">
        <v>600</v>
      </c>
      <c r="G107" s="466"/>
      <c r="H107" s="466"/>
      <c r="I107" s="466"/>
      <c r="J107" s="467"/>
      <c r="K107" s="466"/>
    </row>
    <row r="108" spans="1:12" ht="12.75" customHeight="1" thickBot="1" x14ac:dyDescent="0.25">
      <c r="A108" s="1729" t="s">
        <v>508</v>
      </c>
      <c r="B108" s="1733"/>
      <c r="C108" s="1728">
        <f>SUM(C95:C107)</f>
        <v>208765</v>
      </c>
      <c r="D108" s="1728">
        <f t="shared" ref="D108:K108" si="3">SUM(D95:D107)</f>
        <v>491047</v>
      </c>
      <c r="E108" s="1728">
        <f t="shared" si="3"/>
        <v>0</v>
      </c>
      <c r="F108" s="1728">
        <f t="shared" si="3"/>
        <v>600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796749</v>
      </c>
      <c r="D109" s="1736">
        <f t="shared" si="4"/>
        <v>493144</v>
      </c>
      <c r="E109" s="1736">
        <f t="shared" si="4"/>
        <v>0</v>
      </c>
      <c r="F109" s="1736">
        <f t="shared" si="4"/>
        <v>809</v>
      </c>
      <c r="G109" s="1736">
        <f t="shared" si="4"/>
        <v>0</v>
      </c>
      <c r="H109" s="1736">
        <f t="shared" si="4"/>
        <v>0</v>
      </c>
      <c r="I109" s="1736">
        <f t="shared" si="4"/>
        <v>0</v>
      </c>
      <c r="J109" s="1736">
        <f t="shared" si="4"/>
        <v>0</v>
      </c>
      <c r="K109" s="1723">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0</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0</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678766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678766</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11924</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11924</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3">
        <f t="shared" ref="C172:K172" si="6">SUM(C131,C140,C144,C145:C149,C154,C155:C170,C171)</f>
        <v>678766</v>
      </c>
      <c r="D172" s="1743">
        <f t="shared" si="6"/>
        <v>0</v>
      </c>
      <c r="E172" s="1743">
        <f t="shared" si="6"/>
        <v>0</v>
      </c>
      <c r="F172" s="1743">
        <f t="shared" si="6"/>
        <v>11924</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678766</v>
      </c>
      <c r="D173" s="1736">
        <f>SUM(D121,D172)</f>
        <v>0</v>
      </c>
      <c r="E173" s="1736">
        <f>SUM(E121,E172)</f>
        <v>0</v>
      </c>
      <c r="F173" s="1736">
        <f t="shared" ref="F173:K173" si="7">SUM(F121,F172)</f>
        <v>11924</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0</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192278</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192278</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192278</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192278</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1667793</v>
      </c>
      <c r="D275" s="1736">
        <f t="shared" si="12"/>
        <v>493144</v>
      </c>
      <c r="E275" s="1736">
        <f t="shared" si="12"/>
        <v>0</v>
      </c>
      <c r="F275" s="1736">
        <f t="shared" si="12"/>
        <v>12733</v>
      </c>
      <c r="G275" s="1736">
        <f t="shared" si="12"/>
        <v>0</v>
      </c>
      <c r="H275" s="1736">
        <f t="shared" si="12"/>
        <v>0</v>
      </c>
      <c r="I275" s="1736">
        <f t="shared" si="12"/>
        <v>0</v>
      </c>
      <c r="J275" s="1736">
        <f t="shared" si="12"/>
        <v>0</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4d435f69-8686-490b-bd6d-b153bf22ab50"/>
    <ds:schemaRef ds:uri="http://www.w3.org/XML/1998/namespace"/>
    <ds:schemaRef ds:uri="http://purl.org/dc/elements/1.1/"/>
    <ds:schemaRef ds:uri="http://schemas.microsoft.com/office/infopath/2007/PartnerControls"/>
    <ds:schemaRef ds:uri="http://schemas.openxmlformats.org/package/2006/metadata/core-properties"/>
    <ds:schemaRef ds:uri="d21dc803-237d-4c68-8692-8d731fd29118"/>
    <ds:schemaRef ds:uri="http://purl.org/dc/dcmitype/"/>
    <ds:schemaRef ds:uri="http://schemas.microsoft.com/office/2006/documentManagement/types"/>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Sheet1</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2018-11-06T15:31:10Z</cp:lastPrinted>
  <dcterms:created xsi:type="dcterms:W3CDTF">2003-10-29T19:06:34Z</dcterms:created>
  <dcterms:modified xsi:type="dcterms:W3CDTF">2018-12-19T21:34:53Z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