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18" sheetId="184" r:id="rId29"/>
    <sheet name=" SEFA" sheetId="179" r:id="rId30"/>
    <sheet name="SF&amp;QC Sec-1" sheetId="174" r:id="rId31"/>
    <sheet name="SF&amp;QC Sec-Finding 2018-001" sheetId="175" r:id="rId32"/>
    <sheet name="SF&amp;QC Sec-3" sheetId="176" r:id="rId33"/>
    <sheet name="SSPAF" sheetId="177" r:id="rId34"/>
    <sheet name="CAP" sheetId="183" r:id="rId35"/>
  </sheets>
  <definedNames>
    <definedName name="goof" localSheetId="28">#REF!</definedName>
    <definedName name="goof">#REF!</definedName>
    <definedName name="newname" localSheetId="28">#REF!</definedName>
    <definedName name="newname">#REF!</definedName>
    <definedName name="oops" localSheetId="28">#REF!</definedName>
    <definedName name="oops">#REF!</definedName>
    <definedName name="_xlnm.Print_Area" localSheetId="29">' SEFA'!$B$1:$M$46</definedName>
    <definedName name="_xlnm.Print_Area" localSheetId="28">'SEFA 18'!$A$1:$X$103</definedName>
    <definedName name="_xlnm.Print_Area" localSheetId="27">'SEFA NOTES'!$A$1:$F$61</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 18'!$B$14:$AC$85</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18'!$1:$11</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34">#REF!</definedName>
    <definedName name="SCHADDRS" localSheetId="21">#REF!</definedName>
    <definedName name="SCHADDRS" localSheetId="4">#REF!</definedName>
    <definedName name="SCHADDRS" localSheetId="28">#REF!</definedName>
    <definedName name="SCHADDRS" localSheetId="27">#REF!</definedName>
    <definedName name="SCHADDRS" localSheetId="26">#REF!</definedName>
    <definedName name="SCHADDRS" localSheetId="30">#REF!</definedName>
    <definedName name="SCHADDRS" localSheetId="32">#REF!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34">#REF!</definedName>
    <definedName name="SCHCTY" localSheetId="21">#REF!</definedName>
    <definedName name="SCHCTY" localSheetId="4">#REF!</definedName>
    <definedName name="SCHCTY" localSheetId="28">#REF!</definedName>
    <definedName name="SCHCTY" localSheetId="27">#REF!</definedName>
    <definedName name="SCHCTY" localSheetId="26">#REF!</definedName>
    <definedName name="SCHCTY" localSheetId="30">#REF!</definedName>
    <definedName name="SCHCTY" localSheetId="32">#REF!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34">#REF!</definedName>
    <definedName name="SCHNMBR" localSheetId="21">#REF!</definedName>
    <definedName name="SCHNMBR" localSheetId="4">#REF!</definedName>
    <definedName name="SCHNMBR" localSheetId="28">#REF!</definedName>
    <definedName name="SCHNMBR" localSheetId="27">#REF!</definedName>
    <definedName name="SCHNMBR" localSheetId="26">#REF!</definedName>
    <definedName name="SCHNMBR" localSheetId="30">#REF!</definedName>
    <definedName name="SCHNMBR" localSheetId="32">#REF!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34">#REF!</definedName>
    <definedName name="SCHNME" localSheetId="21">#REF!</definedName>
    <definedName name="SCHNME" localSheetId="4">#REF!</definedName>
    <definedName name="SCHNME" localSheetId="28">#REF!</definedName>
    <definedName name="SCHNME" localSheetId="27">#REF!</definedName>
    <definedName name="SCHNME" localSheetId="26">#REF!</definedName>
    <definedName name="SCHNME" localSheetId="30">#REF!</definedName>
    <definedName name="SCHNME" localSheetId="32">#REF!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34">#REF!</definedName>
    <definedName name="SUPT" localSheetId="21">#REF!</definedName>
    <definedName name="SUPT" localSheetId="4">#REF!</definedName>
    <definedName name="SUPT" localSheetId="28">#REF!</definedName>
    <definedName name="SUPT" localSheetId="27">#REF!</definedName>
    <definedName name="SUPT" localSheetId="26">#REF!</definedName>
    <definedName name="SUPT" localSheetId="30">#REF!</definedName>
    <definedName name="SUPT" localSheetId="32">#REF!</definedName>
    <definedName name="SUPT" localSheetId="31">#REF!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0" i="184" l="1"/>
  <c r="G100" i="184"/>
  <c r="X79" i="184"/>
  <c r="AC74" i="184"/>
  <c r="X73" i="184"/>
  <c r="AC72" i="184"/>
  <c r="Q71" i="184"/>
  <c r="O71" i="184"/>
  <c r="M71" i="184"/>
  <c r="K71" i="184"/>
  <c r="I71" i="184"/>
  <c r="G71" i="184"/>
  <c r="S70" i="184"/>
  <c r="S69" i="184"/>
  <c r="S71" i="184" s="1"/>
  <c r="AC68" i="184"/>
  <c r="AC67" i="184"/>
  <c r="AC66" i="184"/>
  <c r="AC65" i="184"/>
  <c r="AC64" i="184"/>
  <c r="AC63" i="184"/>
  <c r="AC62" i="184"/>
  <c r="Q61" i="184"/>
  <c r="O61" i="184"/>
  <c r="M61" i="184"/>
  <c r="K61" i="184"/>
  <c r="K77" i="184" s="1"/>
  <c r="I61" i="184"/>
  <c r="G61" i="184"/>
  <c r="S60" i="184"/>
  <c r="S59" i="184"/>
  <c r="AC58" i="184"/>
  <c r="AC57" i="184"/>
  <c r="AC56" i="184"/>
  <c r="AC55" i="184"/>
  <c r="AC54" i="184"/>
  <c r="AC52" i="184"/>
  <c r="AC51" i="184"/>
  <c r="Q50" i="184"/>
  <c r="O50" i="184"/>
  <c r="K50" i="184"/>
  <c r="G50" i="184"/>
  <c r="S49" i="184"/>
  <c r="S48" i="184"/>
  <c r="U47" i="184"/>
  <c r="M47" i="184"/>
  <c r="I47" i="184"/>
  <c r="S46" i="184"/>
  <c r="U45" i="184"/>
  <c r="S45" i="184"/>
  <c r="Q43" i="184"/>
  <c r="O43" i="184"/>
  <c r="L43" i="184"/>
  <c r="K43" i="184"/>
  <c r="G43" i="184"/>
  <c r="S42" i="184"/>
  <c r="S40" i="184"/>
  <c r="U39" i="184"/>
  <c r="M39" i="184"/>
  <c r="S39" i="184" s="1"/>
  <c r="I39" i="184"/>
  <c r="S38" i="184"/>
  <c r="U37" i="184"/>
  <c r="S37" i="184"/>
  <c r="I37" i="184"/>
  <c r="I43" i="184" s="1"/>
  <c r="AC36" i="184"/>
  <c r="AA36" i="184"/>
  <c r="AC34" i="184"/>
  <c r="AC32" i="184"/>
  <c r="AA32" i="184"/>
  <c r="Q31" i="184"/>
  <c r="K31" i="184"/>
  <c r="H31" i="184"/>
  <c r="G31" i="184"/>
  <c r="S28" i="184"/>
  <c r="S27" i="184"/>
  <c r="S25" i="184"/>
  <c r="S24" i="184"/>
  <c r="S21" i="184"/>
  <c r="M20" i="184"/>
  <c r="O22" i="184" s="1"/>
  <c r="S17" i="184"/>
  <c r="M16" i="184"/>
  <c r="S16" i="184" s="1"/>
  <c r="I16" i="184"/>
  <c r="I31" i="184" s="1"/>
  <c r="M9" i="184"/>
  <c r="K9" i="184"/>
  <c r="M8" i="184"/>
  <c r="M77" i="184" l="1"/>
  <c r="O77" i="184"/>
  <c r="S20" i="184"/>
  <c r="M43" i="184"/>
  <c r="AC43" i="184" s="1"/>
  <c r="G77" i="184"/>
  <c r="Q77" i="184"/>
  <c r="K53" i="184"/>
  <c r="K75" i="184" s="1"/>
  <c r="K79" i="184" s="1"/>
  <c r="AC47" i="184"/>
  <c r="S61" i="184"/>
  <c r="S31" i="184"/>
  <c r="AA73" i="184"/>
  <c r="I77" i="184"/>
  <c r="Q53" i="184"/>
  <c r="Q75" i="184" s="1"/>
  <c r="Q79" i="184" s="1"/>
  <c r="S43" i="184"/>
  <c r="G53" i="184"/>
  <c r="G73" i="184" s="1"/>
  <c r="S77" i="184"/>
  <c r="M31" i="184"/>
  <c r="S47" i="184"/>
  <c r="S50" i="184" s="1"/>
  <c r="X80" i="184"/>
  <c r="O18" i="184"/>
  <c r="M50" i="184"/>
  <c r="M53" i="184" s="1"/>
  <c r="I50" i="184"/>
  <c r="I53" i="184" s="1"/>
  <c r="S53" i="184" l="1"/>
  <c r="Q73" i="184"/>
  <c r="AC73" i="184"/>
  <c r="G75" i="184"/>
  <c r="G79" i="184" s="1"/>
  <c r="K73" i="184"/>
  <c r="S73" i="184"/>
  <c r="S75" i="184"/>
  <c r="S79" i="184" s="1"/>
  <c r="M75" i="184"/>
  <c r="M79" i="184" s="1"/>
  <c r="M73" i="184"/>
  <c r="I73" i="184"/>
  <c r="I75" i="184"/>
  <c r="I79" i="184" s="1"/>
  <c r="I87" i="184"/>
  <c r="O31" i="184"/>
  <c r="O53" i="184" s="1"/>
  <c r="O75" i="184" l="1"/>
  <c r="O79" i="184" s="1"/>
  <c r="O73" i="184"/>
  <c r="X76" i="184"/>
  <c r="X81" i="184"/>
  <c r="B4" i="183"/>
  <c r="G38" i="174" l="1"/>
  <c r="D18" i="17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B7092" i="106" s="1"/>
  <c r="D7092" i="106" s="1"/>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4" i="127"/>
  <c r="B65"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D5" i="4"/>
  <c r="B3406" i="106" s="1"/>
  <c r="D3406" i="106" s="1"/>
  <c r="B2633" i="106"/>
  <c r="D2633" i="106" s="1"/>
  <c r="D7" i="118"/>
  <c r="D8" i="118"/>
  <c r="D9" i="118"/>
  <c r="H14" i="118"/>
  <c r="H19" i="118"/>
  <c r="H24" i="118"/>
  <c r="D24" i="37"/>
  <c r="B4270" i="106" s="1"/>
  <c r="D4270" i="106" s="1"/>
  <c r="L5" i="11"/>
  <c r="B2056" i="106" s="1"/>
  <c r="D2056" i="106" s="1"/>
  <c r="F37" i="34" l="1"/>
  <c r="D6103" i="106"/>
  <c r="J22" i="37"/>
  <c r="B7074" i="106"/>
  <c r="D7074" i="106" s="1"/>
  <c r="H112" i="29"/>
  <c r="B7018" i="106" s="1"/>
  <c r="D7018" i="106" s="1"/>
  <c r="D11" i="37"/>
  <c r="D22" i="37"/>
  <c r="N22" i="3"/>
  <c r="B283" i="106" s="1"/>
  <c r="D283" i="106" s="1"/>
  <c r="H29" i="118"/>
  <c r="D31" i="36"/>
  <c r="F35" i="34"/>
  <c r="F26" i="108"/>
  <c r="F42" i="34"/>
  <c r="F45" i="34"/>
  <c r="F41" i="34"/>
  <c r="F50" i="34"/>
  <c r="D36" i="108"/>
  <c r="F64" i="34"/>
  <c r="F46" i="34"/>
  <c r="F49" i="34"/>
  <c r="D13" i="7"/>
  <c r="B3726" i="106" s="1"/>
  <c r="D3726" i="106" s="1"/>
  <c r="D26" i="108"/>
  <c r="F131" i="34"/>
  <c r="F69" i="34"/>
  <c r="F36" i="108"/>
  <c r="J210" i="29"/>
  <c r="B7072" i="106" s="1"/>
  <c r="D7072" i="106" s="1"/>
  <c r="F38" i="34"/>
  <c r="G33" i="108"/>
  <c r="F70" i="34"/>
  <c r="I210" i="29"/>
  <c r="B7071" i="106" s="1"/>
  <c r="D7071" i="106" s="1"/>
  <c r="B4411" i="106"/>
  <c r="D4411" i="106" s="1"/>
  <c r="I24" i="12"/>
  <c r="I26" i="12" s="1"/>
  <c r="B7741" i="106" s="1"/>
  <c r="D7741" i="106" s="1"/>
  <c r="H28" i="118"/>
  <c r="B1746" i="106"/>
  <c r="D1746" i="106" s="1"/>
  <c r="H33" i="118"/>
  <c r="F21" i="8"/>
  <c r="B1879" i="106" s="1"/>
  <c r="D1879" i="106" s="1"/>
  <c r="G172" i="5"/>
  <c r="B5770" i="106" s="1"/>
  <c r="D5770" i="106" s="1"/>
  <c r="L15" i="11"/>
  <c r="B3459" i="106" s="1"/>
  <c r="D3459" i="106" s="1"/>
  <c r="F68" i="34"/>
  <c r="D31" i="108"/>
  <c r="G35" i="108"/>
  <c r="E35" i="108"/>
  <c r="C129" i="29"/>
  <c r="B1225" i="106" s="1"/>
  <c r="D1225" i="106" s="1"/>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H77" i="4" l="1"/>
  <c r="B3299" i="106" s="1"/>
  <c r="D3299" i="106" s="1"/>
  <c r="D7250" i="106"/>
  <c r="B1996" i="106"/>
  <c r="D1996" i="106" s="1"/>
  <c r="J151" i="29"/>
  <c r="B7052" i="106" s="1"/>
  <c r="D7052" i="106" s="1"/>
  <c r="F66" i="34"/>
  <c r="D41" i="108"/>
  <c r="E43" i="108" s="1"/>
  <c r="I6" i="4"/>
  <c r="B5011" i="106" s="1"/>
  <c r="D5011" i="106" s="1"/>
  <c r="L16" i="11"/>
  <c r="B2061" i="106" s="1"/>
  <c r="D2061" i="106" s="1"/>
  <c r="B2031" i="106"/>
  <c r="D2031" i="106" s="1"/>
  <c r="I7" i="4"/>
  <c r="B4444" i="106" s="1"/>
  <c r="D4444" i="106" s="1"/>
  <c r="H22" i="37"/>
  <c r="D7251" i="106"/>
  <c r="D7253" i="106"/>
  <c r="C151" i="29"/>
  <c r="B1226" i="106" s="1"/>
  <c r="D1226" i="106" s="1"/>
  <c r="D7256" i="106"/>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179"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<sst xmlns="http://schemas.openxmlformats.org/spreadsheetml/2006/main" count="5393" uniqueCount="2261">
  <si>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</si>
  <si>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</si>
  <si>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</si>
  <si>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</si>
  <si>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</si>
  <si>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</si>
  <si>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</si>
  <si>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</si>
  <si>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</si>
  <si>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</si>
  <si>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</si>
  <si>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</si>
  <si>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</si>
  <si>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</si>
  <si>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</si>
  <si>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</si>
  <si>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</si>
  <si>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</si>
  <si>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</si>
  <si>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</si>
  <si>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</si>
  <si>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</si>
  <si>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</si>
  <si>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</si>
  <si>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</si>
  <si>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</si>
  <si>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</si>
  <si>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</si>
  <si>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</si>
  <si>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</si>
  <si>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</si>
  <si>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</si>
  <si>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</si>
  <si>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</si>
  <si>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</si>
  <si>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</si>
  <si>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</si>
  <si>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</si>
  <si>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</si>
  <si>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</si>
  <si>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</si>
  <si>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</si>
  <si>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</si>
  <si>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</si>
  <si>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</si>
  <si>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</si>
  <si>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</si>
  <si>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</si>
  <si>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</si>
  <si>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</si>
  <si>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</si>
  <si>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</si>
  <si>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</si>
  <si>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</si>
  <si>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</si>
  <si>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</si>
  <si>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</si>
  <si>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</si>
  <si>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</si>
  <si>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</si>
  <si>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</si>
  <si>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</si>
  <si>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</si>
  <si>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</si>
  <si>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</si>
  <si>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</si>
  <si>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</si>
  <si>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</si>
  <si>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</si>
  <si>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</si>
  <si>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</si>
  <si>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</si>
  <si>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</si>
  <si>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</si>
  <si>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</si>
  <si>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</si>
  <si>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</si>
  <si>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</si>
  <si>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</si>
  <si>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</si>
  <si>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</si>
  <si>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</si>
  <si>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</si>
  <si>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</si>
  <si>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</si>
  <si>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</si>
  <si>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</si>
  <si>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</si>
  <si>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</si>
  <si>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</si>
  <si>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</si>
  <si>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</si>
  <si>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</si>
  <si>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</si>
  <si>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</si>
  <si>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</si>
  <si>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</si>
  <si>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</si>
  <si>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</si>
  <si>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</si>
  <si>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</si>
  <si>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</si>
  <si>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</si>
  <si>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</si>
  <si>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</si>
  <si>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</si>
  <si>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</si>
  <si>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</si>
  <si>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</si>
  <si>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</si>
  <si>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</si>
  <si>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</si>
  <si>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</si>
  <si>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</si>
  <si>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</si>
  <si>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</si>
  <si>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</si>
  <si>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</si>
  <si>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</si>
  <si>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</si>
  <si>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</si>
  <si>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</si>
  <si>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</si>
  <si>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</si>
  <si>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</si>
  <si>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</si>
  <si>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</si>
  <si>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</si>
  <si>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</si>
  <si>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</si>
  <si>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</si>
  <si>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</si>
  <si>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</si>
  <si>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</si>
  <si>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</si>
  <si>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</si>
  <si>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</si>
  <si>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</si>
  <si>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</si>
  <si>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</si>
  <si>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</si>
  <si>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</si>
  <si>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</si>
  <si>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</si>
  <si>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</si>
  <si>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</si>
  <si>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</si>
  <si>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</si>
  <si>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</si>
  <si>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</si>
  <si>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</si>
  <si>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</si>
  <si>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</si>
  <si>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</si>
  <si>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</si>
  <si>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</si>
  <si>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</si>
  <si>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</si>
  <si>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</si>
  <si>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</si>
  <si>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</si>
  <si>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</si>
  <si>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</si>
  <si>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</si>
  <si>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</si>
  <si>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</si>
  <si>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</si>
  <si>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</si>
  <si>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</si>
  <si>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</si>
  <si>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</si>
  <si>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</si>
  <si>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</si>
  <si>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</si>
  <si>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</si>
  <si>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</si>
  <si>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</si>
  <si>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</si>
  <si>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</si>
  <si>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</si>
  <si>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</si>
  <si>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</si>
  <si>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</si>
  <si>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</si>
  <si>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</si>
  <si>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</si>
  <si>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</si>
  <si>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</si>
  <si>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</si>
  <si>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</si>
  <si>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</si>
  <si>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</si>
  <si>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</si>
  <si>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</si>
  <si>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</si>
  <si>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</si>
  <si>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</si>
  <si>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</si>
  <si>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</si>
  <si>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</si>
  <si>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</si>
  <si>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</si>
  <si>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</si>
  <si>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</si>
  <si>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</si>
  <si>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</si>
  <si>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</si>
  <si>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</si>
  <si>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</si>
  <si>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</si>
  <si>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</si>
  <si>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</si>
  <si>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</si>
  <si>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</si>
  <si>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</si>
  <si>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</si>
  <si>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</si>
  <si>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</si>
  <si>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</si>
  <si>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</si>
  <si>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</si>
  <si>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</si>
  <si>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</si>
  <si>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</si>
  <si>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</si>
  <si>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</si>
  <si>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</si>
  <si>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</si>
  <si>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</si>
  <si>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</si>
  <si>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</si>
  <si>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</si>
  <si>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</si>
  <si>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</si>
  <si>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</si>
  <si>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</si>
  <si>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</si>
  <si>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</si>
  <si>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</si>
  <si>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</si>
  <si>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</si>
  <si>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</si>
  <si>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</si>
  <si>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</si>
  <si>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</si>
  <si>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</si>
  <si>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</si>
  <si>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</si>
  <si>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</si>
  <si>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</si>
  <si>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</si>
  <si>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</si>
  <si>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</si>
  <si>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</si>
  <si>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</si>
  <si>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</si>
  <si>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</si>
  <si>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</si>
  <si>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</si>
  <si>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</si>
  <si>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</si>
  <si>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</si>
  <si>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</si>
  <si>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</si>
  <si>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</si>
  <si>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</si>
  <si>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</si>
  <si>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</si>
  <si>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</si>
  <si>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</si>
  <si>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</si>
  <si>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</si>
  <si>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</si>
  <si>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</si>
  <si>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</si>
  <si>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</si>
  <si>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</si>
  <si>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</si>
  <si>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</si>
  <si>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</si>
  <si>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</si>
  <si>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</si>
  <si>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</si>
  <si>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</si>
  <si>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</si>
  <si>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</si>
  <si>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</si>
  <si>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</si>
  <si>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</si>
  <si>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</si>
  <si>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</si>
  <si>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</si>
  <si>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</si>
  <si>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</si>
  <si>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</si>
  <si>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</si>
  <si>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</si>
  <si>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</si>
  <si>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</si>
  <si>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</si>
  <si>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</si>
  <si>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</si>
  <si>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</si>
  <si>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</si>
  <si>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</si>
  <si>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</si>
  <si>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</si>
  <si>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</si>
  <si>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</si>
  <si>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</si>
  <si>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</si>
  <si>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</si>
  <si>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</si>
  <si>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</si>
  <si>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</si>
  <si>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</si>
  <si>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</si>
  <si>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</si>
  <si>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</si>
  <si>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</si>
  <si>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</si>
  <si>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</si>
  <si>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</si>
  <si>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</si>
  <si>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</si>
  <si>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</si>
  <si>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</si>
  <si>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</si>
  <si>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</si>
  <si>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</si>
  <si>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</si>
  <si>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</si>
  <si>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</si>
  <si>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</si>
  <si>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</si>
  <si>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</si>
  <si>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</si>
  <si>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</si>
  <si>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</si>
  <si>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</si>
  <si>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</si>
  <si>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</si>
  <si>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</si>
  <si>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</si>
  <si>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</si>
  <si>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</si>
  <si>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</si>
  <si>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</si>
  <si>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</si>
  <si>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</si>
  <si>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</si>
  <si>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</si>
  <si>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</si>
  <si>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</si>
  <si>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</si>
  <si>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</si>
  <si>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</si>
  <si>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</si>
  <si>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</si>
  <si>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</si>
  <si>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</si>
  <si>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</si>
  <si>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</si>
  <si>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</si>
  <si>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</si>
  <si>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</si>
  <si>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</si>
  <si>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</si>
  <si>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</si>
  <si>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</si>
  <si>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</si>
  <si>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</si>
  <si>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</si>
  <si>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</si>
  <si>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</si>
  <si>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</si>
  <si>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</si>
  <si>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</si>
  <si>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</si>
  <si>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</si>
  <si>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</si>
  <si>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</si>
  <si>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</si>
  <si>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</si>
  <si>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</si>
  <si>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</si>
  <si>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</si>
  <si>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</si>
  <si>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</si>
  <si>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</si>
  <si>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</si>
  <si>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</si>
  <si>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</si>
  <si>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</si>
  <si>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</si>
  <si>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</si>
  <si>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</si>
  <si>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</si>
  <si>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</si>
  <si>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</si>
  <si>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</si>
  <si>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</si>
  <si>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</si>
  <si>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</si>
  <si>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</si>
  <si>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</si>
  <si>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</si>
  <si>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</si>
  <si>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</si>
  <si>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</si>
  <si>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</si>
  <si>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</si>
  <si>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</si>
  <si>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</si>
  <si>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</si>
  <si>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</si>
  <si>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</si>
  <si>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</si>
  <si>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</si>
  <si>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</si>
  <si>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</si>
  <si>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</si>
  <si>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</si>
  <si>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</si>
  <si>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</si>
  <si>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</si>
  <si>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</si>
  <si>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</si>
  <si>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</si>
  <si>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</si>
  <si>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</si>
  <si>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</si>
  <si>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</si>
  <si>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</si>
  <si>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</si>
  <si>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</si>
  <si>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</si>
  <si>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</si>
  <si>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</si>
  <si>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</si>
  <si>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</si>
  <si>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</si>
  <si>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</si>
  <si>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</si>
  <si>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</si>
  <si>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</si>
  <si>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</si>
  <si>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</si>
  <si>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</si>
  <si>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</si>
  <si>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</si>
  <si>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</si>
  <si>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</si>
  <si>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</si>
  <si>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</si>
  <si>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</si>
  <si>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</si>
  <si>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</si>
  <si>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</si>
  <si>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</si>
  <si>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</si>
  <si>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</si>
  <si>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</si>
  <si>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</si>
  <si>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</si>
  <si>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</si>
  <si>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</si>
  <si>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</si>
  <si>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</si>
  <si>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</si>
  <si>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</si>
  <si>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</si>
  <si>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</si>
  <si>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</si>
  <si>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</si>
  <si>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</si>
  <si>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</si>
  <si>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</si>
  <si>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</si>
  <si>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</si>
  <si>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</si>
  <si>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</si>
  <si>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</si>
  <si>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</si>
  <si>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</si>
  <si>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</si>
  <si>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</si>
  <si>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</si>
  <si>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</si>
  <si>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</si>
  <si>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</si>
  <si>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</si>
  <si>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</si>
  <si>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</si>
  <si>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</si>
  <si>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</si>
  <si>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</si>
  <si>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</si>
  <si>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</si>
  <si>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</si>
  <si>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</si>
  <si>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</si>
  <si>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</si>
  <si>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</si>
  <si>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</si>
  <si>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</si>
  <si>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</si>
  <si>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</si>
  <si>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</si>
  <si>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</si>
  <si>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</si>
  <si>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</si>
  <si>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</si>
  <si>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</si>
  <si>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</si>
  <si>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</si>
  <si>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</si>
  <si>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</si>
  <si>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</si>
  <si>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</si>
  <si>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</si>
  <si>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</si>
  <si>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</si>
  <si>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</si>
  <si>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</si>
  <si>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</si>
  <si>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</si>
  <si>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</si>
  <si>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</si>
  <si>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</si>
  <si>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</si>
  <si>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</si>
  <si>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</si>
  <si>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</si>
  <si>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</si>
  <si>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</si>
  <si>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</si>
  <si>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</si>
  <si>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</si>
  <si>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</si>
  <si>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</si>
  <si>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</si>
  <si>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</si>
  <si>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</si>
  <si>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</si>
  <si>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</si>
  <si>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</si>
  <si>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</si>
  <si>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</si>
  <si>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</si>
  <si>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</si>
  <si>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</si>
  <si>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</si>
  <si>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</si>
  <si>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</si>
  <si>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</si>
  <si>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</si>
  <si>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</si>
  <si>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</si>
  <si>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</si>
  <si>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</si>
  <si>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</si>
  <si>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</si>
  <si>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</si>
  <si>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</si>
  <si>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</si>
  <si>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</si>
  <si>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</si>
  <si>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</si>
  <si>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</si>
  <si>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</si>
  <si>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</si>
  <si>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</si>
  <si>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</si>
  <si>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</si>
  <si>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</si>
  <si>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</si>
  <si>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</si>
  <si>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</si>
  <si>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</si>
  <si>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</si>
  <si>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</si>
  <si>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</si>
  <si>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</si>
  <si>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</si>
  <si>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</si>
  <si>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</si>
  <si>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</si>
  <si>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</si>
  <si>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</si>
  <si>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</si>
  <si>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</si>
  <si>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</si>
  <si>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</si>
  <si>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</si>
  <si>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</si>
  <si>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</si>
  <si>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</si>
  <si>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</si>
  <si>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</si>
  <si>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</si>
  <si>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</si>
  <si>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</si>
  <si>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</si>
  <si>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</si>
  <si>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</si>
  <si>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</si>
  <si>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</si>
  <si>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</si>
  <si>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</si>
  <si>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</si>
  <si>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</si>
  <si>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</si>
  <si>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</si>
  <si>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</si>
  <si>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</si>
  <si>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</si>
  <si>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</si>
  <si>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</si>
  <si>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</si>
  <si>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</si>
  <si>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</si>
  <si>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</si>
  <si>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</si>
  <si>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</si>
  <si>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</si>
  <si>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</si>
  <si>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</si>
  <si>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</si>
  <si>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</si>
  <si>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</si>
  <si>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</si>
  <si>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</si>
  <si>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</si>
  <si>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</si>
  <si>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</si>
  <si>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</si>
  <si>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</si>
  <si>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</si>
  <si>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</si>
  <si>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</si>
  <si>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</si>
  <si>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</si>
  <si>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</si>
  <si>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</si>
  <si>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</si>
  <si>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</si>
  <si>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</si>
  <si>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</si>
  <si>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</si>
  <si>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</si>
  <si>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</si>
  <si>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</si>
  <si>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</si>
  <si>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</si>
  <si>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</si>
  <si>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</si>
  <si>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</si>
  <si>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</si>
  <si>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</si>
  <si>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</si>
  <si>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</si>
  <si>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</si>
  <si>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</si>
  <si>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</si>
  <si>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</si>
  <si>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</si>
  <si>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</si>
  <si>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</si>
  <si>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</si>
  <si>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</si>
  <si>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</si>
  <si>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</si>
  <si>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</si>
  <si>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</si>
  <si>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</si>
  <si>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</si>
  <si>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</si>
  <si>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</si>
  <si>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</si>
  <si>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</si>
  <si>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</si>
  <si>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</si>
  <si>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</si>
  <si>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</si>
  <si>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</si>
  <si>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</si>
  <si>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</si>
  <si>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</si>
  <si>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</si>
  <si>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</si>
  <si>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</si>
  <si>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</si>
  <si>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</si>
  <si>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</si>
  <si>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</si>
  <si>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</si>
  <si>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</si>
  <si>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</si>
  <si>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</si>
  <si>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</si>
  <si>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</si>
  <si>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</si>
  <si>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</si>
  <si>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</si>
  <si>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</si>
  <si>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</si>
  <si>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</si>
  <si>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</si>
  <si>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</si>
  <si>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</si>
  <si>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</si>
  <si>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</si>
  <si>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</si>
  <si>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</si>
  <si>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</si>
  <si>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</si>
  <si>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</si>
  <si>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</si>
  <si>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</si>
  <si>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</si>
  <si>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</si>
  <si>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</si>
  <si>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</si>
  <si>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</si>
  <si>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</si>
  <si>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</si>
  <si>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</si>
  <si>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</si>
  <si>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</si>
  <si>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</si>
  <si>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</si>
  <si>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</si>
  <si>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</si>
  <si>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</si>
  <si>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</si>
  <si>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</si>
  <si>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</si>
  <si>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</si>
  <si>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</si>
  <si>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</si>
  <si>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</si>
  <si>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</si>
  <si>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</si>
  <si>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</si>
  <si>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</si>
  <si>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</si>
  <si>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</si>
  <si>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</si>
  <si>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</si>
  <si>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</si>
  <si>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</si>
  <si>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</si>
  <si>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</si>
  <si>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</si>
  <si>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</si>
  <si>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</si>
  <si>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</si>
  <si>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</si>
  <si>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</si>
  <si>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</si>
  <si>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</si>
  <si>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</si>
  <si>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</si>
  <si>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</si>
  <si>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</si>
  <si>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</si>
  <si>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</si>
  <si>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</si>
  <si>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</si>
  <si>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</si>
  <si>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</si>
  <si>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</si>
  <si>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</si>
  <si>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</si>
  <si>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</si>
  <si>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</si>
  <si>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</si>
  <si>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</si>
  <si>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</si>
  <si>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</si>
  <si>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</si>
  <si>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</si>
  <si>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</si>
  <si>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</si>
  <si>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</si>
  <si>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</si>
  <si>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</si>
  <si>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</si>
  <si>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</si>
  <si>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</si>
  <si>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</si>
  <si>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</si>
  <si>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</si>
  <si>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</si>
  <si>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</si>
  <si>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</si>
  <si>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</si>
  <si>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</si>
  <si>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</si>
  <si>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</si>
  <si>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</si>
  <si>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</si>
  <si>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</si>
  <si>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</si>
  <si>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</si>
  <si>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</si>
  <si>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</si>
  <si>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</si>
  <si>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</si>
  <si>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</si>
  <si>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</si>
  <si>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</si>
  <si>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</si>
  <si>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</si>
  <si>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</si>
  <si>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</si>
  <si>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</si>
  <si>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</si>
  <si>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</si>
  <si>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</si>
  <si>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</si>
  <si>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</si>
  <si>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</si>
  <si>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</si>
  <si>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</si>
  <si>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</si>
  <si>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</si>
  <si>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</si>
  <si>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</si>
  <si>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</si>
  <si>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</si>
  <si>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</si>
  <si>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</si>
  <si>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</si>
  <si>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</si>
  <si>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</si>
  <si>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</si>
  <si>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</si>
  <si>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</si>
  <si>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</si>
  <si>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</si>
  <si>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</si>
  <si>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</si>
  <si>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</si>
  <si>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</si>
  <si>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</si>
  <si>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</si>
  <si>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</si>
  <si>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</si>
  <si>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</si>
  <si>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</si>
  <si>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</si>
  <si>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</si>
  <si>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</si>
  <si>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</si>
  <si>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</si>
  <si>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</si>
  <si>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</si>
  <si>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</si>
  <si>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</si>
  <si>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</si>
  <si>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</si>
  <si>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</si>
  <si>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</si>
  <si>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</si>
  <si>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</si>
  <si>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</si>
  <si>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</si>
  <si>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</si>
  <si>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</si>
  <si>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</si>
  <si>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</si>
  <si>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</si>
  <si>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</si>
  <si>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</si>
  <si>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</si>
  <si>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</si>
  <si>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</si>
  <si>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</si>
  <si>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</si>
  <si>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</si>
  <si>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</si>
  <si>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</si>
  <si>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</si>
  <si>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</si>
  <si>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</si>
  <si>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</si>
  <si>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</si>
  <si>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</si>
  <si>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</si>
  <si>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</si>
  <si>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</si>
  <si>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</si>
  <si>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</si>
  <si>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</si>
  <si>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</si>
  <si>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</si>
  <si>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</si>
  <si>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</si>
  <si>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</si>
  <si>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</si>
  <si>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</si>
  <si>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</si>
  <si>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</si>
  <si>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</si>
  <si>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</si>
  <si>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</si>
  <si>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</si>
  <si>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</si>
  <si>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</si>
  <si>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</si>
  <si>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</si>
  <si>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</si>
  <si>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</si>
  <si>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</si>
  <si>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</si>
  <si>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</si>
  <si>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</si>
  <si>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</si>
  <si>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</si>
  <si>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</si>
  <si>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</si>
  <si>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</si>
  <si>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</si>
  <si>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</si>
  <si>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</si>
  <si>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</si>
  <si>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</si>
  <si>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</si>
  <si>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</si>
  <si>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</si>
  <si>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</si>
  <si>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</si>
  <si>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</si>
  <si>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</si>
  <si>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</si>
  <si>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</si>
  <si>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</si>
  <si>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</si>
  <si>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</si>
  <si>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</si>
  <si>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</si>
  <si>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</si>
  <si>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</si>
  <si>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</si>
  <si>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</si>
  <si>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</si>
  <si>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</si>
  <si>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</si>
  <si>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</si>
  <si>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</si>
  <si>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</si>
  <si>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</si>
  <si>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</si>
  <si>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</si>
  <si>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</si>
  <si>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</si>
  <si>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</si>
  <si>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</si>
  <si>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</si>
  <si>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</si>
  <si>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</si>
  <si>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</si>
  <si>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</si>
  <si>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</si>
  <si>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</si>
  <si>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</si>
  <si>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</si>
  <si>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</si>
  <si>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</si>
  <si>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</si>
  <si>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</si>
  <si>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</si>
  <si>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</si>
  <si>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</si>
  <si>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</si>
  <si>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</si>
  <si>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</si>
  <si>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</si>
  <si>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</si>
  <si>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</si>
  <si>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</si>
  <si>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</si>
  <si>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</si>
  <si>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</si>
  <si>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</si>
  <si>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</si>
  <si>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</si>
  <si>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</si>
  <si>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</si>
  <si>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</si>
  <si>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</si>
  <si>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</si>
  <si>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</si>
  <si>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</si>
  <si>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</si>
  <si>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</si>
  <si>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</si>
  <si>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</si>
  <si>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</si>
  <si>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</si>
  <si>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</si>
  <si>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</si>
  <si>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</si>
  <si>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</si>
  <si>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</si>
  <si>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</si>
  <si>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</si>
  <si>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</si>
  <si>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</si>
  <si>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</si>
  <si>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</si>
  <si>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</si>
  <si>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</si>
  <si>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</si>
  <si>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</si>
  <si>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</si>
  <si>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</si>
  <si>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</si>
  <si>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</si>
  <si>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</si>
  <si>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</si>
  <si>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</si>
  <si>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</si>
  <si>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</si>
  <si>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</si>
  <si>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</si>
  <si>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</si>
  <si>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</si>
  <si>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</si>
  <si>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</si>
  <si>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</si>
  <si>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</si>
  <si>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</si>
  <si>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</si>
  <si>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</si>
  <si>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</si>
  <si>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</si>
  <si>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</si>
  <si>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</si>
  <si>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</si>
  <si>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</si>
  <si>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</si>
  <si>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</si>
  <si>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</si>
  <si>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</si>
  <si>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</si>
  <si>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</si>
  <si>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</si>
  <si>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</si>
  <si>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</si>
  <si>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</si>
  <si>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</si>
  <si>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</si>
  <si>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</si>
  <si>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</si>
  <si>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</si>
  <si>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</si>
  <si>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</si>
  <si>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</si>
  <si>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</si>
  <si>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</si>
  <si>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</si>
  <si>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</si>
  <si>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</si>
  <si>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</si>
  <si>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</si>
  <si>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</si>
  <si>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</si>
  <si>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</si>
  <si>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</si>
  <si>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</si>
  <si>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</si>
  <si>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</si>
  <si>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</si>
  <si>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</si>
  <si>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</si>
  <si>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</si>
  <si>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</si>
  <si>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</si>
  <si>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</si>
  <si>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</si>
  <si>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</si>
  <si>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</si>
  <si>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</si>
  <si>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</si>
  <si>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</si>
  <si>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</si>
  <si>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</si>
  <si>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</si>
  <si>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</si>
  <si>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</si>
  <si>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</si>
  <si>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</si>
  <si>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</si>
  <si>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</si>
  <si>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</si>
  <si>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</si>
  <si>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</si>
  <si>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</si>
  <si>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</si>
  <si>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</si>
  <si>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</si>
  <si>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</si>
  <si>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</si>
  <si>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</si>
  <si>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</si>
  <si>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</si>
  <si>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</si>
  <si>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</si>
  <si>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</si>
  <si>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</si>
  <si>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</si>
  <si>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</si>
  <si>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</si>
  <si>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</si>
  <si>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</si>
  <si>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</si>
  <si>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</si>
  <si>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</si>
  <si>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</si>
  <si>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</si>
  <si>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</si>
  <si>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</si>
  <si>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</si>
  <si>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</si>
  <si>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</si>
  <si>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</si>
  <si>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</si>
  <si>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</si>
  <si>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</si>
  <si>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</si>
  <si>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</si>
  <si>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</si>
  <si>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</si>
  <si>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</si>
  <si>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</si>
  <si>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</si>
  <si>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</si>
  <si>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</si>
  <si>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</si>
  <si>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</si>
  <si>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</si>
  <si>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</si>
  <si>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</si>
  <si>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</si>
  <si>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</si>
  <si>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</si>
  <si>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</si>
  <si>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</si>
  <si>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</si>
  <si>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</si>
  <si>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</si>
  <si>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</si>
  <si>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</si>
  <si>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</si>
  <si>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</si>
  <si>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</si>
  <si>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</si>
  <si>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</si>
  <si>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</si>
  <si>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</si>
  <si>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</si>
  <si>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</si>
  <si>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</si>
  <si>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</si>
  <si>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</si>
  <si>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</si>
  <si>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</si>
  <si>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</si>
  <si>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</si>
  <si>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</si>
  <si>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</si>
  <si>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</si>
  <si>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</si>
  <si>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</si>
  <si>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</si>
  <si>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</si>
  <si>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</si>
  <si>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</si>
  <si>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</si>
  <si>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</si>
  <si>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</si>
  <si>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</si>
  <si>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</si>
  <si>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</si>
  <si>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</si>
  <si>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</si>
  <si>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</si>
  <si>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</si>
  <si>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</si>
  <si>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</si>
  <si>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</si>
  <si>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</si>
  <si>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</si>
  <si>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</si>
  <si>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</si>
  <si>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</si>
  <si>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</si>
  <si>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</si>
  <si>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</si>
  <si>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</si>
  <si>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</si>
  <si>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</si>
  <si>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</si>
  <si>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</si>
  <si>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</si>
  <si>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</si>
  <si>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</si>
  <si>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</si>
  <si>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</si>
  <si>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</si>
  <si>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</si>
  <si>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</si>
  <si>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</si>
  <si>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</si>
  <si>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</si>
  <si>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</si>
  <si>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</si>
  <si>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</si>
  <si>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</si>
  <si>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</si>
  <si>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</si>
  <si>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</si>
  <si>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</si>
  <si>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</si>
  <si>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</si>
  <si>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</si>
  <si>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</si>
  <si>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</si>
  <si>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</si>
  <si>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</si>
  <si>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</si>
  <si>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</si>
  <si>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</si>
  <si>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</si>
  <si>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</si>
  <si>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</si>
  <si>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</si>
  <si>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</si>
  <si>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</si>
  <si>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</si>
  <si>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</si>
  <si>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</si>
  <si>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</si>
  <si>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</si>
  <si>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</si>
  <si>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</si>
  <si>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</si>
  <si>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</si>
  <si>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</si>
  <si>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</si>
  <si>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</si>
  <si>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</si>
  <si>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</si>
  <si>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</si>
  <si>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</si>
  <si>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</si>
  <si>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</si>
  <si>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</si>
  <si>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</si>
  <si>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</si>
  <si>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</si>
  <si>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</si>
  <si>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</si>
  <si>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</si>
  <si>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</si>
  <si>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</si>
  <si>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</si>
  <si>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</si>
  <si>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</si>
  <si>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</si>
  <si>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</si>
  <si>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</si>
  <si>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</si>
  <si>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</si>
  <si>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</si>
  <si>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</si>
  <si>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</si>
  <si>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</si>
  <si>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</si>
  <si>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</si>
  <si>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</si>
  <si>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</si>
  <si>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</si>
  <si>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</si>
  <si>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</si>
  <si>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</si>
  <si>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</si>
  <si>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</si>
  <si>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</si>
  <si>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</si>
  <si>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</si>
  <si>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</si>
  <si>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</si>
  <si>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</si>
  <si>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</si>
  <si>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</si>
  <si>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</si>
  <si>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</si>
  <si>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</si>
  <si>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</si>
  <si>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</si>
  <si>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</si>
  <si>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</si>
  <si>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</si>
  <si>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</si>
  <si>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</si>
  <si>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</si>
  <si>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</si>
  <si>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</si>
  <si>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</si>
  <si>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</si>
  <si>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</si>
  <si>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</si>
  <si>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</si>
  <si>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</si>
  <si>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</si>
  <si>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</si>
  <si>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</si>
  <si>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</si>
  <si>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</si>
  <si>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</si>
  <si>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</si>
  <si>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</si>
  <si>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</si>
  <si>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</si>
  <si>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</si>
  <si>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</si>
  <si>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</si>
  <si>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</si>
  <si>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</si>
  <si>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</si>
  <si>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</si>
  <si>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</si>
  <si>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</si>
  <si>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</si>
  <si>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</si>
  <si>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</si>
  <si>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</si>
  <si>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</si>
  <si>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</si>
  <si>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</si>
  <si>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</si>
  <si>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</si>
  <si>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</si>
  <si>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</si>
  <si>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</si>
  <si>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</si>
  <si>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</si>
  <si>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</si>
  <si>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</si>
  <si>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</si>
  <si>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</si>
  <si>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</si>
  <si>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</si>
  <si>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</si>
  <si>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</si>
  <si>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</si>
  <si>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</si>
  <si>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</si>
  <si>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</si>
  <si>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</si>
  <si>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</si>
  <si>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</si>
  <si>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</si>
  <si>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</si>
  <si>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</si>
  <si>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</si>
  <si>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</si>
  <si>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</si>
  <si>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</si>
  <si>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</si>
  <si>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</si>
  <si>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</si>
  <si>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</si>
  <si>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</si>
  <si>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</si>
  <si>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</si>
  <si>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</si>
  <si>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</si>
  <si>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</si>
  <si>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</si>
  <si>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</si>
  <si>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</si>
  <si>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</si>
  <si>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</si>
  <si>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</si>
  <si>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</si>
  <si>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</si>
  <si>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</si>
  <si>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</si>
  <si>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</si>
  <si>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</si>
  <si>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</si>
  <si>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</si>
  <si>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</si>
  <si>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</si>
  <si>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</si>
  <si>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</si>
  <si>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</si>
  <si>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</si>
  <si>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</si>
  <si>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</si>
  <si>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</si>
  <si>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</si>
  <si>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</si>
  <si>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</si>
  <si>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</si>
  <si>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</si>
  <si>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</si>
  <si>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</si>
  <si>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</si>
  <si>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</si>
  <si>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</si>
  <si>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</si>
  <si>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</si>
  <si>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</si>
  <si>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</si>
  <si>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</si>
  <si>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</si>
  <si>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</si>
  <si>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</si>
  <si>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</si>
  <si>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</si>
  <si>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</si>
  <si>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</si>
  <si>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</si>
  <si>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</si>
  <si>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</si>
  <si>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</si>
  <si>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</si>
  <si>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</si>
  <si>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</si>
  <si>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</si>
  <si>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</si>
  <si>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</si>
  <si>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</si>
  <si>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</si>
  <si>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</si>
  <si>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</si>
  <si>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</si>
  <si>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</si>
  <si>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</si>
  <si>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</si>
  <si>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</si>
  <si>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</si>
  <si>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</si>
  <si>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</si>
  <si>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</si>
  <si>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</si>
  <si>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</si>
  <si>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</si>
  <si>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</si>
  <si>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</si>
  <si>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</si>
  <si>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</si>
  <si>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</si>
  <si>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</si>
  <si>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</si>
  <si>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</si>
  <si>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</si>
  <si>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</si>
  <si>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</si>
  <si>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</si>
  <si>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</si>
  <si>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</si>
  <si>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</si>
  <si>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</si>
  <si>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</si>
  <si>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</si>
  <si>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</si>
  <si>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</si>
  <si>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</si>
  <si>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</si>
  <si>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</si>
  <si>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</si>
  <si>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</si>
  <si>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</si>
  <si>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</si>
  <si>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</si>
  <si>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</si>
  <si>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</si>
  <si>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</si>
  <si>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</si>
  <si>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</si>
  <si>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</si>
  <si>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</si>
  <si>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</si>
  <si>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</si>
  <si>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</si>
  <si>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</si>
  <si>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</si>
  <si>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</si>
  <si>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</si>
  <si>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</si>
  <si>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</si>
  <si>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</si>
  <si>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</si>
  <si>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</si>
  <si>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</si>
  <si>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</si>
  <si>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</si>
  <si>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</si>
  <si>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</si>
  <si>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</si>
  <si>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</si>
  <si>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</si>
  <si>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</si>
  <si>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</si>
  <si>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</si>
  <si>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</si>
  <si>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</si>
  <si>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</si>
  <si>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</si>
  <si>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</si>
  <si>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</si>
  <si>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</si>
  <si>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</si>
  <si>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</si>
  <si>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</si>
  <si>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</si>
  <si>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</si>
  <si>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</si>
  <si>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</si>
  <si>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</si>
  <si>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</si>
  <si>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</si>
  <si>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</si>
  <si>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</si>
  <si>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</si>
  <si>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</si>
  <si>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</si>
  <si>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</si>
  <si>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</si>
  <si>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</si>
  <si>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</si>
  <si>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</si>
  <si>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</si>
  <si>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</si>
  <si>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</si>
  <si>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</si>
  <si>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</si>
  <si>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</si>
  <si>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</si>
  <si>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</si>
  <si>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</si>
  <si>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</si>
  <si>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</si>
  <si>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</si>
  <si>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</si>
  <si>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</si>
  <si>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</si>
  <si>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</si>
  <si>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</si>
  <si>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</si>
  <si>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</si>
  <si>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</si>
  <si>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</si>
  <si>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</si>
  <si>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</si>
  <si>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</si>
  <si>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</si>
  <si>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</si>
  <si>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</si>
  <si>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</si>
  <si>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</si>
  <si>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</si>
  <si>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</si>
  <si>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</si>
  <si>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</si>
  <si>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</si>
  <si>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</si>
  <si>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</si>
  <si>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</si>
  <si>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</si>
  <si>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</si>
  <si>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</si>
  <si>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</si>
  <si>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</si>
  <si>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</si>
  <si>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</si>
  <si>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</si>
  <si>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</si>
  <si>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</si>
  <si>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</si>
  <si>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</si>
  <si>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</si>
  <si>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</si>
  <si>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</si>
  <si>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</si>
  <si>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</si>
  <si>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</si>
  <si>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</si>
  <si>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</si>
  <si>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</si>
  <si>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</si>
  <si>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</si>
  <si>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</si>
  <si>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</si>
  <si>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</si>
  <si>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</si>
  <si>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</si>
  <si>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</si>
  <si>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</si>
  <si>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</si>
  <si>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</si>
  <si>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</si>
  <si>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</si>
  <si>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</si>
  <si>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</si>
  <si>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</si>
  <si>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</si>
  <si>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</si>
  <si>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</si>
  <si>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</si>
  <si>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</si>
  <si>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</si>
  <si>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</si>
  <si>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</si>
  <si>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</si>
  <si>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</si>
  <si>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</si>
  <si>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</si>
  <si>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</si>
  <si>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</si>
  <si>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</si>
  <si>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</si>
  <si>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</si>
  <si>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</si>
  <si>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</si>
  <si>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</si>
  <si>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</si>
  <si>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</si>
  <si>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</si>
  <si>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</si>
  <si>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</si>
  <si>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</si>
  <si>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</si>
  <si>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</si>
  <si>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</si>
  <si>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</si>
  <si>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</si>
  <si>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</si>
  <si>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</si>
  <si>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</si>
  <si>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</si>
  <si>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</si>
  <si>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</si>
  <si>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</si>
  <si>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</si>
  <si>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</si>
  <si>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</si>
  <si>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</si>
  <si>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</si>
  <si>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</si>
  <si>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</si>
  <si>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</si>
  <si>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</si>
  <si>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</si>
  <si>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</si>
  <si>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</si>
  <si>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</si>
  <si>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</si>
  <si>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</si>
  <si>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</si>
  <si>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</si>
  <si>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</si>
  <si>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</si>
  <si>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</si>
  <si>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</si>
  <si>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</si>
  <si>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</si>
  <si>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</si>
  <si>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</si>
  <si>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</si>
  <si>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</si>
  <si>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</si>
  <si>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</si>
  <si>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</si>
  <si>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</si>
  <si>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</si>
  <si>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</si>
  <si>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</si>
  <si>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</si>
  <si>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</si>
  <si>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</si>
  <si>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</si>
  <si>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</si>
  <si>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</si>
  <si>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</si>
  <si>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</si>
  <si>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</si>
  <si>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</si>
  <si>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</si>
  <si>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</si>
  <si>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</si>
  <si>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</si>
  <si>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</si>
  <si>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</si>
  <si>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</si>
  <si>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</si>
  <si>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</si>
  <si>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</si>
  <si>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</si>
  <si>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</si>
  <si>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</si>
  <si>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</si>
  <si>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</si>
  <si>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</si>
  <si>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</si>
  <si>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</si>
  <si>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</si>
  <si>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</si>
  <si>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</si>
  <si>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</si>
  <si>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</si>
  <si>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</si>
  <si>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</si>
  <si>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</si>
  <si>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</si>
  <si>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</si>
  <si>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</si>
  <si>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</si>
  <si>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</si>
  <si>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</si>
  <si>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</si>
  <si>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</si>
  <si>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</si>
  <si>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</si>
  <si>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</si>
  <si>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</si>
  <si>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</si>
  <si>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</si>
  <si>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</si>
  <si>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</si>
  <si>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</si>
  <si>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</si>
  <si>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</si>
  <si>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</si>
  <si>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</si>
  <si>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</si>
  <si>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</si>
  <si>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</si>
  <si>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</si>
  <si>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</si>
  <si>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</si>
  <si>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</si>
  <si>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</si>
  <si>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</si>
  <si>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</si>
  <si>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</si>
  <si>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</si>
  <si>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</si>
  <si>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</si>
  <si>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</si>
  <si>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</si>
  <si>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</si>
  <si>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</si>
  <si>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</si>
  <si>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</si>
  <si>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</si>
  <si>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</si>
  <si>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</si>
  <si>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</si>
  <si>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</si>
  <si>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</si>
  <si>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</si>
  <si>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</si>
  <si>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</si>
  <si>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</si>
  <si>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</si>
  <si>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</si>
  <si>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</si>
  <si>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</si>
  <si>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</si>
  <si>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</si>
  <si>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</si>
  <si>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</si>
  <si>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</si>
  <si>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</si>
  <si>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</si>
  <si>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</si>
  <si>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</si>
  <si>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</si>
  <si>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</si>
  <si>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</si>
  <si>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</si>
  <si>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</si>
  <si>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</si>
  <si>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</si>
  <si>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</si>
  <si>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</si>
  <si>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</si>
  <si>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</si>
  <si>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</si>
  <si>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</si>
  <si>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</si>
  <si>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</si>
  <si>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</si>
  <si>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</si>
  <si>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</si>
  <si>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</si>
  <si>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</si>
  <si>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</si>
  <si>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</si>
  <si>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</si>
  <si>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</si>
  <si>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</si>
  <si>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</si>
  <si>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</si>
  <si>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</si>
  <si>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</si>
  <si>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</si>
  <si>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</si>
  <si>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</si>
  <si>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</si>
  <si>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</si>
  <si>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</si>
  <si>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</si>
  <si>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</si>
  <si>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</si>
  <si>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</si>
  <si>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</si>
  <si>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</si>
  <si>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</si>
  <si>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</si>
  <si>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</si>
  <si>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</si>
  <si>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</si>
  <si>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</si>
  <si>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</si>
  <si>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</si>
  <si>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</si>
  <si>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</si>
  <si>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</si>
  <si>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</si>
  <si>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</si>
  <si>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</si>
  <si>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</si>
  <si>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</si>
  <si>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</si>
  <si>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</si>
  <si>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</si>
  <si>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</si>
  <si>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</si>
  <si>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</si>
  <si>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</si>
  <si>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</si>
  <si>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</si>
  <si>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</si>
  <si>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</si>
  <si>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</si>
  <si>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</si>
  <si>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</si>
  <si>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</si>
  <si>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</si>
  <si>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</si>
  <si>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</si>
  <si>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</si>
  <si>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</si>
  <si>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</si>
  <si>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</si>
  <si>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</si>
  <si>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</si>
  <si>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</si>
  <si>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</si>
  <si>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</si>
  <si>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</si>
  <si>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</si>
  <si>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</si>
  <si>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</si>
  <si>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</si>
  <si>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</si>
  <si>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</si>
  <si>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</si>
  <si>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</si>
  <si>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</si>
  <si>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</si>
  <si>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</si>
  <si>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</si>
  <si>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</si>
  <si>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</si>
  <si>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</si>
  <si>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</si>
  <si>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</si>
  <si>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</si>
  <si>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</si>
  <si>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</si>
  <si>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</si>
  <si>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</si>
  <si>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</si>
  <si>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</si>
  <si>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</si>
  <si>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</si>
  <si>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</si>
  <si>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</si>
  <si>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</si>
  <si>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</si>
  <si>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</si>
  <si>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</si>
  <si>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</si>
  <si>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</si>
  <si>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</si>
  <si>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</si>
  <si>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</si>
  <si>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</si>
  <si>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</si>
  <si>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</si>
  <si>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</si>
  <si>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</si>
  <si>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</si>
  <si>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</si>
  <si>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</si>
  <si>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</si>
  <si>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</si>
  <si>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</si>
  <si>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</si>
  <si>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</si>
  <si>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</si>
  <si>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</si>
  <si>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</si>
  <si>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</si>
  <si>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</si>
  <si>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</si>
  <si>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</si>
  <si>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</si>
  <si>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</si>
  <si>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</si>
  <si>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</si>
  <si>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</si>
  <si>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</si>
  <si>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</si>
  <si>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</si>
  <si>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</si>
  <si>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</si>
  <si>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</si>
  <si>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</si>
  <si>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</si>
  <si>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</si>
  <si>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</si>
  <si>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</si>
  <si>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</si>
  <si>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</si>
  <si>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</si>
  <si>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</si>
  <si>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</si>
  <si>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</si>
  <si>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</si>
  <si>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</si>
  <si>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</si>
  <si>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</si>
  <si>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</si>
  <si>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</si>
  <si>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</si>
  <si>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</si>
  <si>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</si>
  <si>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</si>
  <si>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</si>
  <si>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</si>
  <si>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</si>
  <si>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</si>
  <si>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</si>
  <si>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</si>
  <si>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</si>
  <si>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</si>
  <si>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</si>
  <si>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</si>
  <si>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</si>
  <si>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</si>
  <si>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</si>
  <si>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</si>
  <si>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</si>
  <si>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</si>
  <si>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</si>
  <si>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</si>
  <si>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</si>
  <si>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</si>
  <si>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</si>
  <si>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</si>
  <si>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</si>
  <si>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</si>
  <si>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</si>
  <si>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</si>
  <si>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</si>
  <si>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</si>
  <si>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</si>
  <si>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</si>
  <si>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</si>
  <si>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</si>
  <si>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</si>
  <si>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</si>
  <si>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</si>
  <si>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</si>
  <si>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</si>
  <si>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</si>
  <si>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</si>
  <si>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</si>
  <si>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</si>
  <si>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</si>
  <si>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</si>
  <si>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</si>
  <si>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</si>
  <si>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</si>
  <si>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</si>
  <si>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</si>
  <si>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</si>
  <si>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</si>
  <si>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</si>
  <si>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</si>
  <si>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</si>
  <si>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</si>
  <si>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</si>
  <si>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</si>
  <si>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</si>
  <si>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</si>
  <si>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</si>
  <si>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</si>
  <si>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</si>
  <si>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</si>
  <si>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</si>
  <si>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</si>
  <si>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</si>
  <si>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</si>
  <si>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</si>
  <si>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</si>
  <si>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</si>
  <si>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</si>
  <si>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</si>
  <si>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</si>
  <si>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</si>
  <si>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</si>
  <si>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</si>
  <si>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</si>
  <si>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</si>
  <si>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</si>
  <si>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</si>
  <si>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</si>
  <si>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</si>
  <si>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</si>
  <si>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</si>
  <si>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</si>
  <si>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</si>
  <si>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</si>
  <si>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</si>
  <si>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</si>
  <si>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</si>
  <si>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</si>
  <si>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</si>
  <si>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</si>
  <si>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</si>
  <si>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</si>
  <si>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</si>
  <si>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</si>
  <si>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</si>
  <si>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</si>
  <si>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</si>
  <si>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</si>
  <si>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</si>
  <si>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</si>
  <si>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</si>
  <si>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</si>
  <si>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</si>
  <si>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</si>
  <si>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</si>
  <si>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</si>
  <si>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</si>
  <si>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</si>
  <si>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</si>
  <si>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</si>
  <si>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</si>
  <si>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</si>
  <si>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</si>
  <si>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</si>
  <si>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</si>
  <si>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</si>
  <si>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</si>
  <si>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</si>
  <si>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</si>
  <si>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</si>
  <si>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</si>
  <si>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47-098-0000-61</t>
  </si>
  <si>
    <t>Whiteside/Carroll</t>
  </si>
  <si>
    <t>2317 E Lincolnway, Ste. A</t>
  </si>
  <si>
    <t>Sterling</t>
  </si>
  <si>
    <t>lheston@bi-county.org</t>
  </si>
  <si>
    <t>Laurie A. Heston</t>
  </si>
  <si>
    <t>815-622-0858</t>
  </si>
  <si>
    <t>815-622-3182</t>
  </si>
  <si>
    <t>Jason Hohulin, CPA</t>
  </si>
  <si>
    <t>jhohulin@gorenzcpa.com</t>
  </si>
  <si>
    <t>2017-001</t>
  </si>
  <si>
    <t>Lack of Segregation of Duties</t>
  </si>
  <si>
    <t>Unresolved - See Finding 2018-001</t>
  </si>
  <si>
    <t>School Breakfast - Rock Falls Elementary #13</t>
  </si>
  <si>
    <t>School Lunch - Rock Falls Elementary #13</t>
  </si>
  <si>
    <t>IDEA-Preschool - See SEFA 18-Footnote</t>
  </si>
  <si>
    <t>IDEA-Flow Through - See SEFA 18-Footnote</t>
  </si>
  <si>
    <t>The accompanying Schedule of Expenditures of Federal Awards includes the federal grant activity of Bi-County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</si>
  <si>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Bi-County Special Education Cooperative provided federal awards to subrecipients as follows:</t>
  </si>
  <si>
    <t>Note 6:  Relationship to Basic Financial Reports and Programs Financial Reports</t>
  </si>
  <si>
    <t>Federal awards received are reflected in the District's financial statement within the Educational Fund as receipts from Federal Sources. Amounts reported in the accompanying Schedule of Federal Awards agree with amounts reported in the Program Financial Reports for programs, which have filed final reports as of June 30, 2018.</t>
  </si>
  <si>
    <t>Note 7:  Matching Expenditures</t>
  </si>
  <si>
    <t>The District incured the following matching expenditures:</t>
  </si>
  <si>
    <t>Contract No.</t>
  </si>
  <si>
    <t xml:space="preserve">   Amount Expended  </t>
  </si>
  <si>
    <t>46CWF00114</t>
  </si>
  <si>
    <t xml:space="preserve">Program                                                                                                   CFDA No. </t>
  </si>
  <si>
    <t>S.T.E.P. - Local Match                                                                             84.126</t>
  </si>
  <si>
    <t>The following amounts were expended in the form of non-cash assistance by Bi-County Special Education Cooperative and should be included in the Schedule of Expenditures of Federal Awards:</t>
  </si>
  <si>
    <t>Unmodified</t>
  </si>
  <si>
    <t>84.027 &amp; 84.173</t>
  </si>
  <si>
    <t>IDEA Cluster</t>
  </si>
  <si>
    <t>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</si>
  <si>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reconciling, and reporting cash transactions.  Also, the bookkeeper has access to all areas of the accounting system and can make entries without approval. These structures reduce certain aspects of the internal control system which rely on adequate segregation of duties.</t>
  </si>
  <si>
    <t>The bookkeeper has access to all areas of the accounting system and key areas of reconciling and recording are not segregated.</t>
  </si>
  <si>
    <t>Certain individuals have the ability to compete and record accounting functions which should be separated.</t>
  </si>
  <si>
    <t>Limited funding precludes the hiring of additional staff to maintain separate functions being performed.</t>
  </si>
  <si>
    <t>Management should be mindful of areas that could be improved including but not limited to hiring additional personnel or assigning various tasks to reconcile books and records to budgets and reports to those with no access to recording in the financial system.</t>
  </si>
  <si>
    <t xml:space="preserve">Currently, the Cooperative relies on management oversight and budgetary controls to help mitigate the affects of non-segregation of accounting functions.  The Cooperative will review the job duties annually and will hire additional staff when funds are available or potentially re-assign staff duties.  </t>
  </si>
  <si>
    <t>NONE</t>
  </si>
  <si>
    <r>
      <t>CORRECTIVE ACTION PLAN FOR CURRENT YEAR AUDIT FINDINGS</t>
    </r>
    <r>
      <rPr>
        <b/>
        <vertAlign val="superscript"/>
        <sz val="9"/>
        <rFont val="Arial"/>
        <family val="2"/>
      </rPr>
      <t>21</t>
    </r>
  </si>
  <si>
    <t>Corrective Action Plan</t>
  </si>
  <si>
    <t>Finding No.:</t>
  </si>
  <si>
    <t>Condition:</t>
  </si>
  <si>
    <t xml:space="preserve">Inadequate control over functions of processing and recording the financial transction due to inadequate segregation of duties.  </t>
  </si>
  <si>
    <t>Plan:</t>
  </si>
  <si>
    <t>Management will review processes and re-assign personnel when identified to review and monitor processes and obtain explanations when there are variances between budget and actual expenditures.</t>
  </si>
  <si>
    <t>Anticipated Date of Completion:</t>
  </si>
  <si>
    <t>On-going</t>
  </si>
  <si>
    <t>Name of Contact Person:</t>
  </si>
  <si>
    <t>Laurie Heston, Director</t>
  </si>
  <si>
    <t>Management Response:</t>
  </si>
  <si>
    <t>Management agrees.</t>
  </si>
  <si>
    <r>
      <t>21</t>
    </r>
    <r>
      <rPr>
        <sz val="8"/>
        <rFont val="Arial"/>
        <family val="2"/>
      </rPr>
      <t xml:space="preserve">  Must address </t>
    </r>
    <r>
      <rPr>
        <b/>
        <sz val="8"/>
        <rFont val="Arial"/>
        <family val="2"/>
      </rPr>
      <t>each</t>
    </r>
    <r>
      <rPr>
        <sz val="8"/>
        <rFont val="Arial"/>
        <family val="2"/>
      </rPr>
      <t xml:space="preserve"> audit finding  - §200.511 ( c)</t>
    </r>
  </si>
  <si>
    <t>The opinion is adverse due to the use of the Regulatory Basis of Accounting.</t>
  </si>
  <si>
    <t>x</t>
  </si>
  <si>
    <t>Part C, #20 - See Finding 2018-001</t>
  </si>
  <si>
    <t>None</t>
  </si>
  <si>
    <t>BI-COUNTY SPECIAL EDUCATION COOPERATIVE</t>
  </si>
  <si>
    <t xml:space="preserve">                            YEAR ENDED JUNE 30, 2018                            </t>
  </si>
  <si>
    <t>Restricted</t>
  </si>
  <si>
    <t>ISBE</t>
  </si>
  <si>
    <t xml:space="preserve">          Receipts/Revenues          </t>
  </si>
  <si>
    <t xml:space="preserve">  Expenditures/Disbursements  </t>
  </si>
  <si>
    <t>Major Program Determination</t>
  </si>
  <si>
    <t>Balance</t>
  </si>
  <si>
    <t>Project</t>
  </si>
  <si>
    <t>Prior to</t>
  </si>
  <si>
    <t>7/01/17 -</t>
  </si>
  <si>
    <t>7/01/17-6/30/18</t>
  </si>
  <si>
    <t>Final</t>
  </si>
  <si>
    <t>Federal Grantor/Pass-Through Grantor, Subrecipients,</t>
  </si>
  <si>
    <t>Number</t>
  </si>
  <si>
    <t>6/30/17</t>
  </si>
  <si>
    <t>6/30/18</t>
  </si>
  <si>
    <t xml:space="preserve">Pass through to </t>
  </si>
  <si>
    <t>Encumbrances</t>
  </si>
  <si>
    <t>Type A/B</t>
  </si>
  <si>
    <t>Risk</t>
  </si>
  <si>
    <t>Audited as a</t>
  </si>
  <si>
    <t>Program Title &amp; Major Program Designation</t>
  </si>
  <si>
    <t>Program</t>
  </si>
  <si>
    <t>Low / High</t>
  </si>
  <si>
    <t>Major Program</t>
  </si>
  <si>
    <t xml:space="preserve">U.S. Department of Agriculture - </t>
  </si>
  <si>
    <t xml:space="preserve">   Pass-through program from</t>
  </si>
  <si>
    <t xml:space="preserve">   Illinois State Board of Education</t>
  </si>
  <si>
    <t>National School Lunch Program (Acct #2200)</t>
  </si>
  <si>
    <t>17-4210-00</t>
  </si>
  <si>
    <t>(3)</t>
  </si>
  <si>
    <t>N/A</t>
  </si>
  <si>
    <t>B</t>
  </si>
  <si>
    <t>low</t>
  </si>
  <si>
    <t>no</t>
  </si>
  <si>
    <t>18-4210-00</t>
  </si>
  <si>
    <t>(2)</t>
  </si>
  <si>
    <t>Subrecipient - Rock Falls Elementary School District #13</t>
  </si>
  <si>
    <t>School Breakfast Program (Acct #2200)</t>
  </si>
  <si>
    <t>17-4220-00</t>
  </si>
  <si>
    <t>18-4220-00</t>
  </si>
  <si>
    <t>Department of Defense (3) Fruits &amp; Vegetables</t>
  </si>
  <si>
    <t>17-4299-00</t>
  </si>
  <si>
    <t>18-4299-00</t>
  </si>
  <si>
    <t>Food Donation (3)</t>
  </si>
  <si>
    <t>15-4299-00</t>
  </si>
  <si>
    <t>16-4299-00</t>
  </si>
  <si>
    <t>Total U.S. Department of Agriculture - Pass-through program</t>
  </si>
  <si>
    <t xml:space="preserve">US Department of Education - </t>
  </si>
  <si>
    <t>IDEA - Flow-Through</t>
  </si>
  <si>
    <t>84.027</t>
  </si>
  <si>
    <t>17-4620-00</t>
  </si>
  <si>
    <t>A-Cluster</t>
  </si>
  <si>
    <t>yes</t>
  </si>
  <si>
    <t xml:space="preserve">  Revenue - 2200</t>
  </si>
  <si>
    <t>(M)</t>
  </si>
  <si>
    <t>18-4620-00</t>
  </si>
  <si>
    <t>Subrecipient - River Bend CUSD #2</t>
  </si>
  <si>
    <t>Subrecipient - Sterling School District #5</t>
  </si>
  <si>
    <t>Fed-Special Education-Preschool Flow-Through</t>
  </si>
  <si>
    <t>84.173</t>
  </si>
  <si>
    <t>17-4600-00</t>
  </si>
  <si>
    <t>18-4600-00</t>
  </si>
  <si>
    <t>Total U.S. Department of Education - Pass-through programs</t>
  </si>
  <si>
    <t xml:space="preserve">   From Illinois State Board of Education</t>
  </si>
  <si>
    <t>U.S. Department of Education -</t>
  </si>
  <si>
    <t xml:space="preserve">   Illinois Department of Human Services</t>
  </si>
  <si>
    <t>S.T.E.P.    (Note #2)</t>
  </si>
  <si>
    <t>46CVF00114</t>
  </si>
  <si>
    <t>Total US Department of Education - Pass-through programs</t>
  </si>
  <si>
    <t>US Department of Health and Human Services:</t>
  </si>
  <si>
    <t xml:space="preserve">   Illinois Department of Healthcare and Family Services:</t>
  </si>
  <si>
    <t xml:space="preserve">   Northern Illinois Association</t>
  </si>
  <si>
    <t>Medicaid-Administrative Outreach</t>
  </si>
  <si>
    <t>17-4991-00</t>
  </si>
  <si>
    <t>18-4991-00</t>
  </si>
  <si>
    <t>Total U.S. Department of Health and Human Services - Pass-through programs</t>
  </si>
  <si>
    <t>Total Federal Awards</t>
  </si>
  <si>
    <t>Restricted Balance</t>
  </si>
  <si>
    <t>Total  Federal Awards Passed Through Illinois State Board of Education</t>
  </si>
  <si>
    <t>Coverage</t>
  </si>
  <si>
    <t>Total Federal Awards Passes Through Other Entities</t>
  </si>
  <si>
    <t>(M) Indicates Major Federal Financial Assistance Program.</t>
  </si>
  <si>
    <t>(1) Prepayment from ISBE</t>
  </si>
  <si>
    <t>Percent of</t>
  </si>
  <si>
    <t>(2)  Project Not Complete as of June 30, 2018</t>
  </si>
  <si>
    <t>(3) Revenue Flowed Through to Rock Falls Elementary School #13, Sterling CUSD # 5 and River Bend School District #2 Reported in Revenue Function 2200</t>
  </si>
  <si>
    <t>School Lunch- Flow Through:</t>
  </si>
  <si>
    <t>Paid in FY '17</t>
  </si>
  <si>
    <t>Paid in FY '18</t>
  </si>
  <si>
    <t>Rock Falls Elementary School District #13</t>
  </si>
  <si>
    <t>School Breakfast - Flow Through:</t>
  </si>
  <si>
    <t xml:space="preserve">  Department of Defense Fruits &amp; Vegetables</t>
  </si>
  <si>
    <t>IDEA Flow Through:</t>
  </si>
  <si>
    <t>Sterling School District #5</t>
  </si>
  <si>
    <t>River Bend CUSD #2</t>
  </si>
  <si>
    <t>IDEA PreSchool:</t>
  </si>
  <si>
    <r>
      <t xml:space="preserve">1 </t>
    </r>
    <r>
      <rPr>
        <sz val="11"/>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</si>
  <si>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</si>
  <si>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11"/>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</si>
  <si>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</si>
  <si>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11"/>
        <rFont val="Arial"/>
        <family val="2"/>
      </rPr>
      <t xml:space="preserve">  When awards are received as a subrecipient, the identifying number assigned by the pass-through entity should be included in the schedule.</t>
    </r>
  </si>
  <si>
    <r>
      <t xml:space="preserve">4  </t>
    </r>
    <r>
      <rPr>
        <sz val="11"/>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</si>
  <si>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</si>
  <si>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</si>
  <si>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</si>
  <si>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Rock Falls Elementary #13</t>
  </si>
  <si>
    <t>Page 11, Cell C107 - Expense reimbursements</t>
  </si>
  <si>
    <t>Page 16, Cell E73 - Liability Insurance</t>
  </si>
  <si>
    <t>Page 14, Cell C272 - STEP Revenue</t>
  </si>
  <si>
    <t>Pg 29, Line 80 "PLEASE ENTER CONTRACTS PAID IN THE CURRENT YEAR"</t>
  </si>
  <si>
    <t>For the current fiscal year under audit, the joint agreement did not have any qualifying contracts</t>
  </si>
  <si>
    <t xml:space="preserve">exceeding the $25,000 limit.   </t>
  </si>
  <si>
    <t>Value of Commodites</t>
  </si>
  <si>
    <t xml:space="preserve">Page 36, Lines 12-15 Notes that a Deficit Reducion Plan and Narraitive must be submitted by the district, </t>
  </si>
  <si>
    <t xml:space="preserve">however this does not apply to Joint Agreements.  </t>
  </si>
  <si>
    <t>066-005027</t>
  </si>
  <si>
    <t>see embedded PDF version</t>
  </si>
  <si>
    <t>Bi-Country Special Education Cooperative</t>
  </si>
  <si>
    <t>Bi County Sp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</si>
</sst>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0&quot;_);_(@_)"/>
    <numFmt numFmtId="182" formatCode="0.000_)"/>
    <numFmt numFmtId="183" formatCode="_(* #,##0_);_(* \(#,##0\);_(* &quot;-&quot;??_);_(@_)"/>
    <numFmt numFmtId="184" formatCode="_(* #,##0_);_(* \(#,##0\);_(* &quot; &quot;_);_(@_)"/>
  </numFmts>
  <fonts count="1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1"/>
      <name val="Garamond"/>
      <family val="1"/>
    </font>
    <font>
      <sz val="11"/>
      <name val="Times New Roman"/>
      <family val="1"/>
    </font>
    <font>
      <sz val="11"/>
      <name val="Courier"/>
      <family val="3"/>
    </font>
    <font>
      <sz val="11"/>
      <name val="Garamond"/>
      <family val="1"/>
    </font>
    <font>
      <b/>
      <u/>
      <sz val="11"/>
      <name val="Garamond"/>
      <family val="1"/>
    </font>
    <font>
      <sz val="10"/>
      <name val="Courier"/>
    </font>
    <font>
      <b/>
      <sz val="11"/>
      <name val="Times New Roman"/>
      <family val="1"/>
    </font>
    <font>
      <u val="singleAccounting"/>
      <sz val="11"/>
      <name val="Garamond"/>
      <family val="1"/>
    </font>
    <font>
      <u val="singleAccounting"/>
      <sz val="11"/>
      <name val="Times New Roman"/>
      <family val="1"/>
    </font>
    <font>
      <b/>
      <u val="singleAccounting"/>
      <sz val="11"/>
      <name val="Times New Roman"/>
      <family val="1"/>
    </font>
    <font>
      <b/>
      <u val="singleAccounting"/>
      <sz val="11"/>
      <name val="Garamond"/>
      <family val="1"/>
    </font>
    <font>
      <u/>
      <sz val="11"/>
      <name val="Times New Roman"/>
      <family val="1"/>
    </font>
    <font>
      <u/>
      <sz val="11"/>
      <name val="Garamond"/>
      <family val="1"/>
    </font>
    <font>
      <b/>
      <u/>
      <sz val="11"/>
      <name val="Times New Roman"/>
      <family val="1"/>
    </font>
    <font>
      <sz val="11"/>
      <name val="Cambria"/>
      <family val="1"/>
    </font>
    <font>
      <sz val="11"/>
      <color theme="1"/>
      <name val="Times New Roman"/>
      <family val="1"/>
    </font>
    <font>
      <u val="doubleAccounting"/>
      <sz val="11"/>
      <name val="Garamond"/>
      <family val="1"/>
    </font>
    <font>
      <vertAlign val="superscript"/>
      <sz val="11"/>
      <name val="Arial"/>
      <family val="2"/>
    </font>
    <font>
      <sz val="11"/>
      <name val="Arial"/>
      <family val="2"/>
    </font>
    <font>
      <b/>
      <sz val="11"/>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6">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40" fillId="0" borderId="0"/>
    <xf numFmtId="37" fontId="140" fillId="0" borderId="0" applyProtection="0"/>
    <xf numFmtId="37" fontId="146" fillId="0" borderId="0"/>
    <xf numFmtId="43" fontId="43" fillId="0" borderId="0" applyFont="0" applyFill="0" applyBorder="0" applyAlignment="0" applyProtection="0"/>
    <xf numFmtId="37" fontId="140" fillId="0" borderId="0"/>
    <xf numFmtId="43" fontId="43" fillId="0" borderId="0" applyFont="0" applyFill="0" applyBorder="0" applyAlignment="0" applyProtection="0"/>
    <xf numFmtId="9" fontId="43" fillId="0" borderId="0" applyFont="0" applyFill="0" applyBorder="0" applyAlignment="0" applyProtection="0"/>
  </cellStyleXfs>
  <cellXfs count="275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3" fillId="0" borderId="77" xfId="3" applyFont="1" applyBorder="1" applyProtection="1"/>
    <xf numFmtId="5" fontId="53" fillId="0" borderId="77" xfId="3" applyNumberFormat="1" applyFont="1" applyBorder="1" applyAlignment="1" applyProtection="1">
      <alignment horizontal="center"/>
    </xf>
    <xf numFmtId="3" fontId="53" fillId="0" borderId="77" xfId="3" applyNumberFormat="1" applyFont="1" applyBorder="1" applyAlignment="1" applyProtection="1">
      <alignment horizontal="right" indent="1"/>
    </xf>
    <xf numFmtId="3" fontId="53" fillId="0" borderId="77" xfId="3" applyNumberFormat="1" applyFont="1" applyBorder="1" applyAlignment="1" applyProtection="1">
      <alignment horizontal="right"/>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7"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8" fillId="0" borderId="0" xfId="3" applyFont="1" applyBorder="1" applyAlignment="1" applyProtection="1">
      <alignment horizontal="left"/>
    </xf>
    <xf numFmtId="14" fontId="8" fillId="0" borderId="0" xfId="3" applyNumberFormat="1" applyAlignment="1" applyProtection="1">
      <alignment horizontal="left" indent="2"/>
      <protection locked="0"/>
    </xf>
    <xf numFmtId="0" fontId="8" fillId="0" borderId="0" xfId="3" applyBorder="1" applyAlignment="1" applyProtection="1">
      <alignment horizontal="left" indent="2"/>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39"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9" fillId="0" borderId="0" xfId="3" applyFont="1" applyBorder="1" applyProtection="1"/>
    <xf numFmtId="0" fontId="139" fillId="0" borderId="0" xfId="3" applyFont="1" applyProtection="1"/>
    <xf numFmtId="0" fontId="1" fillId="0" borderId="158" xfId="17" applyFont="1" applyBorder="1" applyAlignment="1" applyProtection="1">
      <alignment horizontal="left" vertical="top" wrapText="1"/>
      <protection locked="0"/>
    </xf>
    <xf numFmtId="37" fontId="142" fillId="0" borderId="0" xfId="20" applyFont="1" applyFill="1" applyBorder="1" applyAlignment="1">
      <alignment vertical="center"/>
    </xf>
    <xf numFmtId="37" fontId="142" fillId="0" borderId="0" xfId="19" applyFont="1" applyAlignment="1">
      <alignment vertical="center"/>
    </xf>
    <xf numFmtId="37" fontId="143" fillId="0" borderId="0" xfId="19" applyFont="1" applyAlignment="1">
      <alignment vertical="center"/>
    </xf>
    <xf numFmtId="37" fontId="141" fillId="0" borderId="0" xfId="19" applyFont="1" applyAlignment="1">
      <alignment horizontal="center"/>
    </xf>
    <xf numFmtId="37" fontId="144" fillId="0" borderId="0" xfId="19" applyFont="1"/>
    <xf numFmtId="37" fontId="142" fillId="0" borderId="0" xfId="19" applyFont="1" applyBorder="1" applyAlignment="1">
      <alignment vertical="center"/>
    </xf>
    <xf numFmtId="37" fontId="144" fillId="0" borderId="0" xfId="19" applyFont="1" applyBorder="1" applyAlignment="1">
      <alignment horizontal="centerContinuous"/>
    </xf>
    <xf numFmtId="37" fontId="144" fillId="0" borderId="0" xfId="19" applyFont="1" applyBorder="1" applyAlignment="1">
      <alignment horizontal="left"/>
    </xf>
    <xf numFmtId="37" fontId="144" fillId="0" borderId="0" xfId="19" applyFont="1" applyBorder="1"/>
    <xf numFmtId="37" fontId="144" fillId="0" borderId="0" xfId="19" applyFont="1" applyBorder="1" applyAlignment="1">
      <alignment horizontal="center"/>
    </xf>
    <xf numFmtId="37" fontId="143" fillId="0" borderId="0" xfId="20" applyFont="1" applyFill="1" applyAlignment="1">
      <alignment vertical="center"/>
    </xf>
    <xf numFmtId="37" fontId="142" fillId="0" borderId="0" xfId="21" applyFont="1" applyAlignment="1">
      <alignment vertical="center"/>
    </xf>
    <xf numFmtId="37" fontId="147" fillId="0" borderId="0" xfId="21" applyFont="1" applyAlignment="1">
      <alignment horizontal="center"/>
    </xf>
    <xf numFmtId="37" fontId="144" fillId="0" borderId="0" xfId="21" applyFont="1" applyBorder="1"/>
    <xf numFmtId="37" fontId="144" fillId="0" borderId="0" xfId="21" applyFont="1"/>
    <xf numFmtId="43" fontId="150" fillId="0" borderId="0" xfId="22" applyFont="1" applyAlignment="1">
      <alignment horizontal="center"/>
    </xf>
    <xf numFmtId="37" fontId="144" fillId="0" borderId="0" xfId="19" applyFont="1" applyAlignment="1">
      <alignment horizontal="center"/>
    </xf>
    <xf numFmtId="37" fontId="144" fillId="0" borderId="0" xfId="19" applyFont="1" applyAlignment="1">
      <alignment horizontal="left"/>
    </xf>
    <xf numFmtId="37" fontId="144" fillId="0" borderId="0" xfId="19" quotePrefix="1" applyFont="1" applyAlignment="1">
      <alignment horizontal="center"/>
    </xf>
    <xf numFmtId="14" fontId="145" fillId="0" borderId="0" xfId="21" applyNumberFormat="1" applyFont="1" applyAlignment="1">
      <alignment horizontal="center"/>
    </xf>
    <xf numFmtId="37" fontId="142" fillId="0" borderId="0" xfId="20" applyFont="1" applyFill="1" applyAlignment="1">
      <alignment horizontal="left" vertical="center"/>
    </xf>
    <xf numFmtId="37" fontId="144" fillId="0" borderId="0" xfId="21" applyFont="1" applyAlignment="1">
      <alignment horizontal="left"/>
    </xf>
    <xf numFmtId="14" fontId="144" fillId="0" borderId="0" xfId="19" quotePrefix="1" applyNumberFormat="1" applyFont="1" applyAlignment="1">
      <alignment horizontal="center"/>
    </xf>
    <xf numFmtId="14" fontId="144" fillId="0" borderId="0" xfId="19" applyNumberFormat="1" applyFont="1" applyAlignment="1">
      <alignment horizontal="center"/>
    </xf>
    <xf numFmtId="37" fontId="152" fillId="0" borderId="0" xfId="20" applyFont="1" applyFill="1" applyAlignment="1">
      <alignment horizontal="center" vertical="center"/>
    </xf>
    <xf numFmtId="37" fontId="147" fillId="0" borderId="0" xfId="20" applyFont="1" applyFill="1" applyAlignment="1">
      <alignment horizontal="center" vertical="center"/>
    </xf>
    <xf numFmtId="37" fontId="145" fillId="0" borderId="0" xfId="21" applyFont="1" applyAlignment="1">
      <alignment horizontal="center"/>
    </xf>
    <xf numFmtId="37" fontId="141" fillId="0" borderId="0" xfId="21" applyFont="1" applyAlignment="1">
      <alignment horizontal="center"/>
    </xf>
    <xf numFmtId="37" fontId="144" fillId="0" borderId="0" xfId="21" applyFont="1" applyAlignment="1">
      <alignment horizontal="center"/>
    </xf>
    <xf numFmtId="37" fontId="144" fillId="0" borderId="0" xfId="21" quotePrefix="1" applyFont="1" applyAlignment="1">
      <alignment horizontal="left"/>
    </xf>
    <xf numFmtId="37" fontId="142" fillId="0" borderId="0" xfId="20" applyFont="1" applyFill="1" applyAlignment="1">
      <alignment horizontal="center" vertical="center"/>
    </xf>
    <xf numFmtId="37" fontId="153" fillId="0" borderId="0" xfId="19" applyFont="1" applyAlignment="1">
      <alignment horizontal="left"/>
    </xf>
    <xf numFmtId="43" fontId="148" fillId="0" borderId="0" xfId="22" quotePrefix="1" applyFont="1" applyAlignment="1" applyProtection="1">
      <alignment horizontal="center"/>
    </xf>
    <xf numFmtId="43" fontId="144" fillId="0" borderId="0" xfId="22" quotePrefix="1" applyFont="1" applyAlignment="1" applyProtection="1">
      <alignment horizontal="center"/>
    </xf>
    <xf numFmtId="37" fontId="154" fillId="0" borderId="0" xfId="20" applyNumberFormat="1" applyFont="1" applyFill="1" applyAlignment="1" applyProtection="1">
      <alignment horizontal="center"/>
    </xf>
    <xf numFmtId="37" fontId="154" fillId="0" borderId="0" xfId="20" applyNumberFormat="1" applyFont="1" applyFill="1" applyBorder="1" applyAlignment="1" applyProtection="1">
      <alignment horizontal="center"/>
    </xf>
    <xf numFmtId="43" fontId="145" fillId="0" borderId="0" xfId="22" applyFont="1" applyAlignment="1">
      <alignment horizontal="center"/>
    </xf>
    <xf numFmtId="43" fontId="151" fillId="0" borderId="0" xfId="22" applyFont="1" applyAlignment="1">
      <alignment horizontal="center"/>
    </xf>
    <xf numFmtId="14" fontId="150" fillId="8" borderId="0" xfId="22" applyNumberFormat="1" applyFont="1" applyFill="1" applyAlignment="1">
      <alignment horizontal="center"/>
    </xf>
    <xf numFmtId="37" fontId="153" fillId="0" borderId="0" xfId="21" applyNumberFormat="1" applyFont="1" applyAlignment="1" applyProtection="1">
      <alignment horizontal="center"/>
    </xf>
    <xf numFmtId="37" fontId="152" fillId="0" borderId="0" xfId="20" applyNumberFormat="1" applyFont="1" applyFill="1" applyAlignment="1" applyProtection="1">
      <alignment horizontal="center" vertical="center"/>
    </xf>
    <xf numFmtId="37" fontId="153" fillId="0" borderId="0" xfId="19" applyFont="1" applyAlignment="1">
      <alignment horizontal="center"/>
    </xf>
    <xf numFmtId="37" fontId="153" fillId="0" borderId="0" xfId="19" applyNumberFormat="1" applyFont="1" applyAlignment="1" applyProtection="1">
      <alignment horizontal="center"/>
    </xf>
    <xf numFmtId="37" fontId="144" fillId="0" borderId="0" xfId="19" applyNumberFormat="1" applyFont="1" applyProtection="1"/>
    <xf numFmtId="37" fontId="144" fillId="0" borderId="0" xfId="19" applyNumberFormat="1" applyFont="1" applyAlignment="1" applyProtection="1">
      <alignment horizontal="center"/>
    </xf>
    <xf numFmtId="37" fontId="147" fillId="0" borderId="0" xfId="19" applyFont="1" applyAlignment="1">
      <alignment horizontal="left" vertical="center"/>
    </xf>
    <xf numFmtId="37" fontId="144" fillId="0" borderId="0" xfId="19" applyFont="1" applyAlignment="1">
      <alignment horizontal="center" vertical="center"/>
    </xf>
    <xf numFmtId="37" fontId="144" fillId="0" borderId="0" xfId="19" applyFont="1" applyAlignment="1">
      <alignment vertical="center"/>
    </xf>
    <xf numFmtId="37" fontId="144" fillId="0" borderId="0" xfId="19" applyNumberFormat="1" applyFont="1" applyAlignment="1" applyProtection="1">
      <alignment vertical="center"/>
    </xf>
    <xf numFmtId="37" fontId="144" fillId="0" borderId="0" xfId="19" applyNumberFormat="1" applyFont="1" applyAlignment="1" applyProtection="1">
      <alignment horizontal="center" vertical="center"/>
    </xf>
    <xf numFmtId="37" fontId="144" fillId="0" borderId="0" xfId="19" applyNumberFormat="1" applyFont="1" applyFill="1" applyAlignment="1" applyProtection="1">
      <alignment vertical="center"/>
    </xf>
    <xf numFmtId="37" fontId="142" fillId="0" borderId="0" xfId="21" applyFont="1" applyAlignment="1">
      <alignment horizontal="center" vertical="center"/>
    </xf>
    <xf numFmtId="37" fontId="144" fillId="0" borderId="0" xfId="21" applyNumberFormat="1" applyFont="1" applyProtection="1"/>
    <xf numFmtId="37" fontId="147" fillId="0" borderId="0" xfId="19" applyFont="1" applyAlignment="1">
      <alignment vertical="center"/>
    </xf>
    <xf numFmtId="37" fontId="142" fillId="0" borderId="0" xfId="20" applyFont="1" applyFill="1" applyAlignment="1">
      <alignment vertical="center"/>
    </xf>
    <xf numFmtId="181" fontId="144" fillId="0" borderId="0" xfId="22" applyNumberFormat="1" applyFont="1" applyAlignment="1" applyProtection="1">
      <alignment horizontal="right"/>
    </xf>
    <xf numFmtId="37" fontId="141" fillId="0" borderId="0" xfId="19" applyFont="1" applyAlignment="1">
      <alignment vertical="center"/>
    </xf>
    <xf numFmtId="182" fontId="142" fillId="0" borderId="0" xfId="23" applyNumberFormat="1" applyFont="1" applyAlignment="1" applyProtection="1">
      <alignment horizontal="center"/>
    </xf>
    <xf numFmtId="37" fontId="144" fillId="0" borderId="0" xfId="19" applyFont="1" applyFill="1" applyAlignment="1">
      <alignment horizontal="center" vertical="center"/>
    </xf>
    <xf numFmtId="37" fontId="144" fillId="28" borderId="0" xfId="19" applyNumberFormat="1" applyFont="1" applyFill="1" applyAlignment="1" applyProtection="1">
      <alignment horizontal="center" vertical="center"/>
    </xf>
    <xf numFmtId="181" fontId="144" fillId="0" borderId="0" xfId="24" quotePrefix="1" applyNumberFormat="1" applyFont="1" applyFill="1" applyAlignment="1">
      <alignment vertical="center"/>
    </xf>
    <xf numFmtId="37" fontId="144" fillId="28" borderId="0" xfId="19" applyNumberFormat="1" applyFont="1" applyFill="1" applyAlignment="1" applyProtection="1">
      <alignment vertical="center"/>
    </xf>
    <xf numFmtId="183" fontId="144" fillId="0" borderId="0" xfId="24" applyNumberFormat="1" applyFont="1" applyFill="1" applyAlignment="1">
      <alignment vertical="center"/>
    </xf>
    <xf numFmtId="184" fontId="144" fillId="0" borderId="0" xfId="19" applyNumberFormat="1" applyFont="1" applyFill="1" applyAlignment="1" applyProtection="1">
      <alignment horizontal="right" vertical="center"/>
    </xf>
    <xf numFmtId="184" fontId="142" fillId="0" borderId="0" xfId="20" applyNumberFormat="1" applyFont="1" applyFill="1" applyAlignment="1" applyProtection="1">
      <alignment horizontal="center" vertical="center"/>
    </xf>
    <xf numFmtId="37" fontId="155" fillId="0" borderId="0" xfId="19" applyFont="1" applyAlignment="1">
      <alignment horizontal="right" vertical="center"/>
    </xf>
    <xf numFmtId="181" fontId="144" fillId="0" borderId="0" xfId="24" applyNumberFormat="1" applyFont="1" applyFill="1" applyAlignment="1">
      <alignment vertical="center"/>
    </xf>
    <xf numFmtId="184" fontId="144" fillId="0" borderId="0" xfId="19" applyNumberFormat="1" applyFont="1" applyFill="1" applyAlignment="1">
      <alignment vertical="center"/>
    </xf>
    <xf numFmtId="37" fontId="144" fillId="0" borderId="0" xfId="19" applyFont="1" applyAlignment="1">
      <alignment horizontal="left" vertical="center" indent="1"/>
    </xf>
    <xf numFmtId="37" fontId="144" fillId="0" borderId="0" xfId="19" applyFont="1" applyAlignment="1">
      <alignment horizontal="left" vertical="center"/>
    </xf>
    <xf numFmtId="182" fontId="144" fillId="0" borderId="0" xfId="19" applyNumberFormat="1" applyFont="1" applyAlignment="1" applyProtection="1">
      <alignment horizontal="center" vertical="center"/>
    </xf>
    <xf numFmtId="181" fontId="148" fillId="0" borderId="0" xfId="24" applyNumberFormat="1" applyFont="1" applyFill="1" applyAlignment="1">
      <alignment vertical="center"/>
    </xf>
    <xf numFmtId="184" fontId="156" fillId="28" borderId="0" xfId="23" applyNumberFormat="1" applyFont="1" applyFill="1"/>
    <xf numFmtId="184" fontId="142" fillId="5" borderId="0" xfId="20" applyNumberFormat="1" applyFont="1" applyFill="1" applyAlignment="1">
      <alignment horizontal="center" vertical="center"/>
    </xf>
    <xf numFmtId="184" fontId="142" fillId="0" borderId="0" xfId="20" applyNumberFormat="1" applyFont="1" applyFill="1" applyAlignment="1">
      <alignment horizontal="center" vertical="center"/>
    </xf>
    <xf numFmtId="37" fontId="144" fillId="0" borderId="0" xfId="19" applyFont="1" applyFill="1" applyAlignment="1">
      <alignment horizontal="left" vertical="center"/>
    </xf>
    <xf numFmtId="182" fontId="144" fillId="0" borderId="0" xfId="19" applyNumberFormat="1" applyFont="1" applyFill="1" applyAlignment="1" applyProtection="1">
      <alignment horizontal="center" vertical="center"/>
    </xf>
    <xf numFmtId="184" fontId="156" fillId="0" borderId="0" xfId="23" applyNumberFormat="1" applyFont="1" applyFill="1"/>
    <xf numFmtId="184" fontId="142" fillId="0" borderId="0" xfId="23" applyNumberFormat="1" applyFont="1" applyFill="1" applyAlignment="1" applyProtection="1">
      <alignment horizontal="right"/>
    </xf>
    <xf numFmtId="184" fontId="142" fillId="0" borderId="0" xfId="23" applyNumberFormat="1" applyFont="1" applyFill="1" applyAlignment="1">
      <alignment vertical="center"/>
    </xf>
    <xf numFmtId="184" fontId="152" fillId="0" borderId="0" xfId="23" applyNumberFormat="1" applyFont="1" applyFill="1" applyAlignment="1">
      <alignment vertical="center"/>
    </xf>
    <xf numFmtId="37" fontId="142" fillId="0" borderId="0" xfId="23" applyFont="1" applyAlignment="1">
      <alignment horizontal="center"/>
    </xf>
    <xf numFmtId="184" fontId="142" fillId="28" borderId="0" xfId="23" applyNumberFormat="1" applyFont="1" applyFill="1"/>
    <xf numFmtId="184" fontId="142" fillId="28" borderId="0" xfId="23" applyNumberFormat="1" applyFont="1" applyFill="1" applyAlignment="1">
      <alignment horizontal="center"/>
    </xf>
    <xf numFmtId="184" fontId="142" fillId="0" borderId="0" xfId="23" applyNumberFormat="1" applyFont="1" applyFill="1"/>
    <xf numFmtId="184" fontId="142" fillId="5" borderId="0" xfId="20" applyNumberFormat="1" applyFont="1" applyFill="1" applyAlignment="1" applyProtection="1">
      <alignment horizontal="center" vertical="center"/>
    </xf>
    <xf numFmtId="184" fontId="152" fillId="28" borderId="0" xfId="23" applyNumberFormat="1" applyFont="1" applyFill="1" applyAlignment="1">
      <alignment vertical="center"/>
    </xf>
    <xf numFmtId="184" fontId="142" fillId="28" borderId="0" xfId="23" applyNumberFormat="1" applyFont="1" applyFill="1" applyAlignment="1">
      <alignment vertical="center"/>
    </xf>
    <xf numFmtId="184" fontId="149" fillId="28" borderId="0" xfId="23" applyNumberFormat="1" applyFont="1" applyFill="1" applyAlignment="1">
      <alignment vertical="center"/>
    </xf>
    <xf numFmtId="184" fontId="149" fillId="0" borderId="0" xfId="23" applyNumberFormat="1" applyFont="1" applyFill="1" applyAlignment="1">
      <alignment vertical="center"/>
    </xf>
    <xf numFmtId="184" fontId="142" fillId="0" borderId="0" xfId="23" applyNumberFormat="1" applyFont="1" applyFill="1" applyBorder="1" applyAlignment="1">
      <alignment vertical="center"/>
    </xf>
    <xf numFmtId="183" fontId="148" fillId="0" borderId="0" xfId="24" applyNumberFormat="1" applyFont="1" applyFill="1" applyAlignment="1">
      <alignment vertical="center"/>
    </xf>
    <xf numFmtId="37" fontId="142" fillId="0" borderId="0" xfId="23" applyFont="1" applyAlignment="1">
      <alignment horizontal="left"/>
    </xf>
    <xf numFmtId="37" fontId="142" fillId="0" borderId="0" xfId="23" applyFont="1"/>
    <xf numFmtId="181" fontId="148" fillId="28" borderId="0" xfId="24" applyNumberFormat="1" applyFont="1" applyFill="1" applyAlignment="1">
      <alignment vertical="center"/>
    </xf>
    <xf numFmtId="184" fontId="144" fillId="28" borderId="0" xfId="19" applyNumberFormat="1" applyFont="1" applyFill="1" applyAlignment="1">
      <alignment vertical="center"/>
    </xf>
    <xf numFmtId="184" fontId="144" fillId="28" borderId="0" xfId="19" applyNumberFormat="1" applyFont="1" applyFill="1" applyAlignment="1">
      <alignment horizontal="center" vertical="center"/>
    </xf>
    <xf numFmtId="184" fontId="148" fillId="0" borderId="0" xfId="24" applyNumberFormat="1" applyFont="1" applyFill="1" applyAlignment="1">
      <alignment vertical="center"/>
    </xf>
    <xf numFmtId="37" fontId="142" fillId="0" borderId="0" xfId="19" applyFont="1" applyAlignment="1">
      <alignment horizontal="left" vertical="center"/>
    </xf>
    <xf numFmtId="182" fontId="142" fillId="0" borderId="0" xfId="19" applyNumberFormat="1" applyFont="1" applyAlignment="1" applyProtection="1">
      <alignment horizontal="center" vertical="center"/>
    </xf>
    <xf numFmtId="37" fontId="155" fillId="0" borderId="0" xfId="19" applyFont="1" applyAlignment="1">
      <alignment vertical="center"/>
    </xf>
    <xf numFmtId="37" fontId="155" fillId="0" borderId="0" xfId="19" applyFont="1" applyAlignment="1">
      <alignment horizontal="center" vertical="center"/>
    </xf>
    <xf numFmtId="184" fontId="155" fillId="28" borderId="0" xfId="19" applyNumberFormat="1" applyFont="1" applyFill="1" applyAlignment="1">
      <alignment vertical="center"/>
    </xf>
    <xf numFmtId="184" fontId="155" fillId="0" borderId="0" xfId="19" applyNumberFormat="1" applyFont="1" applyFill="1" applyAlignment="1">
      <alignment vertical="center"/>
    </xf>
    <xf numFmtId="184" fontId="155" fillId="0" borderId="0" xfId="19" applyNumberFormat="1" applyFont="1" applyFill="1" applyAlignment="1" applyProtection="1">
      <alignment horizontal="right" vertical="center"/>
    </xf>
    <xf numFmtId="182" fontId="155" fillId="0" borderId="0" xfId="19" applyNumberFormat="1" applyFont="1" applyAlignment="1" applyProtection="1">
      <alignment horizontal="center" vertical="center"/>
    </xf>
    <xf numFmtId="184" fontId="155" fillId="28" borderId="0" xfId="19" applyNumberFormat="1" applyFont="1" applyFill="1" applyAlignment="1">
      <alignment horizontal="center" vertical="center"/>
    </xf>
    <xf numFmtId="184" fontId="148" fillId="28" borderId="0" xfId="24" applyNumberFormat="1" applyFont="1" applyFill="1" applyAlignment="1">
      <alignment vertical="center"/>
    </xf>
    <xf numFmtId="183" fontId="148" fillId="28" borderId="0" xfId="24" applyNumberFormat="1" applyFont="1" applyFill="1" applyAlignment="1">
      <alignment vertical="center"/>
    </xf>
    <xf numFmtId="37" fontId="144" fillId="0" borderId="0" xfId="19" applyFont="1" applyAlignment="1">
      <alignment horizontal="right" vertical="center"/>
    </xf>
    <xf numFmtId="49" fontId="144" fillId="0" borderId="0" xfId="19" applyNumberFormat="1" applyFont="1" applyAlignment="1" applyProtection="1">
      <alignment horizontal="center" vertical="center"/>
    </xf>
    <xf numFmtId="37" fontId="144" fillId="28" borderId="0" xfId="19" applyFont="1" applyFill="1" applyAlignment="1">
      <alignment horizontal="center" vertical="center"/>
    </xf>
    <xf numFmtId="181" fontId="144" fillId="28" borderId="0" xfId="24" applyNumberFormat="1" applyFont="1" applyFill="1" applyAlignment="1">
      <alignment vertical="center"/>
    </xf>
    <xf numFmtId="181" fontId="144" fillId="28" borderId="0" xfId="24" applyNumberFormat="1" applyFont="1" applyFill="1" applyAlignment="1">
      <alignment horizontal="center" vertical="center"/>
    </xf>
    <xf numFmtId="183" fontId="144" fillId="28" borderId="0" xfId="24" applyNumberFormat="1" applyFont="1" applyFill="1" applyAlignment="1">
      <alignment vertical="center"/>
    </xf>
    <xf numFmtId="181" fontId="144" fillId="0" borderId="0" xfId="24" applyNumberFormat="1" applyFont="1" applyFill="1" applyAlignment="1" applyProtection="1">
      <alignment horizontal="right" vertical="center"/>
    </xf>
    <xf numFmtId="37" fontId="143" fillId="0" borderId="0" xfId="21" applyFont="1" applyAlignment="1">
      <alignment vertical="center"/>
    </xf>
    <xf numFmtId="49" fontId="144" fillId="0" borderId="0" xfId="19" applyNumberFormat="1" applyFont="1" applyFill="1" applyAlignment="1" applyProtection="1">
      <alignment horizontal="center" vertical="center"/>
    </xf>
    <xf numFmtId="184" fontId="144" fillId="0" borderId="0" xfId="24" applyNumberFormat="1" applyFont="1" applyFill="1" applyAlignment="1">
      <alignment vertical="center"/>
    </xf>
    <xf numFmtId="181" fontId="144" fillId="0" borderId="0" xfId="24" applyNumberFormat="1" applyFont="1" applyFill="1" applyAlignment="1">
      <alignment horizontal="center" vertical="center"/>
    </xf>
    <xf numFmtId="181" fontId="148" fillId="0" borderId="0" xfId="24" applyNumberFormat="1" applyFont="1" applyFill="1" applyAlignment="1">
      <alignment horizontal="center" vertical="center"/>
    </xf>
    <xf numFmtId="37" fontId="144" fillId="0" borderId="0" xfId="19" applyFont="1" applyFill="1" applyAlignment="1">
      <alignment vertical="center"/>
    </xf>
    <xf numFmtId="41" fontId="153" fillId="0" borderId="0" xfId="24" applyNumberFormat="1" applyFont="1" applyFill="1" applyAlignment="1" applyProtection="1">
      <alignment vertical="center"/>
    </xf>
    <xf numFmtId="37" fontId="144" fillId="0" borderId="0" xfId="19" applyNumberFormat="1" applyFont="1" applyFill="1" applyAlignment="1" applyProtection="1">
      <alignment horizontal="center" vertical="center"/>
    </xf>
    <xf numFmtId="41" fontId="153" fillId="0" borderId="0" xfId="19" applyNumberFormat="1" applyFont="1" applyFill="1" applyAlignment="1">
      <alignment vertical="center"/>
    </xf>
    <xf numFmtId="41" fontId="153" fillId="28" borderId="0" xfId="19" applyNumberFormat="1" applyFont="1" applyFill="1" applyAlignment="1">
      <alignment vertical="center"/>
    </xf>
    <xf numFmtId="37" fontId="141" fillId="0" borderId="0" xfId="19" applyFont="1" applyAlignment="1">
      <alignment horizontal="left" vertical="center"/>
    </xf>
    <xf numFmtId="37" fontId="144" fillId="28" borderId="0" xfId="19" applyFont="1" applyFill="1" applyAlignment="1">
      <alignment vertical="center"/>
    </xf>
    <xf numFmtId="41" fontId="153" fillId="28" borderId="0" xfId="19" applyNumberFormat="1" applyFont="1" applyFill="1" applyAlignment="1">
      <alignment horizontal="center" vertical="center"/>
    </xf>
    <xf numFmtId="181" fontId="144" fillId="28" borderId="0" xfId="24" applyNumberFormat="1" applyFont="1" applyFill="1" applyAlignment="1">
      <alignment horizontal="fill" vertical="center"/>
    </xf>
    <xf numFmtId="181" fontId="144" fillId="28" borderId="0" xfId="24" applyNumberFormat="1" applyFont="1" applyFill="1" applyAlignment="1">
      <alignment horizontal="left" vertical="center"/>
    </xf>
    <xf numFmtId="181" fontId="144" fillId="0" borderId="0" xfId="24" applyNumberFormat="1" applyFont="1" applyAlignment="1">
      <alignment horizontal="left" vertical="center"/>
    </xf>
    <xf numFmtId="181" fontId="144" fillId="0" borderId="0" xfId="24" applyNumberFormat="1" applyFont="1" applyAlignment="1">
      <alignment vertical="center"/>
    </xf>
    <xf numFmtId="181" fontId="144" fillId="0" borderId="0" xfId="22" applyNumberFormat="1" applyFont="1"/>
    <xf numFmtId="37" fontId="144" fillId="0" borderId="0" xfId="19" quotePrefix="1" applyFont="1" applyAlignment="1">
      <alignment horizontal="left" vertical="center"/>
    </xf>
    <xf numFmtId="41" fontId="144" fillId="0" borderId="0" xfId="24" applyNumberFormat="1" applyFont="1" applyFill="1" applyAlignment="1">
      <alignment horizontal="fill" vertical="center"/>
    </xf>
    <xf numFmtId="181" fontId="144" fillId="0" borderId="0" xfId="24" applyNumberFormat="1" applyFont="1" applyFill="1" applyAlignment="1">
      <alignment horizontal="left" vertical="center"/>
    </xf>
    <xf numFmtId="181" fontId="144" fillId="0" borderId="0" xfId="24" applyNumberFormat="1" applyFont="1" applyFill="1" applyAlignment="1">
      <alignment horizontal="fill" vertical="center"/>
    </xf>
    <xf numFmtId="181" fontId="148" fillId="0" borderId="0" xfId="24" applyNumberFormat="1" applyFont="1" applyFill="1" applyAlignment="1">
      <alignment horizontal="fill" vertical="center"/>
    </xf>
    <xf numFmtId="181" fontId="148" fillId="0" borderId="0" xfId="24" applyNumberFormat="1" applyFont="1" applyFill="1" applyBorder="1" applyAlignment="1">
      <alignment vertical="center"/>
    </xf>
    <xf numFmtId="37" fontId="144" fillId="0" borderId="0" xfId="19" quotePrefix="1" applyFont="1" applyAlignment="1">
      <alignment horizontal="center" vertical="center"/>
    </xf>
    <xf numFmtId="181" fontId="148" fillId="0" borderId="0" xfId="24" applyNumberFormat="1" applyFont="1" applyFill="1" applyAlignment="1" applyProtection="1">
      <alignment vertical="center"/>
    </xf>
    <xf numFmtId="181" fontId="144" fillId="0" borderId="0" xfId="24" applyNumberFormat="1" applyFont="1" applyAlignment="1" applyProtection="1">
      <alignment horizontal="right" vertical="center"/>
    </xf>
    <xf numFmtId="181" fontId="144" fillId="0" borderId="0" xfId="24" applyNumberFormat="1" applyFont="1" applyFill="1" applyBorder="1" applyAlignment="1">
      <alignment vertical="center"/>
    </xf>
    <xf numFmtId="37" fontId="147" fillId="0" borderId="0" xfId="19" quotePrefix="1" applyFont="1" applyAlignment="1">
      <alignment horizontal="left" vertical="center"/>
    </xf>
    <xf numFmtId="37" fontId="141" fillId="0" borderId="0" xfId="19" quotePrefix="1" applyFont="1" applyAlignment="1">
      <alignment horizontal="left" vertical="center"/>
    </xf>
    <xf numFmtId="182" fontId="144" fillId="0" borderId="0" xfId="19" applyNumberFormat="1" applyFont="1" applyAlignment="1" applyProtection="1">
      <alignment vertical="center"/>
    </xf>
    <xf numFmtId="184" fontId="148" fillId="0" borderId="0" xfId="24" applyNumberFormat="1" applyFont="1" applyAlignment="1">
      <alignment vertical="center"/>
    </xf>
    <xf numFmtId="181" fontId="144" fillId="0" borderId="0" xfId="24" applyNumberFormat="1" applyFont="1" applyBorder="1" applyAlignment="1">
      <alignment vertical="center"/>
    </xf>
    <xf numFmtId="183" fontId="148" fillId="0" borderId="0" xfId="24" applyNumberFormat="1" applyFont="1" applyAlignment="1">
      <alignment vertical="center"/>
    </xf>
    <xf numFmtId="181" fontId="148" fillId="0" borderId="0" xfId="24" applyNumberFormat="1" applyFont="1" applyBorder="1" applyAlignment="1">
      <alignment vertical="center"/>
    </xf>
    <xf numFmtId="181" fontId="148" fillId="0" borderId="0" xfId="24" applyNumberFormat="1" applyFont="1" applyAlignment="1" applyProtection="1">
      <alignment vertical="center"/>
    </xf>
    <xf numFmtId="183" fontId="157" fillId="0" borderId="0" xfId="24" applyNumberFormat="1" applyFont="1" applyAlignment="1">
      <alignment vertical="center"/>
    </xf>
    <xf numFmtId="37" fontId="142" fillId="0" borderId="76" xfId="21" applyFont="1" applyBorder="1" applyAlignment="1">
      <alignment vertical="center"/>
    </xf>
    <xf numFmtId="49" fontId="141" fillId="0" borderId="0" xfId="19" applyNumberFormat="1" applyFont="1" applyAlignment="1" applyProtection="1">
      <alignment horizontal="center" vertical="center"/>
    </xf>
    <xf numFmtId="37" fontId="141" fillId="0" borderId="0" xfId="19" applyFont="1" applyAlignment="1">
      <alignment horizontal="center" vertical="center"/>
    </xf>
    <xf numFmtId="183" fontId="144" fillId="0" borderId="0" xfId="24" applyNumberFormat="1" applyFont="1" applyAlignment="1">
      <alignment vertical="center"/>
    </xf>
    <xf numFmtId="181" fontId="141" fillId="0" borderId="0" xfId="24" applyNumberFormat="1" applyFont="1" applyAlignment="1">
      <alignment vertical="center"/>
    </xf>
    <xf numFmtId="181" fontId="141" fillId="0" borderId="0" xfId="24" applyNumberFormat="1" applyFont="1" applyAlignment="1" applyProtection="1">
      <alignment horizontal="right" vertical="center"/>
    </xf>
    <xf numFmtId="37" fontId="143" fillId="0" borderId="0" xfId="21" applyFont="1" applyAlignment="1">
      <alignment horizontal="center" vertical="center"/>
    </xf>
    <xf numFmtId="181" fontId="141" fillId="0" borderId="0" xfId="22" applyNumberFormat="1" applyFont="1" applyAlignment="1" applyProtection="1">
      <alignment horizontal="right"/>
    </xf>
    <xf numFmtId="37" fontId="141" fillId="0" borderId="0" xfId="21" applyFont="1"/>
    <xf numFmtId="181" fontId="144" fillId="0" borderId="0" xfId="19" applyNumberFormat="1" applyFont="1" applyAlignment="1">
      <alignment vertical="center"/>
    </xf>
    <xf numFmtId="181" fontId="144" fillId="0" borderId="0" xfId="19" applyNumberFormat="1" applyFont="1" applyAlignment="1">
      <alignment horizontal="center" vertical="center"/>
    </xf>
    <xf numFmtId="10" fontId="143" fillId="0" borderId="0" xfId="25" applyNumberFormat="1" applyFont="1" applyAlignment="1">
      <alignment vertical="center"/>
    </xf>
    <xf numFmtId="181" fontId="144" fillId="0" borderId="0" xfId="21" applyNumberFormat="1" applyFont="1"/>
    <xf numFmtId="37" fontId="153" fillId="0" borderId="0" xfId="21" applyFont="1"/>
    <xf numFmtId="37" fontId="143" fillId="0" borderId="78" xfId="19" applyFont="1" applyBorder="1" applyAlignment="1">
      <alignment vertical="center"/>
    </xf>
    <xf numFmtId="184" fontId="143" fillId="5" borderId="0" xfId="20" applyNumberFormat="1" applyFont="1" applyFill="1" applyAlignment="1">
      <alignment horizontal="center" vertical="center"/>
    </xf>
    <xf numFmtId="9" fontId="142" fillId="0" borderId="0" xfId="25" applyFont="1" applyAlignment="1">
      <alignment vertical="center"/>
    </xf>
    <xf numFmtId="10" fontId="142" fillId="0" borderId="166" xfId="25" applyNumberFormat="1" applyFont="1" applyBorder="1" applyAlignment="1">
      <alignment vertical="center"/>
    </xf>
    <xf numFmtId="184" fontId="144" fillId="0" borderId="0" xfId="21" applyNumberFormat="1" applyFont="1"/>
    <xf numFmtId="37" fontId="142" fillId="0" borderId="0" xfId="19" applyFont="1" applyAlignment="1">
      <alignment horizontal="center" vertical="center"/>
    </xf>
    <xf numFmtId="184" fontId="157" fillId="0" borderId="0" xfId="19" applyNumberFormat="1" applyFont="1" applyAlignment="1">
      <alignment vertical="center"/>
    </xf>
    <xf numFmtId="184" fontId="144" fillId="0" borderId="0" xfId="19" applyNumberFormat="1" applyFont="1" applyAlignment="1">
      <alignment vertical="center"/>
    </xf>
    <xf numFmtId="184" fontId="157" fillId="0" borderId="0" xfId="19" applyNumberFormat="1" applyFont="1" applyFill="1" applyAlignment="1">
      <alignment vertical="center"/>
    </xf>
    <xf numFmtId="184" fontId="143" fillId="0" borderId="0" xfId="19" applyNumberFormat="1" applyFont="1" applyAlignment="1">
      <alignment horizontal="center" vertical="center"/>
    </xf>
    <xf numFmtId="184" fontId="143" fillId="0" borderId="0" xfId="19" applyNumberFormat="1" applyFont="1" applyAlignment="1">
      <alignment vertical="center"/>
    </xf>
    <xf numFmtId="181" fontId="157" fillId="0" borderId="0" xfId="24" applyNumberFormat="1" applyFont="1" applyFill="1" applyAlignment="1">
      <alignment vertical="center"/>
    </xf>
    <xf numFmtId="181" fontId="144" fillId="0" borderId="0" xfId="21" applyNumberFormat="1" applyFont="1" applyAlignment="1">
      <alignment horizontal="left"/>
    </xf>
    <xf numFmtId="184" fontId="148" fillId="0" borderId="0" xfId="19" applyNumberFormat="1" applyFont="1" applyAlignment="1">
      <alignment vertical="center"/>
    </xf>
    <xf numFmtId="182" fontId="143" fillId="0" borderId="0" xfId="19" applyNumberFormat="1" applyFont="1" applyAlignment="1" applyProtection="1">
      <alignment vertical="center"/>
    </xf>
    <xf numFmtId="37" fontId="143" fillId="0" borderId="0" xfId="19" applyFont="1" applyAlignment="1">
      <alignment horizontal="center" vertical="center"/>
    </xf>
    <xf numFmtId="37" fontId="142" fillId="0" borderId="78" xfId="19" applyFont="1" applyBorder="1" applyAlignment="1">
      <alignment horizontal="center" vertical="center"/>
    </xf>
    <xf numFmtId="182" fontId="143" fillId="0" borderId="78" xfId="19" applyNumberFormat="1" applyFont="1" applyBorder="1" applyAlignment="1" applyProtection="1">
      <alignment vertical="center"/>
    </xf>
    <xf numFmtId="37" fontId="143" fillId="0" borderId="78" xfId="19" applyFont="1" applyBorder="1" applyAlignment="1">
      <alignment horizontal="center" vertical="center"/>
    </xf>
    <xf numFmtId="184" fontId="143" fillId="0" borderId="78" xfId="19" applyNumberFormat="1" applyFont="1" applyBorder="1" applyAlignment="1">
      <alignment vertical="center"/>
    </xf>
    <xf numFmtId="184" fontId="143" fillId="0" borderId="78" xfId="19" applyNumberFormat="1" applyFont="1" applyBorder="1" applyAlignment="1">
      <alignment horizontal="center" vertical="center"/>
    </xf>
    <xf numFmtId="37" fontId="158" fillId="0" borderId="0" xfId="19" applyFont="1" applyAlignment="1" applyProtection="1">
      <alignment horizontal="left" wrapText="1"/>
    </xf>
    <xf numFmtId="37" fontId="143" fillId="0" borderId="0" xfId="19" applyFont="1" applyAlignment="1" applyProtection="1">
      <alignment horizontal="left"/>
    </xf>
    <xf numFmtId="184" fontId="143" fillId="5" borderId="0" xfId="21" applyNumberFormat="1" applyFont="1" applyFill="1" applyAlignment="1">
      <alignment horizontal="center" vertical="center"/>
    </xf>
    <xf numFmtId="37" fontId="159" fillId="0" borderId="0" xfId="19" applyFont="1" applyAlignment="1" applyProtection="1">
      <alignment horizontal="left" wrapText="1"/>
    </xf>
    <xf numFmtId="37" fontId="159" fillId="0" borderId="0" xfId="19" applyFont="1" applyAlignment="1" applyProtection="1"/>
    <xf numFmtId="37" fontId="158" fillId="0" borderId="0" xfId="19" applyFont="1" applyAlignment="1" applyProtection="1">
      <alignment horizontal="left"/>
    </xf>
    <xf numFmtId="169" fontId="159" fillId="0" borderId="0" xfId="19" applyNumberFormat="1" applyFont="1" applyAlignment="1" applyProtection="1">
      <alignment horizontal="left"/>
    </xf>
    <xf numFmtId="1" fontId="159" fillId="0" borderId="0" xfId="19" applyNumberFormat="1" applyFont="1" applyAlignment="1" applyProtection="1">
      <alignment horizontal="left"/>
    </xf>
    <xf numFmtId="37" fontId="159" fillId="0" borderId="0" xfId="19" applyFont="1" applyAlignment="1" applyProtection="1">
      <alignment horizontal="left"/>
    </xf>
    <xf numFmtId="169" fontId="143" fillId="0" borderId="0" xfId="19" applyNumberFormat="1" applyFont="1" applyAlignment="1" applyProtection="1">
      <alignment horizontal="left"/>
    </xf>
    <xf numFmtId="1" fontId="143" fillId="0" borderId="0" xfId="19" applyNumberFormat="1" applyFont="1" applyAlignment="1" applyProtection="1">
      <alignment horizontal="left"/>
    </xf>
    <xf numFmtId="169" fontId="143" fillId="0" borderId="0" xfId="19" applyNumberFormat="1" applyFont="1" applyProtection="1">
      <protection locked="0"/>
    </xf>
    <xf numFmtId="1" fontId="143" fillId="0" borderId="0" xfId="19" applyNumberFormat="1" applyFont="1" applyProtection="1">
      <protection locked="0"/>
    </xf>
    <xf numFmtId="37" fontId="143" fillId="0" borderId="0" xfId="19" applyFont="1" applyProtection="1">
      <protection locked="0"/>
    </xf>
    <xf numFmtId="37" fontId="143" fillId="0" borderId="0" xfId="19" applyFont="1" applyAlignment="1" applyProtection="1">
      <alignment horizontal="center"/>
      <protection locked="0"/>
    </xf>
    <xf numFmtId="37" fontId="160" fillId="0" borderId="0" xfId="19" applyFont="1" applyAlignment="1">
      <alignment vertical="center"/>
    </xf>
    <xf numFmtId="184" fontId="143" fillId="0" borderId="0" xfId="21" applyNumberFormat="1" applyFont="1" applyAlignment="1">
      <alignment vertical="center"/>
    </xf>
    <xf numFmtId="184" fontId="143" fillId="0" borderId="78" xfId="21" applyNumberFormat="1" applyFont="1" applyBorder="1" applyAlignment="1">
      <alignment vertical="center"/>
    </xf>
    <xf numFmtId="37" fontId="143" fillId="0" borderId="78" xfId="21" applyFont="1" applyBorder="1" applyAlignment="1">
      <alignment vertical="center"/>
    </xf>
    <xf numFmtId="37" fontId="143" fillId="0" borderId="0" xfId="21" applyFont="1" applyAlignment="1" applyProtection="1">
      <alignment horizontal="left"/>
    </xf>
    <xf numFmtId="37" fontId="143" fillId="0" borderId="0" xfId="21" applyFont="1" applyProtection="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52" fillId="0" borderId="50" xfId="3" applyNumberFormat="1" applyFont="1" applyBorder="1" applyAlignment="1" applyProtection="1">
      <alignment horizontal="left" indent="1"/>
    </xf>
    <xf numFmtId="0" fontId="52" fillId="0" borderId="9" xfId="3" applyFont="1" applyBorder="1" applyAlignment="1" applyProtection="1">
      <alignment horizontal="left" indent="1"/>
    </xf>
    <xf numFmtId="0" fontId="52"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3" fillId="0" borderId="0" xfId="3" applyFont="1" applyBorder="1" applyAlignment="1" applyProtection="1">
      <alignment horizontal="left"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7" fontId="141" fillId="0" borderId="0" xfId="19" applyFont="1" applyAlignment="1">
      <alignment horizontal="center"/>
    </xf>
    <xf numFmtId="0" fontId="145" fillId="0" borderId="0" xfId="19" applyNumberFormat="1" applyFont="1" applyAlignment="1">
      <alignment horizontal="center"/>
    </xf>
    <xf numFmtId="43" fontId="148" fillId="0" borderId="0" xfId="22" applyFont="1" applyBorder="1" applyAlignment="1">
      <alignment horizontal="center"/>
    </xf>
    <xf numFmtId="37" fontId="158" fillId="0" borderId="0" xfId="19" applyFont="1" applyAlignment="1" applyProtection="1">
      <alignment horizontal="left" wrapText="1"/>
    </xf>
    <xf numFmtId="41" fontId="149" fillId="0" borderId="0" xfId="20" applyNumberFormat="1" applyFont="1" applyFill="1" applyBorder="1" applyAlignment="1">
      <alignment horizontal="center" vertical="center"/>
    </xf>
    <xf numFmtId="14" fontId="151" fillId="0" borderId="0" xfId="21" applyNumberFormat="1" applyFont="1" applyAlignment="1">
      <alignment horizontal="center"/>
    </xf>
    <xf numFmtId="37" fontId="159" fillId="0" borderId="0" xfId="19" applyFont="1" applyAlignment="1" applyProtection="1">
      <alignment horizontal="left"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178" fontId="63" fillId="0" borderId="74" xfId="3" applyNumberFormat="1" applyFont="1" applyBorder="1" applyAlignment="1" applyProtection="1">
      <alignment horizontal="center" wrapText="1"/>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6">
    <cellStyle name="Comma" xfId="1" builtinId="3"/>
    <cellStyle name="Comma 14" xfId="24"/>
    <cellStyle name="Comma 2" xfId="22"/>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23"/>
    <cellStyle name="Normal 5" xfId="17"/>
    <cellStyle name="Normal 5 2" xfId="19"/>
    <cellStyle name="Normal 6" xfId="21"/>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 name="Percent 2" xfId="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271" t="s">
        <v>425</v>
      </c>
      <c r="J1" s="2272"/>
      <c r="K1" s="2272"/>
      <c r="L1" s="2272"/>
      <c r="M1" s="2272"/>
      <c r="N1" s="2272"/>
      <c r="O1" s="2272"/>
      <c r="P1" s="2272"/>
      <c r="Q1" s="2272"/>
      <c r="R1" s="2272"/>
      <c r="S1" s="2272"/>
    </row>
    <row r="2" spans="1:28" ht="12" customHeight="1" x14ac:dyDescent="0.2">
      <c r="A2" s="47" t="s">
        <v>1684</v>
      </c>
      <c r="D2" s="48"/>
      <c r="I2" s="2273" t="s">
        <v>1036</v>
      </c>
      <c r="J2" s="2272"/>
      <c r="K2" s="2272"/>
      <c r="L2" s="2272"/>
      <c r="M2" s="2272"/>
      <c r="N2" s="2272"/>
      <c r="O2" s="2272"/>
      <c r="P2" s="2272"/>
      <c r="Q2" s="2272"/>
      <c r="R2" s="2272"/>
      <c r="S2" s="2272"/>
    </row>
    <row r="3" spans="1:28" ht="12" customHeight="1" x14ac:dyDescent="0.2">
      <c r="A3" s="155" t="s">
        <v>1685</v>
      </c>
      <c r="B3" s="156"/>
      <c r="C3" s="156"/>
      <c r="D3" s="157"/>
      <c r="I3" s="2273" t="s">
        <v>54</v>
      </c>
      <c r="J3" s="2272"/>
      <c r="K3" s="2272"/>
      <c r="L3" s="2272"/>
      <c r="M3" s="2272"/>
      <c r="N3" s="2272"/>
      <c r="O3" s="2272"/>
      <c r="P3" s="2272"/>
      <c r="Q3" s="2272"/>
      <c r="R3" s="2272"/>
      <c r="S3" s="2272"/>
    </row>
    <row r="4" spans="1:28" ht="12" customHeight="1" x14ac:dyDescent="0.2">
      <c r="A4" s="37"/>
      <c r="I4" s="2273" t="s">
        <v>545</v>
      </c>
      <c r="J4" s="2272"/>
      <c r="K4" s="2272"/>
      <c r="L4" s="2272"/>
      <c r="M4" s="2272"/>
      <c r="N4" s="2272"/>
      <c r="O4" s="2272"/>
      <c r="P4" s="2272"/>
      <c r="Q4" s="2272"/>
      <c r="R4" s="2272"/>
      <c r="S4" s="2272"/>
    </row>
    <row r="5" spans="1:28" ht="14.1" customHeight="1" x14ac:dyDescent="0.2">
      <c r="B5" s="104"/>
      <c r="C5" s="26" t="s">
        <v>966</v>
      </c>
      <c r="D5" s="84"/>
      <c r="E5" s="84"/>
      <c r="H5" s="38"/>
      <c r="I5" s="2280" t="s">
        <v>701</v>
      </c>
      <c r="J5" s="2225"/>
      <c r="K5" s="2225"/>
      <c r="L5" s="2225"/>
      <c r="M5" s="2225"/>
      <c r="N5" s="2225"/>
      <c r="O5" s="2225"/>
      <c r="P5" s="2225"/>
      <c r="Q5" s="2225"/>
      <c r="R5" s="2225"/>
      <c r="S5" s="2225"/>
    </row>
    <row r="6" spans="1:28" ht="14.1" customHeight="1" x14ac:dyDescent="0.2">
      <c r="B6" s="104" t="s">
        <v>2073</v>
      </c>
      <c r="C6" s="26" t="s">
        <v>967</v>
      </c>
      <c r="D6" s="84"/>
      <c r="E6" s="84"/>
      <c r="I6" s="2279" t="s">
        <v>938</v>
      </c>
      <c r="J6" s="2225"/>
      <c r="K6" s="2225"/>
      <c r="L6" s="2225"/>
      <c r="M6" s="2225"/>
      <c r="N6" s="2225"/>
      <c r="O6" s="2225"/>
      <c r="P6" s="2225"/>
      <c r="Q6" s="2225"/>
      <c r="R6" s="2225"/>
      <c r="S6" s="2225"/>
    </row>
    <row r="7" spans="1:28" ht="12.2" customHeight="1" x14ac:dyDescent="0.2">
      <c r="I7" s="2274">
        <v>43281</v>
      </c>
      <c r="J7" s="2275"/>
      <c r="K7" s="2275"/>
      <c r="L7" s="2275"/>
      <c r="M7" s="2275"/>
      <c r="N7" s="2275"/>
      <c r="O7" s="2275"/>
      <c r="P7" s="2275"/>
      <c r="Q7" s="2275"/>
      <c r="R7" s="2275"/>
      <c r="S7" s="227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276" t="s">
        <v>695</v>
      </c>
      <c r="J9" s="2277"/>
      <c r="K9" s="2277"/>
      <c r="L9" s="2277"/>
      <c r="M9" s="2277"/>
      <c r="N9" s="2277"/>
      <c r="O9" s="2277"/>
      <c r="P9" s="2277"/>
      <c r="Q9" s="2277"/>
      <c r="R9" s="2277"/>
      <c r="S9" s="2278"/>
      <c r="T9" s="2221" t="s">
        <v>554</v>
      </c>
      <c r="U9" s="2222"/>
      <c r="V9" s="2222"/>
      <c r="W9" s="2222"/>
      <c r="X9" s="2222"/>
      <c r="Y9" s="2222"/>
      <c r="Z9" s="2222"/>
      <c r="AA9" s="2223"/>
    </row>
    <row r="10" spans="1:28" ht="13.5" customHeight="1" x14ac:dyDescent="0.2">
      <c r="A10" s="2230" t="s">
        <v>696</v>
      </c>
      <c r="B10" s="2231"/>
      <c r="C10" s="2231"/>
      <c r="D10" s="2231"/>
      <c r="E10" s="2231"/>
      <c r="F10" s="2231"/>
      <c r="G10" s="2231"/>
      <c r="H10" s="2232"/>
      <c r="I10" s="29"/>
      <c r="J10" s="30"/>
      <c r="K10" s="28"/>
      <c r="R10" s="30"/>
      <c r="S10" s="30"/>
      <c r="T10" s="2224"/>
      <c r="U10" s="2225"/>
      <c r="V10" s="2225"/>
      <c r="W10" s="2225"/>
      <c r="X10" s="2225"/>
      <c r="Y10" s="2225"/>
      <c r="Z10" s="2225"/>
      <c r="AA10" s="2226"/>
    </row>
    <row r="11" spans="1:28" ht="14.25" customHeight="1" x14ac:dyDescent="0.2">
      <c r="A11" s="2233" t="s">
        <v>1012</v>
      </c>
      <c r="B11" s="2234"/>
      <c r="C11" s="2234"/>
      <c r="D11" s="2234"/>
      <c r="E11" s="2234"/>
      <c r="F11" s="2234"/>
      <c r="G11" s="2234"/>
      <c r="H11" s="2235"/>
      <c r="I11" s="27"/>
      <c r="J11" s="74"/>
      <c r="K11" s="27"/>
      <c r="O11" s="148" t="s">
        <v>2073</v>
      </c>
      <c r="P11" s="100" t="s">
        <v>210</v>
      </c>
      <c r="Q11" s="30"/>
      <c r="R11" s="28"/>
      <c r="S11" s="27"/>
      <c r="T11" s="2227"/>
      <c r="U11" s="2228"/>
      <c r="V11" s="2228"/>
      <c r="W11" s="2228"/>
      <c r="X11" s="2228"/>
      <c r="Y11" s="2228"/>
      <c r="Z11" s="2228"/>
      <c r="AA11" s="22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241">
        <v>47098000061</v>
      </c>
      <c r="B13" s="2242"/>
      <c r="C13" s="2242"/>
      <c r="D13" s="2242"/>
      <c r="E13" s="2242"/>
      <c r="F13" s="2242"/>
      <c r="G13" s="2242"/>
      <c r="H13" s="2243"/>
      <c r="I13" s="31"/>
      <c r="J13" s="30"/>
      <c r="K13" s="28"/>
      <c r="L13" s="30"/>
      <c r="M13" s="30"/>
      <c r="N13" s="30"/>
      <c r="O13" s="30"/>
      <c r="P13" s="30"/>
      <c r="Q13" s="30"/>
      <c r="R13" s="30"/>
      <c r="S13" s="30"/>
      <c r="T13" s="2246" t="s">
        <v>2074</v>
      </c>
      <c r="U13" s="2247"/>
      <c r="V13" s="2247"/>
      <c r="W13" s="2247"/>
      <c r="X13" s="2247"/>
      <c r="Y13" s="2248"/>
      <c r="Z13" s="2248"/>
      <c r="AA13" s="22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239" t="s">
        <v>2083</v>
      </c>
      <c r="B15" s="2244"/>
      <c r="C15" s="2244"/>
      <c r="D15" s="2244"/>
      <c r="E15" s="2244"/>
      <c r="F15" s="2244"/>
      <c r="G15" s="2244"/>
      <c r="H15" s="2245"/>
      <c r="T15" s="2207" t="s">
        <v>2090</v>
      </c>
      <c r="U15" s="2208"/>
      <c r="V15" s="2208"/>
      <c r="W15" s="2208"/>
      <c r="X15" s="2208"/>
      <c r="Y15" s="2250"/>
      <c r="Z15" s="2250"/>
      <c r="AA15" s="225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199" t="s">
        <v>2260</v>
      </c>
      <c r="B17" s="2269"/>
      <c r="C17" s="2269"/>
      <c r="D17" s="2269"/>
      <c r="E17" s="2269"/>
      <c r="F17" s="2269"/>
      <c r="G17" s="2269"/>
      <c r="H17" s="2270"/>
      <c r="T17" s="2256" t="s">
        <v>2075</v>
      </c>
      <c r="U17" s="2257"/>
      <c r="V17" s="2257"/>
      <c r="W17" s="2257"/>
      <c r="X17" s="2257"/>
      <c r="Y17" s="2257"/>
      <c r="Z17" s="2257"/>
      <c r="AA17" s="2258"/>
    </row>
    <row r="18" spans="1:27" ht="13.5" customHeight="1" x14ac:dyDescent="0.2">
      <c r="A18" s="85" t="s">
        <v>551</v>
      </c>
      <c r="B18" s="76"/>
      <c r="C18" s="72"/>
      <c r="D18" s="76"/>
      <c r="E18" s="76"/>
      <c r="F18" s="76"/>
      <c r="G18" s="76"/>
      <c r="H18" s="56"/>
      <c r="I18" s="2266" t="s">
        <v>697</v>
      </c>
      <c r="J18" s="2267"/>
      <c r="K18" s="2267"/>
      <c r="L18" s="2267"/>
      <c r="M18" s="2267"/>
      <c r="N18" s="2267"/>
      <c r="O18" s="2267"/>
      <c r="P18" s="2267"/>
      <c r="Q18" s="2267"/>
      <c r="R18" s="2267"/>
      <c r="S18" s="2268"/>
      <c r="T18" s="85" t="s">
        <v>735</v>
      </c>
      <c r="U18" s="51"/>
      <c r="V18" s="72"/>
      <c r="W18" s="50"/>
      <c r="X18" s="85" t="s">
        <v>284</v>
      </c>
      <c r="Y18" s="81"/>
      <c r="Z18" s="159" t="s">
        <v>698</v>
      </c>
      <c r="AA18" s="46"/>
    </row>
    <row r="19" spans="1:27" ht="13.5" customHeight="1" x14ac:dyDescent="0.2">
      <c r="A19" s="2239" t="s">
        <v>2084</v>
      </c>
      <c r="B19" s="2240"/>
      <c r="C19" s="2240"/>
      <c r="D19" s="2240"/>
      <c r="E19" s="2240"/>
      <c r="F19" s="2240"/>
      <c r="G19" s="2240"/>
      <c r="H19" s="2238"/>
      <c r="I19" s="30"/>
      <c r="J19" s="99"/>
      <c r="K19" s="40"/>
      <c r="L19" s="38"/>
      <c r="M19" s="112" t="s">
        <v>333</v>
      </c>
      <c r="P19" s="27"/>
      <c r="Q19" s="27"/>
      <c r="R19" s="27"/>
      <c r="S19" s="31"/>
      <c r="T19" s="2239" t="s">
        <v>2076</v>
      </c>
      <c r="U19" s="2237"/>
      <c r="V19" s="2237"/>
      <c r="W19" s="2238"/>
      <c r="X19" s="2254" t="s">
        <v>2077</v>
      </c>
      <c r="Y19" s="2255"/>
      <c r="Z19" s="2252">
        <v>61614</v>
      </c>
      <c r="AA19" s="225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236" t="s">
        <v>2085</v>
      </c>
      <c r="B21" s="2237"/>
      <c r="C21" s="2237"/>
      <c r="D21" s="2237"/>
      <c r="E21" s="2237"/>
      <c r="F21" s="2237"/>
      <c r="G21" s="2237"/>
      <c r="H21" s="2238"/>
      <c r="I21" s="2262" t="s">
        <v>699</v>
      </c>
      <c r="J21" s="2225"/>
      <c r="K21" s="2225"/>
      <c r="L21" s="2225"/>
      <c r="M21" s="2225"/>
      <c r="N21" s="2225"/>
      <c r="O21" s="2225"/>
      <c r="P21" s="2225"/>
      <c r="Q21" s="2225"/>
      <c r="R21" s="2225"/>
      <c r="S21" s="2226"/>
      <c r="T21" s="2204" t="s">
        <v>2078</v>
      </c>
      <c r="U21" s="2205"/>
      <c r="V21" s="2205"/>
      <c r="W21" s="2205"/>
      <c r="X21" s="2218" t="s">
        <v>2079</v>
      </c>
      <c r="Y21" s="2219"/>
      <c r="Z21" s="2219"/>
      <c r="AA21" s="2220"/>
    </row>
    <row r="22" spans="1:27" ht="13.5" customHeight="1" x14ac:dyDescent="0.2">
      <c r="A22" s="87" t="s">
        <v>552</v>
      </c>
      <c r="B22" s="59"/>
      <c r="C22" s="59"/>
      <c r="D22" s="59"/>
      <c r="E22" s="59"/>
      <c r="F22" s="59"/>
      <c r="G22" s="59"/>
      <c r="H22" s="60"/>
      <c r="I22" s="2263" t="s">
        <v>1504</v>
      </c>
      <c r="J22" s="2264"/>
      <c r="K22" s="2264"/>
      <c r="L22" s="2264"/>
      <c r="M22" s="2264"/>
      <c r="N22" s="2264"/>
      <c r="O22" s="2264"/>
      <c r="P22" s="2264"/>
      <c r="Q22" s="2264"/>
      <c r="R22" s="2264"/>
      <c r="S22" s="2265"/>
      <c r="T22" s="85" t="s">
        <v>1596</v>
      </c>
      <c r="U22" s="51"/>
      <c r="V22" s="72"/>
      <c r="W22" s="51"/>
      <c r="X22" s="160" t="s">
        <v>1385</v>
      </c>
      <c r="Z22" s="45"/>
      <c r="AA22" s="46"/>
    </row>
    <row r="23" spans="1:27" ht="13.5" customHeight="1" x14ac:dyDescent="0.2">
      <c r="A23" s="2259" t="s">
        <v>2086</v>
      </c>
      <c r="B23" s="2260"/>
      <c r="C23" s="2260"/>
      <c r="D23" s="2260"/>
      <c r="E23" s="2260"/>
      <c r="F23" s="2260"/>
      <c r="G23" s="2260"/>
      <c r="H23" s="2261"/>
      <c r="T23" s="2199" t="s">
        <v>2257</v>
      </c>
      <c r="U23" s="2200"/>
      <c r="V23" s="2200"/>
      <c r="W23" s="2200"/>
      <c r="X23" s="2215">
        <v>44530</v>
      </c>
      <c r="Y23" s="2216"/>
      <c r="Z23" s="2216"/>
      <c r="AA23" s="2217"/>
    </row>
    <row r="24" spans="1:27" ht="14.1" customHeight="1" x14ac:dyDescent="0.2">
      <c r="A24" s="88" t="s">
        <v>698</v>
      </c>
      <c r="B24" s="49"/>
      <c r="C24" s="49"/>
      <c r="D24" s="49"/>
      <c r="E24" s="49"/>
      <c r="F24" s="49"/>
      <c r="G24" s="49"/>
      <c r="H24" s="61"/>
      <c r="J24" s="2301" t="str">
        <f>IF(B5="x",IF(AUDITCHECK!D29="AFR form Incomplete.","",IF(AUDITCHECK!D29="Deficit reduction plan is required.","School District must complete a deficit reduction plan in the 2018-2019 Budget",)),"")</f>
        <v/>
      </c>
      <c r="K24" s="2301"/>
      <c r="L24" s="2301"/>
      <c r="M24" s="2301"/>
      <c r="N24" s="2301"/>
      <c r="O24" s="2301"/>
      <c r="P24" s="2301"/>
      <c r="Q24" s="2301"/>
      <c r="R24" s="2301"/>
      <c r="S24" s="2302"/>
      <c r="T24" s="105" t="s">
        <v>552</v>
      </c>
      <c r="U24" s="106"/>
      <c r="V24" s="106"/>
      <c r="W24" s="106"/>
      <c r="X24" s="107"/>
      <c r="Y24" s="107"/>
      <c r="Z24" s="107"/>
      <c r="AA24" s="108"/>
    </row>
    <row r="25" spans="1:27" ht="14.1" customHeight="1" x14ac:dyDescent="0.2">
      <c r="A25" s="2236">
        <v>61081</v>
      </c>
      <c r="B25" s="2237"/>
      <c r="C25" s="2237"/>
      <c r="D25" s="2237"/>
      <c r="E25" s="2237"/>
      <c r="F25" s="2237"/>
      <c r="G25" s="2237"/>
      <c r="H25" s="2238"/>
      <c r="I25" s="113"/>
      <c r="J25" s="2303"/>
      <c r="K25" s="2303"/>
      <c r="L25" s="2303"/>
      <c r="M25" s="2303"/>
      <c r="N25" s="2303"/>
      <c r="O25" s="2303"/>
      <c r="P25" s="2303"/>
      <c r="Q25" s="2303"/>
      <c r="R25" s="2303"/>
      <c r="S25" s="2304"/>
      <c r="T25" s="2196" t="s">
        <v>2091</v>
      </c>
      <c r="U25" s="2197"/>
      <c r="V25" s="2197"/>
      <c r="W25" s="2197"/>
      <c r="X25" s="2197"/>
      <c r="Y25" s="2197"/>
      <c r="Z25" s="2197"/>
      <c r="AA25" s="219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294" t="s">
        <v>1591</v>
      </c>
      <c r="J27" s="2267"/>
      <c r="K27" s="2267"/>
      <c r="L27" s="2267"/>
      <c r="M27" s="2267"/>
      <c r="N27" s="2267"/>
      <c r="O27" s="2267"/>
      <c r="P27" s="2267"/>
      <c r="Q27" s="2267"/>
      <c r="R27" s="2267"/>
      <c r="S27" s="226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2073</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2073</v>
      </c>
      <c r="C30" s="124" t="s">
        <v>1226</v>
      </c>
      <c r="D30" s="28"/>
      <c r="E30" s="28"/>
      <c r="F30" s="140"/>
      <c r="G30" s="114"/>
      <c r="H30" s="114"/>
      <c r="I30" s="54"/>
      <c r="J30" s="148" t="s">
        <v>2073</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2073</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240"/>
      <c r="Q35" s="2237"/>
      <c r="R35" s="223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199" t="s">
        <v>2087</v>
      </c>
      <c r="B38" s="2269"/>
      <c r="C38" s="2269"/>
      <c r="D38" s="2269"/>
      <c r="E38" s="2269"/>
      <c r="F38" s="2237"/>
      <c r="G38" s="2237"/>
      <c r="H38" s="2238"/>
      <c r="I38" s="2288"/>
      <c r="J38" s="2208"/>
      <c r="K38" s="2208"/>
      <c r="L38" s="2208"/>
      <c r="M38" s="2208"/>
      <c r="N38" s="2208"/>
      <c r="O38" s="2208"/>
      <c r="P38" s="2209"/>
      <c r="Q38" s="2209"/>
      <c r="R38" s="2209"/>
      <c r="S38" s="2210"/>
      <c r="T38" s="2207"/>
      <c r="U38" s="2208"/>
      <c r="V38" s="2208"/>
      <c r="W38" s="2208"/>
      <c r="X38" s="2209"/>
      <c r="Y38" s="2209"/>
      <c r="Z38" s="2209"/>
      <c r="AA38" s="2210"/>
    </row>
    <row r="39" spans="1:27" ht="12" customHeight="1" x14ac:dyDescent="0.2">
      <c r="A39" s="2292" t="s">
        <v>552</v>
      </c>
      <c r="B39" s="2293"/>
      <c r="C39" s="72"/>
      <c r="D39" s="69"/>
      <c r="E39" s="69"/>
      <c r="F39" s="79"/>
      <c r="G39" s="69"/>
      <c r="H39" s="56"/>
      <c r="I39" s="2292" t="s">
        <v>552</v>
      </c>
      <c r="J39" s="2293"/>
      <c r="K39" s="2293"/>
      <c r="L39" s="2293"/>
      <c r="M39" s="2293"/>
      <c r="N39" s="67"/>
      <c r="O39" s="72"/>
      <c r="P39" s="72"/>
      <c r="Q39" s="78"/>
      <c r="R39" s="72"/>
      <c r="S39" s="56"/>
      <c r="T39" s="72" t="s">
        <v>552</v>
      </c>
      <c r="U39" s="51"/>
      <c r="V39" s="72"/>
      <c r="W39" s="50"/>
      <c r="X39" s="78"/>
      <c r="Y39" s="45"/>
      <c r="Z39" s="45"/>
      <c r="AA39" s="46"/>
    </row>
    <row r="40" spans="1:27" ht="13.5" customHeight="1" x14ac:dyDescent="0.2">
      <c r="A40" s="2295" t="s">
        <v>2086</v>
      </c>
      <c r="B40" s="2296"/>
      <c r="C40" s="2297"/>
      <c r="D40" s="2297"/>
      <c r="E40" s="2297"/>
      <c r="F40" s="2298"/>
      <c r="G40" s="2298"/>
      <c r="H40" s="2299"/>
      <c r="I40" s="2211"/>
      <c r="J40" s="2213"/>
      <c r="K40" s="2213"/>
      <c r="L40" s="2213"/>
      <c r="M40" s="2213"/>
      <c r="N40" s="2213"/>
      <c r="O40" s="2213"/>
      <c r="P40" s="2213"/>
      <c r="Q40" s="2213"/>
      <c r="R40" s="2213"/>
      <c r="S40" s="2214"/>
      <c r="T40" s="2211"/>
      <c r="U40" s="2212"/>
      <c r="V40" s="2213"/>
      <c r="W40" s="2213"/>
      <c r="X40" s="2213"/>
      <c r="Y40" s="2213"/>
      <c r="Z40" s="2213"/>
      <c r="AA40" s="221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285" t="s">
        <v>2088</v>
      </c>
      <c r="B42" s="2286"/>
      <c r="C42" s="2287"/>
      <c r="D42" s="2300" t="s">
        <v>2089</v>
      </c>
      <c r="E42" s="2286"/>
      <c r="F42" s="2286"/>
      <c r="G42" s="2286"/>
      <c r="H42" s="2287"/>
      <c r="I42" s="2206"/>
      <c r="J42" s="2202"/>
      <c r="K42" s="2202"/>
      <c r="L42" s="2202"/>
      <c r="M42" s="2202"/>
      <c r="N42" s="2202"/>
      <c r="O42" s="2203"/>
      <c r="P42" s="2201"/>
      <c r="Q42" s="2202"/>
      <c r="R42" s="2202"/>
      <c r="S42" s="2203"/>
      <c r="T42" s="2206"/>
      <c r="U42" s="2202"/>
      <c r="V42" s="2202"/>
      <c r="W42" s="2203"/>
      <c r="X42" s="2201"/>
      <c r="Y42" s="2202"/>
      <c r="Z42" s="2202"/>
      <c r="AA42" s="220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289"/>
      <c r="B44" s="2290"/>
      <c r="C44" s="2290"/>
      <c r="D44" s="2290"/>
      <c r="E44" s="2290"/>
      <c r="F44" s="2290"/>
      <c r="G44" s="2290"/>
      <c r="H44" s="2291"/>
      <c r="I44" s="2281"/>
      <c r="J44" s="2283"/>
      <c r="K44" s="2283"/>
      <c r="L44" s="2283"/>
      <c r="M44" s="2283"/>
      <c r="N44" s="2283"/>
      <c r="O44" s="2283"/>
      <c r="P44" s="2283"/>
      <c r="Q44" s="2283"/>
      <c r="R44" s="2283"/>
      <c r="S44" s="2284"/>
      <c r="T44" s="2281"/>
      <c r="U44" s="2282"/>
      <c r="V44" s="2282"/>
      <c r="W44" s="2282"/>
      <c r="X44" s="2282"/>
      <c r="Y44" s="2282"/>
      <c r="Z44" s="2283"/>
      <c r="AA44" s="22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438" t="s">
        <v>1901</v>
      </c>
      <c r="B2" s="1546" t="s">
        <v>2033</v>
      </c>
      <c r="C2" s="713" t="s">
        <v>1906</v>
      </c>
      <c r="D2" s="713" t="s">
        <v>1907</v>
      </c>
      <c r="E2" s="713" t="s">
        <v>1908</v>
      </c>
      <c r="F2" s="713" t="s">
        <v>1909</v>
      </c>
    </row>
    <row r="3" spans="1:6" ht="12" customHeight="1" x14ac:dyDescent="0.2">
      <c r="A3" s="2439"/>
      <c r="B3" s="1543"/>
      <c r="C3" s="1544"/>
      <c r="D3" s="1545" t="s">
        <v>274</v>
      </c>
      <c r="E3" s="1544"/>
      <c r="F3" s="1545" t="s">
        <v>275</v>
      </c>
    </row>
    <row r="4" spans="1:6" ht="13.7" customHeight="1" x14ac:dyDescent="0.2">
      <c r="A4" s="714" t="s">
        <v>1217</v>
      </c>
      <c r="B4" s="1767">
        <f>'Revenues 9-14'!C5</f>
        <v>0</v>
      </c>
      <c r="C4" s="1542"/>
      <c r="D4" s="1770">
        <f>B4-C4</f>
        <v>0</v>
      </c>
      <c r="E4" s="1542"/>
      <c r="F4" s="1770">
        <f>E4-C4</f>
        <v>0</v>
      </c>
    </row>
    <row r="5" spans="1:6" ht="13.7" customHeight="1" x14ac:dyDescent="0.2">
      <c r="A5" s="714" t="s">
        <v>925</v>
      </c>
      <c r="B5" s="1768">
        <f>'Revenues 9-14'!D5</f>
        <v>0</v>
      </c>
      <c r="C5" s="583"/>
      <c r="D5" s="1771">
        <f t="shared" ref="D5:D18" si="0">B5-C5</f>
        <v>0</v>
      </c>
      <c r="E5" s="583"/>
      <c r="F5" s="1771">
        <f>E5-C5</f>
        <v>0</v>
      </c>
    </row>
    <row r="6" spans="1:6" ht="13.7" customHeight="1" x14ac:dyDescent="0.2">
      <c r="A6" s="714" t="s">
        <v>431</v>
      </c>
      <c r="B6" s="1768">
        <f>'Revenues 9-14'!E5</f>
        <v>0</v>
      </c>
      <c r="C6" s="583"/>
      <c r="D6" s="1771">
        <f t="shared" si="0"/>
        <v>0</v>
      </c>
      <c r="E6" s="583"/>
      <c r="F6" s="1771">
        <f t="shared" ref="F6:F18" si="1">E6-C6</f>
        <v>0</v>
      </c>
    </row>
    <row r="7" spans="1:6" ht="13.7" customHeight="1" x14ac:dyDescent="0.2">
      <c r="A7" s="714" t="s">
        <v>157</v>
      </c>
      <c r="B7" s="1768">
        <f>'Revenues 9-14'!F5</f>
        <v>0</v>
      </c>
      <c r="C7" s="583"/>
      <c r="D7" s="1771">
        <f t="shared" si="0"/>
        <v>0</v>
      </c>
      <c r="E7" s="583"/>
      <c r="F7" s="1771">
        <f t="shared" si="1"/>
        <v>0</v>
      </c>
    </row>
    <row r="8" spans="1:6" ht="13.7" customHeight="1" x14ac:dyDescent="0.2">
      <c r="A8" s="714" t="s">
        <v>1241</v>
      </c>
      <c r="B8" s="1768">
        <f>'Revenues 9-14'!G5</f>
        <v>0</v>
      </c>
      <c r="C8" s="583"/>
      <c r="D8" s="1771">
        <f t="shared" si="0"/>
        <v>0</v>
      </c>
      <c r="E8" s="583"/>
      <c r="F8" s="1771">
        <f t="shared" si="1"/>
        <v>0</v>
      </c>
    </row>
    <row r="9" spans="1:6" ht="13.7" customHeight="1" x14ac:dyDescent="0.2">
      <c r="A9" s="714" t="s">
        <v>428</v>
      </c>
      <c r="B9" s="1768">
        <f>'Revenues 9-14'!H5</f>
        <v>0</v>
      </c>
      <c r="C9" s="583"/>
      <c r="D9" s="1771">
        <f t="shared" si="0"/>
        <v>0</v>
      </c>
      <c r="E9" s="583"/>
      <c r="F9" s="1771">
        <f t="shared" si="1"/>
        <v>0</v>
      </c>
    </row>
    <row r="10" spans="1:6" ht="13.7" customHeight="1" x14ac:dyDescent="0.2">
      <c r="A10" s="714" t="s">
        <v>427</v>
      </c>
      <c r="B10" s="1768">
        <f>'Revenues 9-14'!I5</f>
        <v>0</v>
      </c>
      <c r="C10" s="583"/>
      <c r="D10" s="1771">
        <f t="shared" si="0"/>
        <v>0</v>
      </c>
      <c r="E10" s="583"/>
      <c r="F10" s="1771">
        <f t="shared" si="1"/>
        <v>0</v>
      </c>
    </row>
    <row r="11" spans="1:6" x14ac:dyDescent="0.2">
      <c r="A11" s="714" t="s">
        <v>429</v>
      </c>
      <c r="B11" s="1768">
        <f>'Revenues 9-14'!J5</f>
        <v>0</v>
      </c>
      <c r="C11" s="583"/>
      <c r="D11" s="1771">
        <f t="shared" si="0"/>
        <v>0</v>
      </c>
      <c r="E11" s="583"/>
      <c r="F11" s="1771">
        <f t="shared" si="1"/>
        <v>0</v>
      </c>
    </row>
    <row r="12" spans="1:6" ht="13.7" customHeight="1" x14ac:dyDescent="0.2">
      <c r="A12" s="714" t="s">
        <v>159</v>
      </c>
      <c r="B12" s="1768">
        <f>'Revenues 9-14'!K5</f>
        <v>0</v>
      </c>
      <c r="C12" s="583"/>
      <c r="D12" s="1771">
        <f t="shared" si="0"/>
        <v>0</v>
      </c>
      <c r="E12" s="583"/>
      <c r="F12" s="1771">
        <f t="shared" si="1"/>
        <v>0</v>
      </c>
    </row>
    <row r="13" spans="1:6" ht="13.7" customHeight="1" x14ac:dyDescent="0.2">
      <c r="A13" s="714" t="s">
        <v>993</v>
      </c>
      <c r="B13" s="1768">
        <f>SUM('Revenues 9-14'!C6:D6)</f>
        <v>0</v>
      </c>
      <c r="C13" s="583"/>
      <c r="D13" s="1771">
        <f t="shared" si="0"/>
        <v>0</v>
      </c>
      <c r="E13" s="583"/>
      <c r="F13" s="1771">
        <f t="shared" si="1"/>
        <v>0</v>
      </c>
    </row>
    <row r="14" spans="1:6" ht="13.7" customHeight="1" x14ac:dyDescent="0.2">
      <c r="A14" s="714" t="s">
        <v>430</v>
      </c>
      <c r="B14" s="1768">
        <f>SUM('Revenues 9-14'!C7:D7,'Revenues 9-14'!F7:H7)</f>
        <v>0</v>
      </c>
      <c r="C14" s="583"/>
      <c r="D14" s="1771">
        <f t="shared" si="0"/>
        <v>0</v>
      </c>
      <c r="E14" s="583"/>
      <c r="F14" s="1771">
        <f t="shared" si="1"/>
        <v>0</v>
      </c>
    </row>
    <row r="15" spans="1:6" ht="13.7" customHeight="1" x14ac:dyDescent="0.2">
      <c r="A15" s="714" t="s">
        <v>1220</v>
      </c>
      <c r="B15" s="1768">
        <f>'Revenues 9-14'!E9</f>
        <v>0</v>
      </c>
      <c r="C15" s="583"/>
      <c r="D15" s="1771">
        <f t="shared" si="0"/>
        <v>0</v>
      </c>
      <c r="E15" s="583"/>
      <c r="F15" s="1771">
        <f t="shared" si="1"/>
        <v>0</v>
      </c>
    </row>
    <row r="16" spans="1:6" ht="13.7" customHeight="1" x14ac:dyDescent="0.2">
      <c r="A16" s="714" t="s">
        <v>1221</v>
      </c>
      <c r="B16" s="1768">
        <f>'Revenues 9-14'!G8</f>
        <v>0</v>
      </c>
      <c r="C16" s="583"/>
      <c r="D16" s="1771">
        <f t="shared" si="0"/>
        <v>0</v>
      </c>
      <c r="E16" s="583"/>
      <c r="F16" s="1771">
        <f t="shared" si="1"/>
        <v>0</v>
      </c>
    </row>
    <row r="17" spans="1:6" ht="13.7" customHeight="1" x14ac:dyDescent="0.2">
      <c r="A17" s="714" t="s">
        <v>1222</v>
      </c>
      <c r="B17" s="1768">
        <f>'Revenues 9-14'!C10</f>
        <v>0</v>
      </c>
      <c r="C17" s="583"/>
      <c r="D17" s="1771">
        <f t="shared" si="0"/>
        <v>0</v>
      </c>
      <c r="E17" s="583"/>
      <c r="F17" s="1771">
        <f t="shared" si="1"/>
        <v>0</v>
      </c>
    </row>
    <row r="18" spans="1:6" ht="13.7" customHeight="1" x14ac:dyDescent="0.2">
      <c r="A18" s="714" t="s">
        <v>786</v>
      </c>
      <c r="B18" s="1768">
        <f>SUM('Revenues 9-14'!C11:K11)</f>
        <v>0</v>
      </c>
      <c r="C18" s="583"/>
      <c r="D18" s="1771">
        <f t="shared" si="0"/>
        <v>0</v>
      </c>
      <c r="E18" s="583"/>
      <c r="F18" s="1771">
        <f t="shared" si="1"/>
        <v>0</v>
      </c>
    </row>
    <row r="19" spans="1:6" ht="13.7" customHeight="1" thickBot="1" x14ac:dyDescent="0.25">
      <c r="A19" s="1772" t="s">
        <v>1223</v>
      </c>
      <c r="B19" s="1769">
        <f>SUM(B4:B18)</f>
        <v>0</v>
      </c>
      <c r="C19" s="1769">
        <f>SUM(C4:C18)</f>
        <v>0</v>
      </c>
      <c r="D19" s="1769">
        <f>SUM(D4:D18)</f>
        <v>0</v>
      </c>
      <c r="E19" s="1769">
        <f>SUM(E4:E18)</f>
        <v>0</v>
      </c>
      <c r="F19" s="1769">
        <f>SUM(F4:F18)</f>
        <v>0</v>
      </c>
    </row>
    <row r="20" spans="1:6" ht="13.5" thickTop="1" x14ac:dyDescent="0.2">
      <c r="B20" s="712"/>
      <c r="F20" s="715"/>
    </row>
    <row r="21" spans="1:6" x14ac:dyDescent="0.2">
      <c r="A21" s="716" t="s">
        <v>1911</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444" t="s">
        <v>650</v>
      </c>
      <c r="B1" s="2445"/>
      <c r="C1" s="720"/>
    </row>
    <row r="2" spans="1:7" ht="33.75" x14ac:dyDescent="0.2">
      <c r="A2" s="2453" t="s">
        <v>1901</v>
      </c>
      <c r="B2" s="2454"/>
      <c r="C2" s="1905" t="s">
        <v>2034</v>
      </c>
      <c r="D2" s="722" t="s">
        <v>2041</v>
      </c>
      <c r="E2" s="722" t="s">
        <v>2042</v>
      </c>
      <c r="F2" s="1905" t="s">
        <v>2035</v>
      </c>
    </row>
    <row r="3" spans="1:7" ht="15.75" customHeight="1" x14ac:dyDescent="0.2">
      <c r="A3" s="2457" t="s">
        <v>1176</v>
      </c>
      <c r="B3" s="2458"/>
      <c r="C3" s="2446"/>
      <c r="D3" s="2447"/>
      <c r="E3" s="2447"/>
      <c r="F3" s="2448"/>
    </row>
    <row r="4" spans="1:7" ht="12.75" customHeight="1" thickBot="1" x14ac:dyDescent="0.25">
      <c r="A4" s="2455" t="s">
        <v>651</v>
      </c>
      <c r="B4" s="2456"/>
      <c r="C4" s="579"/>
      <c r="D4" s="579"/>
      <c r="E4" s="579"/>
      <c r="F4" s="1773">
        <f>SUM(C4+D4)-E4</f>
        <v>0</v>
      </c>
    </row>
    <row r="5" spans="1:7" ht="15.75" customHeight="1" thickTop="1" x14ac:dyDescent="0.2">
      <c r="A5" s="2440" t="s">
        <v>1172</v>
      </c>
      <c r="B5" s="2441"/>
      <c r="C5" s="2449"/>
      <c r="D5" s="2450"/>
      <c r="E5" s="2450"/>
      <c r="F5" s="2451"/>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529</v>
      </c>
      <c r="B8" s="724"/>
      <c r="C8" s="725"/>
      <c r="D8" s="583"/>
      <c r="E8" s="725"/>
      <c r="F8" s="1773">
        <f t="shared" si="0"/>
        <v>0</v>
      </c>
    </row>
    <row r="9" spans="1:7" ht="12.75" customHeight="1" thickTop="1" thickBot="1" x14ac:dyDescent="0.25">
      <c r="A9" s="723" t="s">
        <v>530</v>
      </c>
      <c r="B9" s="724"/>
      <c r="C9" s="725"/>
      <c r="D9" s="583"/>
      <c r="E9" s="725"/>
      <c r="F9" s="1773">
        <f t="shared" si="0"/>
        <v>0</v>
      </c>
    </row>
    <row r="10" spans="1:7" ht="12.75" customHeight="1" thickTop="1" thickBot="1" x14ac:dyDescent="0.25">
      <c r="A10" s="723" t="s">
        <v>531</v>
      </c>
      <c r="B10" s="724"/>
      <c r="C10" s="725"/>
      <c r="D10" s="583"/>
      <c r="E10" s="725"/>
      <c r="F10" s="1773">
        <f t="shared" si="0"/>
        <v>0</v>
      </c>
    </row>
    <row r="11" spans="1:7" ht="12.75" customHeight="1" thickTop="1" thickBot="1" x14ac:dyDescent="0.25">
      <c r="A11" s="723" t="s">
        <v>359</v>
      </c>
      <c r="B11" s="724"/>
      <c r="C11" s="725"/>
      <c r="D11" s="583"/>
      <c r="E11" s="725"/>
      <c r="F11" s="1773">
        <f t="shared" si="0"/>
        <v>0</v>
      </c>
    </row>
    <row r="12" spans="1:7" ht="12.75" customHeight="1" thickTop="1" thickBot="1" x14ac:dyDescent="0.25">
      <c r="A12" s="723" t="s">
        <v>1219</v>
      </c>
      <c r="B12" s="724"/>
      <c r="C12" s="725"/>
      <c r="D12" s="583"/>
      <c r="E12" s="725"/>
      <c r="F12" s="1773">
        <f t="shared" si="0"/>
        <v>0</v>
      </c>
    </row>
    <row r="13" spans="1:7" ht="12.75" customHeight="1" thickTop="1" thickBot="1" x14ac:dyDescent="0.25">
      <c r="A13" s="723" t="s">
        <v>406</v>
      </c>
      <c r="B13" s="724"/>
      <c r="C13" s="725"/>
      <c r="D13" s="583"/>
      <c r="E13" s="725"/>
      <c r="F13" s="1773">
        <f t="shared" si="0"/>
        <v>0</v>
      </c>
    </row>
    <row r="14" spans="1:7" ht="12.75" customHeight="1" thickTop="1" thickBot="1" x14ac:dyDescent="0.25">
      <c r="A14" s="723" t="s">
        <v>468</v>
      </c>
      <c r="B14" s="724"/>
      <c r="C14" s="725"/>
      <c r="D14" s="583"/>
      <c r="E14" s="725"/>
      <c r="F14" s="1773">
        <f t="shared" si="0"/>
        <v>0</v>
      </c>
    </row>
    <row r="15" spans="1:7" ht="14.25" thickTop="1" thickBot="1" x14ac:dyDescent="0.25">
      <c r="A15" s="2442" t="s">
        <v>652</v>
      </c>
      <c r="B15" s="2443"/>
      <c r="C15" s="1773">
        <f>SUM(C6:C14)</f>
        <v>0</v>
      </c>
      <c r="D15" s="1773">
        <f>SUM(D6:D14)</f>
        <v>0</v>
      </c>
      <c r="E15" s="1773">
        <f>SUM(E6:E14)</f>
        <v>0</v>
      </c>
      <c r="F15" s="1773">
        <f>SUM(F6:F14)</f>
        <v>0</v>
      </c>
      <c r="G15" s="550"/>
    </row>
    <row r="16" spans="1:7" s="202" customFormat="1" ht="15.75" customHeight="1" thickTop="1" x14ac:dyDescent="0.2">
      <c r="A16" s="2452" t="s">
        <v>1173</v>
      </c>
      <c r="B16" s="2441"/>
      <c r="C16" s="2449"/>
      <c r="D16" s="2450"/>
      <c r="E16" s="2450"/>
      <c r="F16" s="2451"/>
    </row>
    <row r="17" spans="1:11" ht="12.75" customHeight="1" thickBot="1" x14ac:dyDescent="0.25">
      <c r="A17" s="2465" t="s">
        <v>66</v>
      </c>
      <c r="B17" s="2466"/>
      <c r="C17" s="725"/>
      <c r="D17" s="583"/>
      <c r="E17" s="725"/>
      <c r="F17" s="1773">
        <f>SUM(C17+D17)-E17</f>
        <v>0</v>
      </c>
    </row>
    <row r="18" spans="1:11" ht="12.75" customHeight="1" thickTop="1" thickBot="1" x14ac:dyDescent="0.25">
      <c r="A18" s="2465" t="s">
        <v>6</v>
      </c>
      <c r="B18" s="2466"/>
      <c r="C18" s="725"/>
      <c r="D18" s="583"/>
      <c r="E18" s="725"/>
      <c r="F18" s="1773">
        <f>SUM(C18+D18)-E18</f>
        <v>0</v>
      </c>
    </row>
    <row r="19" spans="1:11" ht="12.75" customHeight="1" thickTop="1" thickBot="1" x14ac:dyDescent="0.25">
      <c r="A19" s="2465" t="s">
        <v>406</v>
      </c>
      <c r="B19" s="2466"/>
      <c r="C19" s="725"/>
      <c r="D19" s="583"/>
      <c r="E19" s="725"/>
      <c r="F19" s="1773">
        <f>SUM(C19+D19)-E19</f>
        <v>0</v>
      </c>
    </row>
    <row r="20" spans="1:11" ht="12.75" customHeight="1" thickTop="1" thickBot="1" x14ac:dyDescent="0.25">
      <c r="A20" s="2465" t="s">
        <v>468</v>
      </c>
      <c r="B20" s="2466"/>
      <c r="C20" s="725"/>
      <c r="D20" s="583"/>
      <c r="E20" s="725"/>
      <c r="F20" s="1773">
        <f>SUM(C20+D20)-E20</f>
        <v>0</v>
      </c>
    </row>
    <row r="21" spans="1:11" ht="14.25" thickTop="1" thickBot="1" x14ac:dyDescent="0.25">
      <c r="A21" s="2442" t="s">
        <v>653</v>
      </c>
      <c r="B21" s="2443"/>
      <c r="C21" s="1773">
        <f>SUM(C17:C20)</f>
        <v>0</v>
      </c>
      <c r="D21" s="1773">
        <f>SUM(D17:D20)</f>
        <v>0</v>
      </c>
      <c r="E21" s="1773">
        <f>SUM(E17:E20)</f>
        <v>0</v>
      </c>
      <c r="F21" s="1773">
        <f>SUM(F17:F20)</f>
        <v>0</v>
      </c>
      <c r="G21" s="550"/>
    </row>
    <row r="22" spans="1:11" ht="15.75" customHeight="1" thickTop="1" x14ac:dyDescent="0.2">
      <c r="A22" s="2467" t="s">
        <v>1174</v>
      </c>
      <c r="B22" s="2441"/>
      <c r="C22" s="2449"/>
      <c r="D22" s="2450"/>
      <c r="E22" s="2450"/>
      <c r="F22" s="2451"/>
    </row>
    <row r="23" spans="1:11" ht="13.5" thickBot="1" x14ac:dyDescent="0.25">
      <c r="A23" s="2455" t="s">
        <v>654</v>
      </c>
      <c r="B23" s="2456"/>
      <c r="C23" s="579"/>
      <c r="D23" s="579"/>
      <c r="E23" s="579"/>
      <c r="F23" s="1773">
        <f>SUM(C23+D23)-E23</f>
        <v>0</v>
      </c>
      <c r="G23" s="550"/>
    </row>
    <row r="24" spans="1:11" ht="15.75" customHeight="1" thickTop="1" x14ac:dyDescent="0.2">
      <c r="A24" s="2467" t="s">
        <v>1175</v>
      </c>
      <c r="B24" s="2441"/>
      <c r="C24" s="2449"/>
      <c r="D24" s="2450"/>
      <c r="E24" s="2450"/>
      <c r="F24" s="2451"/>
    </row>
    <row r="25" spans="1:11" ht="13.5" thickBot="1" x14ac:dyDescent="0.25">
      <c r="A25" s="2455" t="s">
        <v>655</v>
      </c>
      <c r="B25" s="2456"/>
      <c r="C25" s="579"/>
      <c r="D25" s="579"/>
      <c r="E25" s="579"/>
      <c r="F25" s="1773">
        <f>SUM(C25+D25)-E25</f>
        <v>0</v>
      </c>
      <c r="G25" s="550"/>
    </row>
    <row r="26" spans="1:11" ht="15.75" customHeight="1" thickTop="1" x14ac:dyDescent="0.2">
      <c r="A26" s="2440" t="s">
        <v>678</v>
      </c>
      <c r="B26" s="2441"/>
      <c r="C26" s="726"/>
      <c r="D26" s="726"/>
      <c r="E26" s="726"/>
      <c r="F26" s="727"/>
    </row>
    <row r="27" spans="1:11" ht="13.5" thickBot="1" x14ac:dyDescent="0.25">
      <c r="A27" s="2442" t="s">
        <v>1130</v>
      </c>
      <c r="B27" s="2443"/>
      <c r="C27" s="583"/>
      <c r="D27" s="583"/>
      <c r="E27" s="583"/>
      <c r="F27" s="1773">
        <f>SUM(C27+D27)-E27</f>
        <v>0</v>
      </c>
      <c r="G27" s="550"/>
    </row>
    <row r="28" spans="1:11" ht="7.5" customHeight="1" thickTop="1" x14ac:dyDescent="0.2">
      <c r="A28" s="592"/>
    </row>
    <row r="29" spans="1:11" ht="23.25" customHeight="1" x14ac:dyDescent="0.2">
      <c r="A29" s="2468" t="s">
        <v>603</v>
      </c>
      <c r="B29" s="2445"/>
      <c r="C29" s="728"/>
      <c r="D29" s="728"/>
      <c r="E29" s="728"/>
      <c r="F29" s="728"/>
      <c r="G29" s="728"/>
      <c r="H29" s="728"/>
      <c r="I29" s="728"/>
      <c r="J29" s="728"/>
    </row>
    <row r="30" spans="1:11" ht="33.75" x14ac:dyDescent="0.2">
      <c r="A30" s="1547" t="s">
        <v>1131</v>
      </c>
      <c r="B30" s="729" t="s">
        <v>1186</v>
      </c>
      <c r="C30" s="1906" t="s">
        <v>604</v>
      </c>
      <c r="D30" s="1906" t="s">
        <v>1772</v>
      </c>
      <c r="E30" s="1906" t="s">
        <v>2036</v>
      </c>
      <c r="F30" s="1906" t="s">
        <v>2037</v>
      </c>
      <c r="G30" s="1906" t="s">
        <v>2040</v>
      </c>
      <c r="H30" s="1906" t="s">
        <v>2038</v>
      </c>
      <c r="I30" s="1906" t="s">
        <v>2039</v>
      </c>
      <c r="J30" s="1907" t="s">
        <v>2</v>
      </c>
      <c r="K30" s="730"/>
    </row>
    <row r="31" spans="1:11" ht="12" customHeight="1" x14ac:dyDescent="0.2">
      <c r="A31" s="731"/>
      <c r="B31" s="732"/>
      <c r="C31" s="733"/>
      <c r="D31" s="734"/>
      <c r="E31" s="733"/>
      <c r="F31" s="733"/>
      <c r="G31" s="733"/>
      <c r="H31" s="733"/>
      <c r="I31" s="1774">
        <f>((E31+F31)-H31)+G31</f>
        <v>0</v>
      </c>
      <c r="J31" s="733"/>
      <c r="K31" s="735"/>
    </row>
    <row r="32" spans="1:11" ht="12" customHeight="1" x14ac:dyDescent="0.2">
      <c r="A32" s="731"/>
      <c r="B32" s="732"/>
      <c r="C32" s="733"/>
      <c r="D32" s="734"/>
      <c r="E32" s="733"/>
      <c r="F32" s="733"/>
      <c r="G32" s="733"/>
      <c r="H32" s="733"/>
      <c r="I32" s="1774">
        <f>((E32+F32)-H32)+G32</f>
        <v>0</v>
      </c>
      <c r="J32" s="733"/>
      <c r="K32" s="735"/>
    </row>
    <row r="33" spans="1:11" ht="12" customHeight="1" x14ac:dyDescent="0.2">
      <c r="A33" s="731"/>
      <c r="B33" s="732"/>
      <c r="C33" s="733"/>
      <c r="D33" s="734"/>
      <c r="E33" s="733"/>
      <c r="F33" s="733"/>
      <c r="G33" s="733"/>
      <c r="H33" s="733"/>
      <c r="I33" s="1774">
        <f t="shared" ref="I33:I48" si="1">((E33+F33)-H33)+G33</f>
        <v>0</v>
      </c>
      <c r="J33" s="733"/>
      <c r="K33" s="735"/>
    </row>
    <row r="34" spans="1:11" ht="12" customHeight="1" x14ac:dyDescent="0.2">
      <c r="A34" s="731"/>
      <c r="B34" s="732"/>
      <c r="C34" s="733"/>
      <c r="D34" s="734"/>
      <c r="E34" s="733"/>
      <c r="F34" s="733"/>
      <c r="G34" s="733"/>
      <c r="H34" s="733"/>
      <c r="I34" s="1774">
        <f t="shared" si="1"/>
        <v>0</v>
      </c>
      <c r="J34" s="733"/>
      <c r="K34" s="736"/>
    </row>
    <row r="35" spans="1:11" ht="12" customHeight="1" x14ac:dyDescent="0.2">
      <c r="A35" s="731"/>
      <c r="B35" s="732"/>
      <c r="C35" s="737"/>
      <c r="D35" s="734"/>
      <c r="E35" s="737"/>
      <c r="F35" s="737"/>
      <c r="G35" s="737"/>
      <c r="H35" s="737"/>
      <c r="I35" s="1774">
        <f t="shared" si="1"/>
        <v>0</v>
      </c>
      <c r="J35" s="737"/>
      <c r="K35" s="736"/>
    </row>
    <row r="36" spans="1:11" ht="12" customHeight="1" x14ac:dyDescent="0.2">
      <c r="A36" s="731"/>
      <c r="B36" s="732"/>
      <c r="C36" s="733"/>
      <c r="D36" s="734"/>
      <c r="E36" s="733"/>
      <c r="F36" s="733"/>
      <c r="G36" s="733"/>
      <c r="H36" s="733"/>
      <c r="I36" s="1774">
        <f t="shared" si="1"/>
        <v>0</v>
      </c>
      <c r="J36" s="733"/>
      <c r="K36" s="738"/>
    </row>
    <row r="37" spans="1:11" ht="12" customHeight="1" x14ac:dyDescent="0.2">
      <c r="A37" s="731"/>
      <c r="B37" s="732"/>
      <c r="C37" s="467"/>
      <c r="D37" s="739"/>
      <c r="E37" s="467"/>
      <c r="F37" s="467"/>
      <c r="G37" s="467"/>
      <c r="H37" s="467"/>
      <c r="I37" s="1774">
        <f t="shared" si="1"/>
        <v>0</v>
      </c>
      <c r="J37" s="467"/>
      <c r="K37" s="736"/>
    </row>
    <row r="38" spans="1:11" ht="12" customHeight="1" x14ac:dyDescent="0.2">
      <c r="A38" s="731"/>
      <c r="B38" s="732"/>
      <c r="C38" s="733"/>
      <c r="D38" s="740"/>
      <c r="E38" s="741"/>
      <c r="F38" s="741"/>
      <c r="G38" s="741"/>
      <c r="H38" s="741"/>
      <c r="I38" s="1774">
        <f t="shared" si="1"/>
        <v>0</v>
      </c>
      <c r="J38" s="742" t="s">
        <v>282</v>
      </c>
      <c r="K38" s="743"/>
    </row>
    <row r="39" spans="1:11" ht="12" customHeight="1" x14ac:dyDescent="0.2">
      <c r="A39" s="731"/>
      <c r="B39" s="732"/>
      <c r="C39" s="733"/>
      <c r="D39" s="740"/>
      <c r="E39" s="741"/>
      <c r="F39" s="741"/>
      <c r="G39" s="741"/>
      <c r="H39" s="741"/>
      <c r="I39" s="1774">
        <f t="shared" si="1"/>
        <v>0</v>
      </c>
      <c r="J39" s="742"/>
      <c r="K39" s="743"/>
    </row>
    <row r="40" spans="1:11" ht="12" customHeight="1" x14ac:dyDescent="0.2">
      <c r="A40" s="731"/>
      <c r="B40" s="732"/>
      <c r="C40" s="733"/>
      <c r="D40" s="740"/>
      <c r="E40" s="741"/>
      <c r="F40" s="741"/>
      <c r="G40" s="741"/>
      <c r="H40" s="741"/>
      <c r="I40" s="1774">
        <f t="shared" si="1"/>
        <v>0</v>
      </c>
      <c r="J40" s="742"/>
      <c r="K40" s="743"/>
    </row>
    <row r="41" spans="1:11" ht="12" customHeight="1" x14ac:dyDescent="0.2">
      <c r="A41" s="731"/>
      <c r="B41" s="732"/>
      <c r="C41" s="733"/>
      <c r="D41" s="740"/>
      <c r="E41" s="741"/>
      <c r="F41" s="741"/>
      <c r="G41" s="741"/>
      <c r="H41" s="741"/>
      <c r="I41" s="1774">
        <f t="shared" si="1"/>
        <v>0</v>
      </c>
      <c r="J41" s="742"/>
      <c r="K41" s="743"/>
    </row>
    <row r="42" spans="1:11" ht="12" customHeight="1" x14ac:dyDescent="0.2">
      <c r="A42" s="731"/>
      <c r="B42" s="732"/>
      <c r="C42" s="733"/>
      <c r="D42" s="740"/>
      <c r="E42" s="741"/>
      <c r="F42" s="741"/>
      <c r="G42" s="741"/>
      <c r="H42" s="741"/>
      <c r="I42" s="1774">
        <f t="shared" si="1"/>
        <v>0</v>
      </c>
      <c r="J42" s="742"/>
      <c r="K42" s="743"/>
    </row>
    <row r="43" spans="1:11" ht="12" customHeight="1" x14ac:dyDescent="0.2">
      <c r="A43" s="731"/>
      <c r="B43" s="732"/>
      <c r="C43" s="733"/>
      <c r="D43" s="740"/>
      <c r="E43" s="741"/>
      <c r="F43" s="741"/>
      <c r="G43" s="741"/>
      <c r="H43" s="741"/>
      <c r="I43" s="1774">
        <f t="shared" si="1"/>
        <v>0</v>
      </c>
      <c r="J43" s="742"/>
      <c r="K43" s="743"/>
    </row>
    <row r="44" spans="1:11" ht="12" customHeight="1" x14ac:dyDescent="0.2">
      <c r="A44" s="731"/>
      <c r="B44" s="732"/>
      <c r="C44" s="733"/>
      <c r="D44" s="734"/>
      <c r="E44" s="733"/>
      <c r="F44" s="733"/>
      <c r="G44" s="733"/>
      <c r="H44" s="733"/>
      <c r="I44" s="1774">
        <f t="shared" si="1"/>
        <v>0</v>
      </c>
      <c r="J44" s="733"/>
      <c r="K44" s="736"/>
    </row>
    <row r="45" spans="1:11" ht="12" customHeight="1" x14ac:dyDescent="0.2">
      <c r="A45" s="731"/>
      <c r="B45" s="732"/>
      <c r="C45" s="733"/>
      <c r="D45" s="734"/>
      <c r="E45" s="733"/>
      <c r="F45" s="733"/>
      <c r="G45" s="733"/>
      <c r="H45" s="733"/>
      <c r="I45" s="1774">
        <f t="shared" si="1"/>
        <v>0</v>
      </c>
      <c r="J45" s="733"/>
      <c r="K45" s="736"/>
    </row>
    <row r="46" spans="1:11" ht="12" customHeight="1" x14ac:dyDescent="0.2">
      <c r="A46" s="731"/>
      <c r="B46" s="732"/>
      <c r="C46" s="733"/>
      <c r="D46" s="734"/>
      <c r="E46" s="733"/>
      <c r="F46" s="733"/>
      <c r="G46" s="733"/>
      <c r="H46" s="733"/>
      <c r="I46" s="1774">
        <f t="shared" si="1"/>
        <v>0</v>
      </c>
      <c r="J46" s="733"/>
      <c r="K46" s="736"/>
    </row>
    <row r="47" spans="1:11" ht="12" customHeight="1" x14ac:dyDescent="0.2">
      <c r="A47" s="731"/>
      <c r="B47" s="732"/>
      <c r="C47" s="737"/>
      <c r="D47" s="734"/>
      <c r="E47" s="737"/>
      <c r="F47" s="737"/>
      <c r="G47" s="737"/>
      <c r="H47" s="737"/>
      <c r="I47" s="1774">
        <f t="shared" si="1"/>
        <v>0</v>
      </c>
      <c r="J47" s="737"/>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0</v>
      </c>
      <c r="D49" s="744"/>
      <c r="E49" s="1774">
        <f t="shared" ref="E49:J49" si="2">SUM(E31:E48)</f>
        <v>0</v>
      </c>
      <c r="F49" s="1774">
        <f t="shared" si="2"/>
        <v>0</v>
      </c>
      <c r="G49" s="1774">
        <f t="shared" si="2"/>
        <v>0</v>
      </c>
      <c r="H49" s="1774">
        <f t="shared" si="2"/>
        <v>0</v>
      </c>
      <c r="I49" s="1774">
        <f t="shared" si="2"/>
        <v>0</v>
      </c>
      <c r="J49" s="1774">
        <f t="shared" si="2"/>
        <v>0</v>
      </c>
      <c r="K49" s="736"/>
    </row>
    <row r="50" spans="1:11" ht="6" customHeight="1" x14ac:dyDescent="0.2">
      <c r="A50" s="745"/>
      <c r="B50" s="735"/>
      <c r="C50" s="735"/>
      <c r="D50" s="735"/>
      <c r="E50" s="735"/>
      <c r="F50" s="735"/>
      <c r="G50" s="735"/>
      <c r="H50" s="735"/>
      <c r="I50" s="735"/>
      <c r="J50" s="745"/>
    </row>
    <row r="51" spans="1:11" x14ac:dyDescent="0.2">
      <c r="A51" s="746" t="s">
        <v>1910</v>
      </c>
      <c r="B51" s="745"/>
      <c r="C51" s="736"/>
      <c r="D51" s="736"/>
      <c r="E51" s="736"/>
      <c r="F51" s="736"/>
      <c r="G51" s="736"/>
      <c r="H51" s="735"/>
      <c r="I51" s="735"/>
      <c r="J51" s="745"/>
    </row>
    <row r="52" spans="1:11" ht="11.25" customHeight="1" x14ac:dyDescent="0.2">
      <c r="A52" s="747" t="s">
        <v>968</v>
      </c>
      <c r="B52" s="2459" t="s">
        <v>605</v>
      </c>
      <c r="C52" s="2460"/>
      <c r="D52" s="2460"/>
      <c r="E52" s="748" t="s">
        <v>900</v>
      </c>
      <c r="F52" s="2461"/>
      <c r="G52" s="2462"/>
      <c r="H52" s="735"/>
      <c r="I52" s="735"/>
      <c r="J52" s="745"/>
    </row>
    <row r="53" spans="1:11" ht="11.25" customHeight="1" x14ac:dyDescent="0.2">
      <c r="A53" s="749" t="s">
        <v>969</v>
      </c>
      <c r="B53" s="750" t="s">
        <v>1008</v>
      </c>
      <c r="C53" s="745"/>
      <c r="D53" s="736"/>
      <c r="E53" s="748" t="s">
        <v>518</v>
      </c>
      <c r="F53" s="2463"/>
      <c r="G53" s="2464"/>
      <c r="H53" s="735"/>
      <c r="I53" s="735"/>
      <c r="J53" s="745"/>
    </row>
    <row r="54" spans="1:11" ht="11.25" customHeight="1" x14ac:dyDescent="0.2">
      <c r="A54" s="751" t="s">
        <v>970</v>
      </c>
      <c r="B54" s="746" t="s">
        <v>1009</v>
      </c>
      <c r="C54" s="745"/>
      <c r="D54" s="736"/>
      <c r="E54" s="748" t="s">
        <v>519</v>
      </c>
      <c r="F54" s="2463"/>
      <c r="G54" s="2464"/>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493" t="s">
        <v>911</v>
      </c>
      <c r="B1" s="2494"/>
      <c r="C1" s="2494"/>
      <c r="D1" s="2494"/>
      <c r="E1" s="2494"/>
      <c r="F1" s="2494"/>
      <c r="G1" s="2495"/>
      <c r="H1" s="1548"/>
      <c r="I1" s="759"/>
      <c r="J1" s="433"/>
    </row>
    <row r="2" spans="1:11" ht="26.25" x14ac:dyDescent="0.2">
      <c r="A2" s="2472" t="s">
        <v>1776</v>
      </c>
      <c r="B2" s="2473"/>
      <c r="C2" s="2473"/>
      <c r="D2" s="2473"/>
      <c r="E2" s="2474"/>
      <c r="F2" s="760" t="s">
        <v>960</v>
      </c>
      <c r="G2" s="761" t="s">
        <v>1773</v>
      </c>
      <c r="H2" s="761" t="s">
        <v>430</v>
      </c>
      <c r="I2" s="761" t="s">
        <v>1220</v>
      </c>
      <c r="J2" s="761" t="s">
        <v>1915</v>
      </c>
      <c r="K2" s="761" t="s">
        <v>140</v>
      </c>
    </row>
    <row r="3" spans="1:11" x14ac:dyDescent="0.2">
      <c r="A3" s="2475" t="s">
        <v>1698</v>
      </c>
      <c r="B3" s="2476"/>
      <c r="C3" s="2476"/>
      <c r="D3" s="2476"/>
      <c r="E3" s="2477"/>
      <c r="F3" s="762"/>
      <c r="G3" s="763"/>
      <c r="H3" s="763"/>
      <c r="I3" s="763"/>
      <c r="J3" s="764"/>
      <c r="K3" s="764"/>
    </row>
    <row r="4" spans="1:11" x14ac:dyDescent="0.2">
      <c r="A4" s="2478" t="s">
        <v>387</v>
      </c>
      <c r="B4" s="2479"/>
      <c r="C4" s="2479"/>
      <c r="D4" s="2479"/>
      <c r="E4" s="2460"/>
      <c r="F4" s="765"/>
      <c r="G4" s="766"/>
      <c r="H4" s="767"/>
      <c r="I4" s="766"/>
      <c r="J4" s="768"/>
      <c r="K4" s="768"/>
    </row>
    <row r="5" spans="1:11" x14ac:dyDescent="0.2">
      <c r="A5" s="2496" t="s">
        <v>1129</v>
      </c>
      <c r="B5" s="2469"/>
      <c r="C5" s="2469"/>
      <c r="D5" s="2469"/>
      <c r="E5" s="2497"/>
      <c r="F5" s="769" t="s">
        <v>903</v>
      </c>
      <c r="G5" s="770"/>
      <c r="H5" s="763"/>
      <c r="I5" s="771"/>
      <c r="J5" s="772"/>
      <c r="K5" s="772"/>
    </row>
    <row r="6" spans="1:11" x14ac:dyDescent="0.2">
      <c r="A6" s="773" t="s">
        <v>744</v>
      </c>
      <c r="B6" s="774"/>
      <c r="C6" s="774"/>
      <c r="D6" s="774"/>
      <c r="E6" s="775"/>
      <c r="F6" s="776" t="s">
        <v>904</v>
      </c>
      <c r="G6" s="763"/>
      <c r="H6" s="763"/>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496" t="s">
        <v>1916</v>
      </c>
      <c r="B10" s="2469"/>
      <c r="C10" s="2469"/>
      <c r="D10" s="2469"/>
      <c r="E10" s="2498"/>
      <c r="F10" s="782" t="s">
        <v>917</v>
      </c>
      <c r="G10" s="781"/>
      <c r="H10" s="783"/>
      <c r="I10" s="763"/>
      <c r="J10" s="764"/>
      <c r="K10" s="764"/>
    </row>
    <row r="11" spans="1:11" x14ac:dyDescent="0.2">
      <c r="A11" s="2496" t="s">
        <v>162</v>
      </c>
      <c r="B11" s="2469"/>
      <c r="C11" s="2469"/>
      <c r="D11" s="2469"/>
      <c r="E11" s="2497"/>
      <c r="F11" s="769" t="s">
        <v>907</v>
      </c>
      <c r="G11" s="770"/>
      <c r="H11" s="763"/>
      <c r="I11" s="763"/>
      <c r="J11" s="764"/>
      <c r="K11" s="772"/>
    </row>
    <row r="12" spans="1:11" ht="13.5" thickBot="1" x14ac:dyDescent="0.25">
      <c r="A12" s="2486" t="s">
        <v>961</v>
      </c>
      <c r="B12" s="2487"/>
      <c r="C12" s="2487"/>
      <c r="D12" s="2487"/>
      <c r="E12" s="2488"/>
      <c r="F12" s="1775"/>
      <c r="G12" s="1776">
        <f>SUM(G5:G11)</f>
        <v>0</v>
      </c>
      <c r="H12" s="1776">
        <f>SUM(H5:H11)</f>
        <v>0</v>
      </c>
      <c r="I12" s="1776">
        <f>SUM(I5:I11)</f>
        <v>0</v>
      </c>
      <c r="J12" s="1776">
        <f>SUM(J5:J11)</f>
        <v>0</v>
      </c>
      <c r="K12" s="1776">
        <f>SUM(K5:K11)</f>
        <v>0</v>
      </c>
    </row>
    <row r="13" spans="1:11" ht="13.5" thickTop="1" x14ac:dyDescent="0.2">
      <c r="A13" s="2480" t="s">
        <v>388</v>
      </c>
      <c r="B13" s="2481"/>
      <c r="C13" s="2481"/>
      <c r="D13" s="2481"/>
      <c r="E13" s="2482"/>
      <c r="F13" s="784"/>
      <c r="G13" s="785"/>
      <c r="H13" s="786"/>
      <c r="I13" s="787"/>
      <c r="J13" s="787"/>
      <c r="K13" s="787"/>
    </row>
    <row r="14" spans="1:11" x14ac:dyDescent="0.2">
      <c r="A14" s="2502" t="s">
        <v>476</v>
      </c>
      <c r="B14" s="2502"/>
      <c r="C14" s="2502"/>
      <c r="D14" s="2502"/>
      <c r="E14" s="2503"/>
      <c r="F14" s="788" t="s">
        <v>909</v>
      </c>
      <c r="G14" s="781"/>
      <c r="H14" s="763"/>
      <c r="I14" s="770"/>
      <c r="J14" s="772"/>
      <c r="K14" s="764"/>
    </row>
    <row r="15" spans="1:11" x14ac:dyDescent="0.2">
      <c r="A15" s="2469" t="s">
        <v>4</v>
      </c>
      <c r="B15" s="2469"/>
      <c r="C15" s="2469"/>
      <c r="D15" s="2469"/>
      <c r="E15" s="2497"/>
      <c r="F15" s="788" t="s">
        <v>910</v>
      </c>
      <c r="G15" s="770"/>
      <c r="H15" s="763"/>
      <c r="I15" s="763"/>
      <c r="J15" s="764"/>
      <c r="K15" s="764"/>
    </row>
    <row r="16" spans="1:11" x14ac:dyDescent="0.2">
      <c r="A16" s="2469" t="s">
        <v>316</v>
      </c>
      <c r="B16" s="2469"/>
      <c r="C16" s="2469"/>
      <c r="D16" s="2469"/>
      <c r="E16" s="2497"/>
      <c r="F16" s="788" t="s">
        <v>980</v>
      </c>
      <c r="G16" s="771"/>
      <c r="H16" s="766"/>
      <c r="I16" s="766"/>
      <c r="J16" s="768"/>
      <c r="K16" s="768"/>
    </row>
    <row r="17" spans="1:11" x14ac:dyDescent="0.2">
      <c r="A17" s="2491" t="s">
        <v>992</v>
      </c>
      <c r="B17" s="2491"/>
      <c r="C17" s="2491"/>
      <c r="D17" s="2491"/>
      <c r="E17" s="2492"/>
      <c r="F17" s="789"/>
      <c r="G17" s="790"/>
      <c r="H17" s="791"/>
      <c r="I17" s="791"/>
      <c r="J17" s="792"/>
      <c r="K17" s="793"/>
    </row>
    <row r="18" spans="1:11" x14ac:dyDescent="0.2">
      <c r="A18" s="2483" t="s">
        <v>386</v>
      </c>
      <c r="B18" s="2484"/>
      <c r="C18" s="2484"/>
      <c r="D18" s="2484"/>
      <c r="E18" s="2485"/>
      <c r="F18" s="788" t="s">
        <v>989</v>
      </c>
      <c r="G18" s="781"/>
      <c r="H18" s="781"/>
      <c r="I18" s="781"/>
      <c r="J18" s="764"/>
      <c r="K18" s="794"/>
    </row>
    <row r="19" spans="1:11" ht="21.75" customHeight="1" x14ac:dyDescent="0.2">
      <c r="A19" s="2504" t="s">
        <v>1912</v>
      </c>
      <c r="B19" s="2504"/>
      <c r="C19" s="2504"/>
      <c r="D19" s="2504"/>
      <c r="E19" s="2505"/>
      <c r="F19" s="788" t="s">
        <v>990</v>
      </c>
      <c r="G19" s="781"/>
      <c r="H19" s="781"/>
      <c r="I19" s="781"/>
      <c r="J19" s="764"/>
      <c r="K19" s="794"/>
    </row>
    <row r="20" spans="1:11" x14ac:dyDescent="0.2">
      <c r="A20" s="2483" t="s">
        <v>1917</v>
      </c>
      <c r="B20" s="2484"/>
      <c r="C20" s="2484"/>
      <c r="D20" s="2484"/>
      <c r="E20" s="2485"/>
      <c r="F20" s="788" t="s">
        <v>991</v>
      </c>
      <c r="G20" s="781"/>
      <c r="H20" s="781"/>
      <c r="I20" s="781"/>
      <c r="J20" s="764"/>
      <c r="K20" s="794"/>
    </row>
    <row r="21" spans="1:11" ht="13.5" thickBot="1" x14ac:dyDescent="0.25">
      <c r="A21" s="2489" t="s">
        <v>659</v>
      </c>
      <c r="B21" s="2489"/>
      <c r="C21" s="2489"/>
      <c r="D21" s="2489"/>
      <c r="E21" s="2489"/>
      <c r="F21" s="1777"/>
      <c r="G21" s="791"/>
      <c r="H21" s="795"/>
      <c r="I21" s="795"/>
      <c r="J21" s="1778">
        <f>SUM(J18:J20)</f>
        <v>0</v>
      </c>
      <c r="K21" s="792"/>
    </row>
    <row r="22" spans="1:11" ht="13.5" thickTop="1" x14ac:dyDescent="0.2">
      <c r="A22" s="2469" t="s">
        <v>1918</v>
      </c>
      <c r="B22" s="2469"/>
      <c r="C22" s="2469"/>
      <c r="D22" s="2469"/>
      <c r="E22" s="2497"/>
      <c r="F22" s="788" t="s">
        <v>917</v>
      </c>
      <c r="G22" s="781"/>
      <c r="H22" s="763"/>
      <c r="I22" s="763"/>
      <c r="J22" s="796"/>
      <c r="K22" s="764"/>
    </row>
    <row r="23" spans="1:11" ht="13.5" thickBot="1" x14ac:dyDescent="0.25">
      <c r="A23" s="2490" t="s">
        <v>962</v>
      </c>
      <c r="B23" s="2489"/>
      <c r="C23" s="2489"/>
      <c r="D23" s="2489"/>
      <c r="E23" s="2489"/>
      <c r="F23" s="1779"/>
      <c r="G23" s="1776">
        <f>SUM(G14:G16,G21,G22)</f>
        <v>0</v>
      </c>
      <c r="H23" s="1776">
        <f>SUM(H14:H16,H21,H22)</f>
        <v>0</v>
      </c>
      <c r="I23" s="1776">
        <f>SUM(I14:I16,I21,I22)</f>
        <v>0</v>
      </c>
      <c r="J23" s="1776">
        <f>SUM(J14:J16,J21,J22)</f>
        <v>0</v>
      </c>
      <c r="K23" s="1776">
        <f>SUM(K14:K16,K21,K22)</f>
        <v>0</v>
      </c>
    </row>
    <row r="24" spans="1:11" ht="14.25" thickTop="1" thickBot="1" x14ac:dyDescent="0.25">
      <c r="A24" s="2490" t="s">
        <v>2022</v>
      </c>
      <c r="B24" s="2489"/>
      <c r="C24" s="2489"/>
      <c r="D24" s="2489"/>
      <c r="E24" s="2489"/>
      <c r="F24" s="1780"/>
      <c r="G24" s="1781">
        <f>SUM(G3,G12)-G23</f>
        <v>0</v>
      </c>
      <c r="H24" s="1781">
        <f>SUM(H3,H12)-H23</f>
        <v>0</v>
      </c>
      <c r="I24" s="1781">
        <f>SUM(I3,I12)-I23</f>
        <v>0</v>
      </c>
      <c r="J24" s="1781">
        <f>SUM(J3,J12)-J23</f>
        <v>0</v>
      </c>
      <c r="K24" s="1781">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1" t="s">
        <v>2032</v>
      </c>
      <c r="B28" s="1902"/>
      <c r="C28" s="1902"/>
      <c r="D28" s="1902"/>
      <c r="E28" s="1903"/>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499"/>
      <c r="I31" s="2500"/>
      <c r="J31" s="2500"/>
      <c r="K31" s="2500"/>
    </row>
    <row r="32" spans="1:11" x14ac:dyDescent="0.2">
      <c r="A32" s="808"/>
      <c r="B32" s="237"/>
      <c r="C32" s="237"/>
      <c r="D32" s="237"/>
      <c r="E32" s="804"/>
      <c r="F32" s="810" t="s">
        <v>561</v>
      </c>
      <c r="G32" s="763"/>
      <c r="H32" s="2501"/>
      <c r="I32" s="2500"/>
      <c r="J32" s="2500"/>
      <c r="K32" s="2500"/>
    </row>
    <row r="33" spans="1:11" ht="1.5" customHeight="1" x14ac:dyDescent="0.2">
      <c r="A33" s="811" t="s">
        <v>1231</v>
      </c>
      <c r="B33" s="364"/>
      <c r="C33" s="364"/>
      <c r="D33" s="364"/>
      <c r="E33" s="364"/>
      <c r="F33" s="364"/>
      <c r="G33" s="812"/>
      <c r="H33" s="2501"/>
      <c r="I33" s="2500"/>
      <c r="J33" s="2500"/>
      <c r="K33" s="2500"/>
    </row>
    <row r="34" spans="1:11" x14ac:dyDescent="0.2">
      <c r="A34" s="813" t="s">
        <v>1919</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469" t="s">
        <v>562</v>
      </c>
      <c r="B41" s="2470"/>
      <c r="C41" s="2470"/>
      <c r="D41" s="2470"/>
      <c r="E41" s="2470"/>
      <c r="F41" s="2471"/>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49" t="s">
        <v>1913</v>
      </c>
      <c r="B46" s="408" t="s">
        <v>1774</v>
      </c>
    </row>
    <row r="47" spans="1:11" s="822" customFormat="1" ht="12.75" customHeight="1" x14ac:dyDescent="0.2">
      <c r="A47" s="820"/>
      <c r="B47" s="821" t="s">
        <v>1775</v>
      </c>
      <c r="E47" s="821"/>
      <c r="K47" s="823"/>
    </row>
    <row r="48" spans="1:11" ht="12.75" customHeight="1" x14ac:dyDescent="0.2">
      <c r="A48" s="1550"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508" t="s">
        <v>2031</v>
      </c>
      <c r="B1" s="2509"/>
      <c r="C1" s="2510"/>
      <c r="D1" s="825"/>
      <c r="E1" s="826"/>
      <c r="F1" s="826"/>
      <c r="G1" s="827"/>
      <c r="H1" s="828"/>
      <c r="I1" s="829"/>
      <c r="J1" s="2506"/>
      <c r="K1" s="2507"/>
      <c r="L1" s="2507"/>
    </row>
    <row r="2" spans="1:14" ht="69.75" customHeight="1" x14ac:dyDescent="0.2">
      <c r="A2" s="830" t="s">
        <v>1777</v>
      </c>
      <c r="B2" s="831" t="s">
        <v>396</v>
      </c>
      <c r="C2" s="832" t="s">
        <v>2026</v>
      </c>
      <c r="D2" s="832" t="s">
        <v>2023</v>
      </c>
      <c r="E2" s="832" t="s">
        <v>2024</v>
      </c>
      <c r="F2" s="832" t="s">
        <v>2025</v>
      </c>
      <c r="G2" s="832" t="s">
        <v>626</v>
      </c>
      <c r="H2" s="832" t="s">
        <v>2027</v>
      </c>
      <c r="I2" s="832" t="s">
        <v>2028</v>
      </c>
      <c r="J2" s="832" t="s">
        <v>2043</v>
      </c>
      <c r="K2" s="832" t="s">
        <v>2029</v>
      </c>
      <c r="L2" s="832" t="s">
        <v>2030</v>
      </c>
      <c r="M2" s="833"/>
      <c r="N2" s="833"/>
    </row>
    <row r="3" spans="1:14" ht="13.5" thickBot="1" x14ac:dyDescent="0.25">
      <c r="A3" s="1647" t="s">
        <v>948</v>
      </c>
      <c r="B3" s="1648">
        <v>210</v>
      </c>
      <c r="C3" s="834">
        <v>0</v>
      </c>
      <c r="D3" s="834"/>
      <c r="E3" s="834"/>
      <c r="F3" s="1778">
        <f>(C3+D3)-E3</f>
        <v>0</v>
      </c>
      <c r="G3" s="835"/>
      <c r="H3" s="834">
        <v>0</v>
      </c>
      <c r="I3" s="834"/>
      <c r="J3" s="834"/>
      <c r="K3" s="1787">
        <f>(H3+I3)-J3</f>
        <v>0</v>
      </c>
      <c r="L3" s="1787">
        <f>F3-K3</f>
        <v>0</v>
      </c>
      <c r="M3" s="833"/>
      <c r="N3" s="833"/>
    </row>
    <row r="4" spans="1:14" ht="15" customHeight="1" thickTop="1" x14ac:dyDescent="0.2">
      <c r="A4" s="1649" t="s">
        <v>160</v>
      </c>
      <c r="B4" s="1648">
        <v>220</v>
      </c>
      <c r="C4" s="780"/>
      <c r="D4" s="780"/>
      <c r="E4" s="780"/>
      <c r="F4" s="772"/>
      <c r="G4" s="836"/>
      <c r="H4" s="837"/>
      <c r="I4" s="837"/>
      <c r="J4" s="837"/>
      <c r="K4" s="838"/>
      <c r="L4" s="772"/>
    </row>
    <row r="5" spans="1:14" ht="13.5" thickBot="1" x14ac:dyDescent="0.25">
      <c r="A5" s="777" t="s">
        <v>949</v>
      </c>
      <c r="B5" s="839">
        <v>221</v>
      </c>
      <c r="C5" s="840">
        <v>0</v>
      </c>
      <c r="D5" s="840"/>
      <c r="E5" s="840"/>
      <c r="F5" s="1778">
        <f>(C5+D5)-E5</f>
        <v>0</v>
      </c>
      <c r="G5" s="836"/>
      <c r="H5" s="841"/>
      <c r="I5" s="841"/>
      <c r="J5" s="841"/>
      <c r="K5" s="792"/>
      <c r="L5" s="1787">
        <f>F5-K5</f>
        <v>0</v>
      </c>
    </row>
    <row r="6" spans="1:14" ht="14.25" thickTop="1" thickBot="1" x14ac:dyDescent="0.25">
      <c r="A6" s="777" t="s">
        <v>1179</v>
      </c>
      <c r="B6" s="839">
        <v>222</v>
      </c>
      <c r="C6" s="764">
        <v>0</v>
      </c>
      <c r="D6" s="764"/>
      <c r="E6" s="764"/>
      <c r="F6" s="1778">
        <f>(C6+D6)-E6</f>
        <v>0</v>
      </c>
      <c r="G6" s="836">
        <v>50</v>
      </c>
      <c r="H6" s="764">
        <v>0</v>
      </c>
      <c r="I6" s="764"/>
      <c r="J6" s="764"/>
      <c r="K6" s="1787">
        <f>(H6+I6)-J6</f>
        <v>0</v>
      </c>
      <c r="L6" s="1787">
        <f>F6-K6</f>
        <v>0</v>
      </c>
    </row>
    <row r="7" spans="1:14" ht="15" customHeight="1" thickTop="1" x14ac:dyDescent="0.2">
      <c r="A7" s="1649" t="s">
        <v>161</v>
      </c>
      <c r="B7" s="1648">
        <v>230</v>
      </c>
      <c r="C7" s="780"/>
      <c r="D7" s="780"/>
      <c r="E7" s="780"/>
      <c r="F7" s="772"/>
      <c r="G7" s="842"/>
      <c r="H7" s="780"/>
      <c r="I7" s="780"/>
      <c r="J7" s="780"/>
      <c r="K7" s="772"/>
      <c r="L7" s="772"/>
    </row>
    <row r="8" spans="1:14" ht="13.5" thickBot="1" x14ac:dyDescent="0.25">
      <c r="A8" s="777" t="s">
        <v>1180</v>
      </c>
      <c r="B8" s="839">
        <v>231</v>
      </c>
      <c r="C8" s="843">
        <v>0</v>
      </c>
      <c r="D8" s="843"/>
      <c r="E8" s="843"/>
      <c r="F8" s="1778">
        <f>(C8+D8)-E8</f>
        <v>0</v>
      </c>
      <c r="G8" s="842">
        <v>50</v>
      </c>
      <c r="H8" s="764">
        <v>0</v>
      </c>
      <c r="I8" s="764"/>
      <c r="J8" s="764"/>
      <c r="K8" s="1787">
        <f>(H8+I8)-J8</f>
        <v>0</v>
      </c>
      <c r="L8" s="1787">
        <f>F8-K8</f>
        <v>0</v>
      </c>
    </row>
    <row r="9" spans="1:14" ht="14.25" thickTop="1" thickBot="1" x14ac:dyDescent="0.25">
      <c r="A9" s="777" t="s">
        <v>1181</v>
      </c>
      <c r="B9" s="839">
        <v>232</v>
      </c>
      <c r="C9" s="764">
        <v>0</v>
      </c>
      <c r="D9" s="764"/>
      <c r="E9" s="764"/>
      <c r="F9" s="1778">
        <f>(C9+D9)-E9</f>
        <v>0</v>
      </c>
      <c r="G9" s="842">
        <v>20</v>
      </c>
      <c r="H9" s="764">
        <v>0</v>
      </c>
      <c r="I9" s="764"/>
      <c r="J9" s="764"/>
      <c r="K9" s="1787">
        <f>(H9+I9)-J9</f>
        <v>0</v>
      </c>
      <c r="L9" s="1787">
        <f>F9-K9</f>
        <v>0</v>
      </c>
    </row>
    <row r="10" spans="1:14" ht="24" thickTop="1" thickBot="1" x14ac:dyDescent="0.25">
      <c r="A10" s="844" t="s">
        <v>1182</v>
      </c>
      <c r="B10" s="839">
        <v>240</v>
      </c>
      <c r="C10" s="845">
        <v>0</v>
      </c>
      <c r="D10" s="845"/>
      <c r="E10" s="845"/>
      <c r="F10" s="1782">
        <f>(C10+D10)-E10</f>
        <v>0</v>
      </c>
      <c r="G10" s="842">
        <v>20</v>
      </c>
      <c r="H10" s="846">
        <v>0</v>
      </c>
      <c r="I10" s="846"/>
      <c r="J10" s="846"/>
      <c r="K10" s="1787">
        <f>(H10+I10)-J10</f>
        <v>0</v>
      </c>
      <c r="L10" s="1787">
        <f>F10-K10</f>
        <v>0</v>
      </c>
    </row>
    <row r="11" spans="1:14" ht="13.5" thickTop="1" x14ac:dyDescent="0.2">
      <c r="A11" s="1650" t="s">
        <v>1198</v>
      </c>
      <c r="B11" s="1648">
        <v>250</v>
      </c>
      <c r="C11" s="780"/>
      <c r="D11" s="780"/>
      <c r="E11" s="780"/>
      <c r="F11" s="772"/>
      <c r="G11" s="842"/>
      <c r="H11" s="780"/>
      <c r="I11" s="780"/>
      <c r="J11" s="780"/>
      <c r="K11" s="772"/>
      <c r="L11" s="772"/>
    </row>
    <row r="12" spans="1:14" ht="13.5" thickBot="1" x14ac:dyDescent="0.25">
      <c r="A12" s="847" t="s">
        <v>1183</v>
      </c>
      <c r="B12" s="839">
        <v>251</v>
      </c>
      <c r="C12" s="843">
        <v>987394</v>
      </c>
      <c r="D12" s="843">
        <v>24193</v>
      </c>
      <c r="E12" s="843">
        <v>22024</v>
      </c>
      <c r="F12" s="1778">
        <f>(C12+D12)-E12</f>
        <v>989563</v>
      </c>
      <c r="G12" s="842">
        <v>10</v>
      </c>
      <c r="H12" s="764">
        <v>821924</v>
      </c>
      <c r="I12" s="764">
        <v>33918</v>
      </c>
      <c r="J12" s="764">
        <v>22024</v>
      </c>
      <c r="K12" s="1787">
        <f>(H12+I12)-J12</f>
        <v>833818</v>
      </c>
      <c r="L12" s="1787">
        <f>F12-K12</f>
        <v>155745</v>
      </c>
    </row>
    <row r="13" spans="1:14" ht="14.25" thickTop="1" thickBot="1" x14ac:dyDescent="0.25">
      <c r="A13" s="847" t="s">
        <v>1184</v>
      </c>
      <c r="B13" s="839">
        <v>252</v>
      </c>
      <c r="C13" s="843">
        <v>0</v>
      </c>
      <c r="D13" s="843"/>
      <c r="E13" s="843"/>
      <c r="F13" s="1778">
        <f>(C13+D13)-E13</f>
        <v>0</v>
      </c>
      <c r="G13" s="842">
        <v>5</v>
      </c>
      <c r="H13" s="764">
        <v>0</v>
      </c>
      <c r="I13" s="764"/>
      <c r="J13" s="764"/>
      <c r="K13" s="1787">
        <f>(H13+I13)-J13</f>
        <v>0</v>
      </c>
      <c r="L13" s="1787">
        <f>F13-K13</f>
        <v>0</v>
      </c>
    </row>
    <row r="14" spans="1:14" ht="14.25" thickTop="1" thickBot="1" x14ac:dyDescent="0.25">
      <c r="A14" s="847" t="s">
        <v>1185</v>
      </c>
      <c r="B14" s="839">
        <v>253</v>
      </c>
      <c r="C14" s="764">
        <v>0</v>
      </c>
      <c r="D14" s="764"/>
      <c r="E14" s="764"/>
      <c r="F14" s="1778">
        <f>(C14+D14)-E14</f>
        <v>0</v>
      </c>
      <c r="G14" s="842">
        <v>3</v>
      </c>
      <c r="H14" s="764">
        <v>0</v>
      </c>
      <c r="I14" s="764"/>
      <c r="J14" s="764"/>
      <c r="K14" s="1787">
        <f>(H14+I14)-J14</f>
        <v>0</v>
      </c>
      <c r="L14" s="1787">
        <f>F14-K14</f>
        <v>0</v>
      </c>
    </row>
    <row r="15" spans="1:14" ht="15" customHeight="1" thickTop="1" thickBot="1" x14ac:dyDescent="0.25">
      <c r="A15" s="1649" t="s">
        <v>549</v>
      </c>
      <c r="B15" s="1648">
        <v>260</v>
      </c>
      <c r="C15" s="843">
        <v>0</v>
      </c>
      <c r="D15" s="843"/>
      <c r="E15" s="843"/>
      <c r="F15" s="1778">
        <f>(C15+D15)-E15</f>
        <v>0</v>
      </c>
      <c r="G15" s="848" t="s">
        <v>917</v>
      </c>
      <c r="H15" s="780"/>
      <c r="I15" s="780"/>
      <c r="J15" s="780"/>
      <c r="K15" s="780"/>
      <c r="L15" s="1787">
        <f>F15-K15</f>
        <v>0</v>
      </c>
    </row>
    <row r="16" spans="1:14" ht="15" customHeight="1" thickTop="1" thickBot="1" x14ac:dyDescent="0.25">
      <c r="A16" s="1783" t="s">
        <v>664</v>
      </c>
      <c r="B16" s="1784">
        <v>200</v>
      </c>
      <c r="C16" s="1778">
        <f>SUM(C3,C5:C6,C8:C10,C12:C15)</f>
        <v>987394</v>
      </c>
      <c r="D16" s="1778">
        <f>SUM(D3,D5:D6,D8:D10,D12:D15)</f>
        <v>24193</v>
      </c>
      <c r="E16" s="1778">
        <f>SUM(E3,E5:E6,E8:E10,E12:E15)</f>
        <v>22024</v>
      </c>
      <c r="F16" s="1778">
        <f>SUM(F3,F5:F6,F8:F10,F12:F15)</f>
        <v>989563</v>
      </c>
      <c r="G16" s="842"/>
      <c r="H16" s="1778">
        <f>SUM(H3,H6,H8:H10,H12:H14,)</f>
        <v>821924</v>
      </c>
      <c r="I16" s="1778">
        <f>SUM(I3,I6,I8:I10,I12:I14,)</f>
        <v>33918</v>
      </c>
      <c r="J16" s="1778">
        <f>SUM(J3,J6,J8:J10,J12:J14,)</f>
        <v>22024</v>
      </c>
      <c r="K16" s="1778">
        <f>(H16+I16)-J16</f>
        <v>833818</v>
      </c>
      <c r="L16" s="1778">
        <f>F16-K16</f>
        <v>155745</v>
      </c>
    </row>
    <row r="17" spans="1:12" ht="15" customHeight="1" thickTop="1" thickBot="1" x14ac:dyDescent="0.25">
      <c r="A17" s="1651" t="s">
        <v>309</v>
      </c>
      <c r="B17" s="1648">
        <v>700</v>
      </c>
      <c r="C17" s="768"/>
      <c r="D17" s="768"/>
      <c r="E17" s="768"/>
      <c r="F17" s="1778">
        <f>SUM('Expenditures 15-22'!I114,'Expenditures 15-22'!I151,'Expenditures 15-22'!I210,'Expenditures 15-22'!I312,'Expenditures 15-22'!I342,'Expenditures 15-22'!I367)</f>
        <v>0</v>
      </c>
      <c r="G17" s="836">
        <v>10</v>
      </c>
      <c r="H17" s="768"/>
      <c r="I17" s="1787">
        <f>F17/G17</f>
        <v>0</v>
      </c>
      <c r="J17" s="768"/>
      <c r="K17" s="794"/>
      <c r="L17" s="794"/>
    </row>
    <row r="18" spans="1:12" ht="14.25" thickTop="1" thickBot="1" x14ac:dyDescent="0.25">
      <c r="A18" s="1785" t="s">
        <v>706</v>
      </c>
      <c r="B18" s="1786"/>
      <c r="C18" s="770"/>
      <c r="D18" s="770"/>
      <c r="E18" s="770"/>
      <c r="F18" s="849"/>
      <c r="G18" s="850"/>
      <c r="H18" s="772"/>
      <c r="I18" s="1778">
        <f>SUM(I16,I17)</f>
        <v>33918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3" sqref="A23:H23"/>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514" t="s">
        <v>1699</v>
      </c>
      <c r="B1" s="2515"/>
      <c r="C1" s="2515"/>
      <c r="D1" s="2515"/>
      <c r="E1" s="2515"/>
      <c r="F1" s="2516"/>
      <c r="G1" s="854"/>
    </row>
    <row r="2" spans="1:7" ht="15" customHeight="1" thickBot="1" x14ac:dyDescent="0.25">
      <c r="A2" s="2517" t="s">
        <v>498</v>
      </c>
      <c r="B2" s="2518"/>
      <c r="C2" s="2518"/>
      <c r="D2" s="2518"/>
      <c r="E2" s="2518"/>
      <c r="F2" s="2519"/>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520"/>
      <c r="B5" s="2521"/>
      <c r="C5" s="2521"/>
      <c r="D5" s="2521"/>
      <c r="E5" s="2521"/>
      <c r="F5" s="2521"/>
    </row>
    <row r="6" spans="1:7" ht="13.5" customHeight="1" thickBot="1" x14ac:dyDescent="0.25">
      <c r="A6" s="2511" t="s">
        <v>1166</v>
      </c>
      <c r="B6" s="2512"/>
      <c r="C6" s="2512"/>
      <c r="D6" s="2512"/>
      <c r="E6" s="2512"/>
      <c r="F6" s="2513"/>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0">
        <f>'Expenditures 15-22'!K114</f>
        <v>5702146</v>
      </c>
      <c r="G8" s="864"/>
    </row>
    <row r="9" spans="1:7" x14ac:dyDescent="0.2">
      <c r="A9" s="868" t="s">
        <v>480</v>
      </c>
      <c r="B9" s="869" t="s">
        <v>1985</v>
      </c>
      <c r="C9" s="870"/>
      <c r="D9" s="868" t="s">
        <v>522</v>
      </c>
      <c r="E9" s="867"/>
      <c r="F9" s="1931">
        <f>'Expenditures 15-22'!K151</f>
        <v>0</v>
      </c>
      <c r="G9" s="871"/>
    </row>
    <row r="10" spans="1:7" x14ac:dyDescent="0.2">
      <c r="A10" s="868" t="s">
        <v>520</v>
      </c>
      <c r="B10" s="869" t="s">
        <v>1986</v>
      </c>
      <c r="C10" s="870"/>
      <c r="D10" s="868" t="s">
        <v>522</v>
      </c>
      <c r="E10" s="867"/>
      <c r="F10" s="1931">
        <f>'Expenditures 15-22'!K174</f>
        <v>0</v>
      </c>
      <c r="G10" s="871"/>
    </row>
    <row r="11" spans="1:7" x14ac:dyDescent="0.2">
      <c r="A11" s="868" t="s">
        <v>481</v>
      </c>
      <c r="B11" s="869" t="s">
        <v>1987</v>
      </c>
      <c r="C11" s="870"/>
      <c r="D11" s="868" t="s">
        <v>522</v>
      </c>
      <c r="E11" s="867"/>
      <c r="F11" s="1931">
        <f>'Expenditures 15-22'!K210</f>
        <v>0</v>
      </c>
      <c r="G11" s="871"/>
    </row>
    <row r="12" spans="1:7" x14ac:dyDescent="0.2">
      <c r="A12" s="868" t="s">
        <v>482</v>
      </c>
      <c r="B12" s="869" t="s">
        <v>1988</v>
      </c>
      <c r="C12" s="870"/>
      <c r="D12" s="868" t="s">
        <v>522</v>
      </c>
      <c r="E12" s="867"/>
      <c r="F12" s="1931">
        <f>'Expenditures 15-22'!K295</f>
        <v>0</v>
      </c>
      <c r="G12" s="871"/>
    </row>
    <row r="13" spans="1:7" x14ac:dyDescent="0.2">
      <c r="A13" s="868" t="s">
        <v>108</v>
      </c>
      <c r="B13" s="869" t="s">
        <v>1989</v>
      </c>
      <c r="C13" s="870"/>
      <c r="D13" s="868" t="s">
        <v>522</v>
      </c>
      <c r="E13" s="867"/>
      <c r="F13" s="1931">
        <f>'Expenditures 15-22'!K342</f>
        <v>0</v>
      </c>
      <c r="G13" s="872"/>
    </row>
    <row r="14" spans="1:7" ht="12" customHeight="1" thickBot="1" x14ac:dyDescent="0.25">
      <c r="A14" s="1788"/>
      <c r="B14" s="1789"/>
      <c r="C14" s="1790"/>
      <c r="D14" s="1791" t="s">
        <v>522</v>
      </c>
      <c r="E14" s="1792" t="s">
        <v>1015</v>
      </c>
      <c r="F14" s="1793">
        <f>SUM(F8:F13)</f>
        <v>5702146</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2">
        <f>'Revenues 9-14'!F43</f>
        <v>0</v>
      </c>
      <c r="G18" s="864"/>
    </row>
    <row r="19" spans="1:7" x14ac:dyDescent="0.2">
      <c r="A19" s="868" t="s">
        <v>481</v>
      </c>
      <c r="B19" s="869" t="s">
        <v>1069</v>
      </c>
      <c r="C19" s="876">
        <f>'Revenues 9-14'!B47</f>
        <v>1421</v>
      </c>
      <c r="D19" s="877" t="str">
        <f>'Revenues 9-14'!A47</f>
        <v>Summer Sch - Transp. Fees from Pupils or Parents (In State)</v>
      </c>
      <c r="E19" s="878"/>
      <c r="F19" s="1933">
        <f>'Revenues 9-14'!F47</f>
        <v>0</v>
      </c>
      <c r="G19" s="864"/>
    </row>
    <row r="20" spans="1:7" x14ac:dyDescent="0.2">
      <c r="A20" s="868" t="s">
        <v>481</v>
      </c>
      <c r="B20" s="869" t="s">
        <v>1070</v>
      </c>
      <c r="C20" s="874">
        <f>'Revenues 9-14'!B48</f>
        <v>1422</v>
      </c>
      <c r="D20" s="875" t="str">
        <f>'Revenues 9-14'!A48</f>
        <v>Summer Sch - Transp. Fees from Other Districts (In State)</v>
      </c>
      <c r="E20" s="867"/>
      <c r="F20" s="1934">
        <f>'Revenues 9-14'!F48</f>
        <v>0</v>
      </c>
      <c r="G20" s="864"/>
    </row>
    <row r="21" spans="1:7" x14ac:dyDescent="0.2">
      <c r="A21" s="868" t="s">
        <v>481</v>
      </c>
      <c r="B21" s="869" t="s">
        <v>1071</v>
      </c>
      <c r="C21" s="876">
        <f>'Revenues 9-14'!B49</f>
        <v>1423</v>
      </c>
      <c r="D21" s="875" t="str">
        <f>'Revenues 9-14'!A49</f>
        <v>Summer Sch - Transp. Fees from Other Sources (In State)</v>
      </c>
      <c r="E21" s="867"/>
      <c r="F21" s="1935">
        <f>'Revenues 9-14'!F49</f>
        <v>0</v>
      </c>
      <c r="G21" s="864"/>
    </row>
    <row r="22" spans="1:7" x14ac:dyDescent="0.2">
      <c r="A22" s="868" t="s">
        <v>481</v>
      </c>
      <c r="B22" s="869" t="s">
        <v>1072</v>
      </c>
      <c r="C22" s="876">
        <f>'Revenues 9-14'!B50</f>
        <v>1424</v>
      </c>
      <c r="D22" s="875" t="str">
        <f>'Revenues 9-14'!A50</f>
        <v>Summer Sch - Transp. Fees from Other Sources (Out of State)</v>
      </c>
      <c r="E22" s="867"/>
      <c r="F22" s="1935">
        <f>'Revenues 9-14'!F50</f>
        <v>0</v>
      </c>
      <c r="G22" s="864"/>
    </row>
    <row r="23" spans="1:7" x14ac:dyDescent="0.2">
      <c r="A23" s="868" t="s">
        <v>481</v>
      </c>
      <c r="B23" s="869" t="s">
        <v>1073</v>
      </c>
      <c r="C23" s="874">
        <f>'Revenues 9-14'!B52</f>
        <v>1432</v>
      </c>
      <c r="D23" s="875" t="str">
        <f>'Revenues 9-14'!A52</f>
        <v>CTE - Transp Fees from Other Districts (In State)</v>
      </c>
      <c r="E23" s="867"/>
      <c r="F23" s="1935">
        <f>'Revenues 9-14'!F52</f>
        <v>0</v>
      </c>
      <c r="G23" s="864"/>
    </row>
    <row r="24" spans="1:7" x14ac:dyDescent="0.2">
      <c r="A24" s="868" t="s">
        <v>481</v>
      </c>
      <c r="B24" s="869" t="s">
        <v>1074</v>
      </c>
      <c r="C24" s="874">
        <f>'Revenues 9-14'!B56</f>
        <v>1442</v>
      </c>
      <c r="D24" s="875" t="str">
        <f>'Revenues 9-14'!A56</f>
        <v>Special Ed - Transp Fees from Other Districts (In State)</v>
      </c>
      <c r="E24" s="867"/>
      <c r="F24" s="1935">
        <f>'Revenues 9-14'!F56</f>
        <v>0</v>
      </c>
      <c r="G24" s="864"/>
    </row>
    <row r="25" spans="1:7" x14ac:dyDescent="0.2">
      <c r="A25" s="868" t="s">
        <v>481</v>
      </c>
      <c r="B25" s="869" t="s">
        <v>1075</v>
      </c>
      <c r="C25" s="874">
        <f>'Revenues 9-14'!B59</f>
        <v>1451</v>
      </c>
      <c r="D25" s="875" t="str">
        <f>'Revenues 9-14'!A59</f>
        <v>Adult - Transp Fees from Pupils or Parents (In State)</v>
      </c>
      <c r="E25" s="867"/>
      <c r="F25" s="1935">
        <f>'Revenues 9-14'!F59</f>
        <v>0</v>
      </c>
      <c r="G25" s="864"/>
    </row>
    <row r="26" spans="1:7" x14ac:dyDescent="0.2">
      <c r="A26" s="868" t="s">
        <v>481</v>
      </c>
      <c r="B26" s="869" t="s">
        <v>1076</v>
      </c>
      <c r="C26" s="874">
        <f>'Revenues 9-14'!B60</f>
        <v>1452</v>
      </c>
      <c r="D26" s="875" t="str">
        <f>'Revenues 9-14'!A60</f>
        <v>Adult - Transp Fees from Other Districts (In State)</v>
      </c>
      <c r="E26" s="867"/>
      <c r="F26" s="1935">
        <f>'Revenues 9-14'!F60</f>
        <v>0</v>
      </c>
      <c r="G26" s="864"/>
    </row>
    <row r="27" spans="1:7" x14ac:dyDescent="0.2">
      <c r="A27" s="868" t="s">
        <v>481</v>
      </c>
      <c r="B27" s="869" t="s">
        <v>1077</v>
      </c>
      <c r="C27" s="874">
        <f>'Revenues 9-14'!B61</f>
        <v>1453</v>
      </c>
      <c r="D27" s="875" t="str">
        <f>'Revenues 9-14'!A61</f>
        <v>Adult - Transp Fees from Other Sources (In State)</v>
      </c>
      <c r="E27" s="867"/>
      <c r="F27" s="1935">
        <f>'Revenues 9-14'!F61</f>
        <v>0</v>
      </c>
      <c r="G27" s="864"/>
    </row>
    <row r="28" spans="1:7" x14ac:dyDescent="0.2">
      <c r="A28" s="868" t="s">
        <v>481</v>
      </c>
      <c r="B28" s="869" t="s">
        <v>1078</v>
      </c>
      <c r="C28" s="874">
        <f>'Revenues 9-14'!B62</f>
        <v>1454</v>
      </c>
      <c r="D28" s="875" t="str">
        <f>'Revenues 9-14'!A62</f>
        <v>Adult - Transp Fees from Other Sources (Out of State)</v>
      </c>
      <c r="E28" s="867"/>
      <c r="F28" s="1935">
        <f>'Revenues 9-14'!F62</f>
        <v>0</v>
      </c>
      <c r="G28" s="864"/>
    </row>
    <row r="29" spans="1:7" x14ac:dyDescent="0.2">
      <c r="A29" s="868" t="s">
        <v>1159</v>
      </c>
      <c r="B29" s="869" t="s">
        <v>1683</v>
      </c>
      <c r="C29" s="879">
        <f>'Revenues 9-14'!B148</f>
        <v>3410</v>
      </c>
      <c r="D29" s="880" t="str">
        <f>'Revenues 9-14'!A148</f>
        <v>Adult Ed (from ICCB)</v>
      </c>
      <c r="E29" s="867"/>
      <c r="F29" s="1935">
        <f>SUM('Revenues 9-14'!D148,F149)</f>
        <v>0</v>
      </c>
      <c r="G29" s="864"/>
    </row>
    <row r="30" spans="1:7" x14ac:dyDescent="0.2">
      <c r="A30" s="868" t="s">
        <v>1159</v>
      </c>
      <c r="B30" s="869" t="s">
        <v>861</v>
      </c>
      <c r="C30" s="879">
        <f>'Revenues 9-14'!B149</f>
        <v>3499</v>
      </c>
      <c r="D30" s="880" t="str">
        <f>'Revenues 9-14'!A149</f>
        <v>Adult Ed - Other (Describe &amp; Itemize)</v>
      </c>
      <c r="E30" s="867"/>
      <c r="F30" s="1936">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5">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5">
        <f>SUM('Revenues 9-14'!D219,'Revenues 9-14'!F219)</f>
        <v>0</v>
      </c>
      <c r="G32" s="864"/>
    </row>
    <row r="33" spans="1:7" x14ac:dyDescent="0.2">
      <c r="A33" s="868" t="s">
        <v>480</v>
      </c>
      <c r="B33" s="869" t="s">
        <v>801</v>
      </c>
      <c r="C33" s="874">
        <f>'Revenues 9-14'!B229</f>
        <v>4810</v>
      </c>
      <c r="D33" s="882" t="str">
        <f>'Revenues 9-14'!A229</f>
        <v>Federal - Adult Education</v>
      </c>
      <c r="E33" s="867"/>
      <c r="F33" s="1935">
        <f>'Revenues 9-14'!D229</f>
        <v>0</v>
      </c>
      <c r="G33" s="864"/>
    </row>
    <row r="34" spans="1:7" x14ac:dyDescent="0.2">
      <c r="A34" s="868" t="s">
        <v>479</v>
      </c>
      <c r="B34" s="868" t="s">
        <v>1545</v>
      </c>
      <c r="C34" s="885" t="str">
        <f>'Expenditures 15-22'!B7</f>
        <v>1125</v>
      </c>
      <c r="D34" s="886" t="str">
        <f>'Expenditures 15-22'!A7</f>
        <v>Pre-K Programs</v>
      </c>
      <c r="E34" s="867"/>
      <c r="F34" s="1935">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5">
        <f>'Expenditures 15-22'!K9-SUM('Expenditures 15-22'!G9+'Expenditures 15-22'!I9)</f>
        <v>233219</v>
      </c>
      <c r="G35" s="864"/>
    </row>
    <row r="36" spans="1:7" x14ac:dyDescent="0.2">
      <c r="A36" s="868" t="s">
        <v>479</v>
      </c>
      <c r="B36" s="868" t="s">
        <v>118</v>
      </c>
      <c r="C36" s="885" t="str">
        <f>'Expenditures 15-22'!B11</f>
        <v>1275</v>
      </c>
      <c r="D36" s="886" t="str">
        <f>'Expenditures 15-22'!A11</f>
        <v>Remedial and Supplemental Programs Pre-K</v>
      </c>
      <c r="E36" s="867"/>
      <c r="F36" s="1935">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5">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5">
        <f>'Expenditures 15-22'!K15-SUM('Expenditures 15-22'!G15,'Expenditures 15-22'!I15)</f>
        <v>5641</v>
      </c>
      <c r="G38" s="864"/>
    </row>
    <row r="39" spans="1:7" x14ac:dyDescent="0.2">
      <c r="A39" s="868" t="s">
        <v>479</v>
      </c>
      <c r="B39" s="868" t="s">
        <v>119</v>
      </c>
      <c r="C39" s="885" t="str">
        <f>'Expenditures 15-22'!B20</f>
        <v>1910</v>
      </c>
      <c r="D39" s="887" t="str">
        <f>'Expenditures 15-22'!A20</f>
        <v>Pre-K Programs - Private Tuition</v>
      </c>
      <c r="E39" s="867"/>
      <c r="F39" s="1935">
        <f>'Expenditures 15-22'!K20</f>
        <v>0</v>
      </c>
      <c r="G39" s="864"/>
    </row>
    <row r="40" spans="1:7" x14ac:dyDescent="0.2">
      <c r="A40" s="868" t="s">
        <v>479</v>
      </c>
      <c r="B40" s="868" t="s">
        <v>120</v>
      </c>
      <c r="C40" s="885" t="str">
        <f>'Expenditures 15-22'!B21</f>
        <v>1911</v>
      </c>
      <c r="D40" s="887" t="str">
        <f>'Expenditures 15-22'!A21</f>
        <v>Regular K-12 Programs - Private Tuition</v>
      </c>
      <c r="E40" s="867"/>
      <c r="F40" s="1935">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5">
        <f>'Expenditures 15-22'!K22</f>
        <v>0</v>
      </c>
      <c r="G41" s="864"/>
    </row>
    <row r="42" spans="1:7" x14ac:dyDescent="0.2">
      <c r="A42" s="868" t="s">
        <v>479</v>
      </c>
      <c r="B42" s="868" t="s">
        <v>122</v>
      </c>
      <c r="C42" s="888" t="str">
        <f>'Expenditures 15-22'!B23</f>
        <v>1913</v>
      </c>
      <c r="D42" s="887" t="str">
        <f>'Expenditures 15-22'!A23</f>
        <v>Special Education Programs Pre-K - Tuition</v>
      </c>
      <c r="E42" s="867"/>
      <c r="F42" s="1935">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5">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5">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5">
        <f>'Expenditures 15-22'!K26</f>
        <v>0</v>
      </c>
      <c r="G45" s="864"/>
    </row>
    <row r="46" spans="1:7" x14ac:dyDescent="0.2">
      <c r="A46" s="868" t="s">
        <v>479</v>
      </c>
      <c r="B46" s="868" t="s">
        <v>126</v>
      </c>
      <c r="C46" s="885" t="str">
        <f>'Expenditures 15-22'!B27</f>
        <v>1917</v>
      </c>
      <c r="D46" s="887" t="str">
        <f>'Expenditures 15-22'!A27</f>
        <v>CTE Programs - Private Tuition</v>
      </c>
      <c r="E46" s="867"/>
      <c r="F46" s="1935">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5">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5">
        <f>'Expenditures 15-22'!K29</f>
        <v>0</v>
      </c>
      <c r="G48" s="864"/>
    </row>
    <row r="49" spans="1:7" x14ac:dyDescent="0.2">
      <c r="A49" s="868" t="s">
        <v>479</v>
      </c>
      <c r="B49" s="868" t="s">
        <v>129</v>
      </c>
      <c r="C49" s="885" t="str">
        <f>'Expenditures 15-22'!B30</f>
        <v>1920</v>
      </c>
      <c r="D49" s="887" t="str">
        <f>'Expenditures 15-22'!A30</f>
        <v>Gifted Programs - Private Tuition</v>
      </c>
      <c r="E49" s="867"/>
      <c r="F49" s="1935">
        <f>'Expenditures 15-22'!K30</f>
        <v>0</v>
      </c>
      <c r="G49" s="864"/>
    </row>
    <row r="50" spans="1:7" x14ac:dyDescent="0.2">
      <c r="A50" s="868" t="s">
        <v>479</v>
      </c>
      <c r="B50" s="868" t="s">
        <v>130</v>
      </c>
      <c r="C50" s="885" t="str">
        <f>'Expenditures 15-22'!B31</f>
        <v>1921</v>
      </c>
      <c r="D50" s="887" t="str">
        <f>'Expenditures 15-22'!A31</f>
        <v>Bilingual Programs - Private Tuition</v>
      </c>
      <c r="E50" s="867"/>
      <c r="F50" s="1935">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5">
        <f>'Expenditures 15-22'!K32</f>
        <v>0</v>
      </c>
      <c r="G51" s="864"/>
    </row>
    <row r="52" spans="1:7" x14ac:dyDescent="0.2">
      <c r="A52" s="868" t="s">
        <v>479</v>
      </c>
      <c r="B52" s="868" t="s">
        <v>1550</v>
      </c>
      <c r="C52" s="888" t="str">
        <f>'Expenditures 15-22'!B75</f>
        <v>3000</v>
      </c>
      <c r="D52" s="887" t="s">
        <v>469</v>
      </c>
      <c r="E52" s="867"/>
      <c r="F52" s="1935">
        <f>'Expenditures 15-22'!K75-SUM('Expenditures 15-22'!G75,'Expenditures 15-22'!I75)</f>
        <v>0</v>
      </c>
      <c r="G52" s="864"/>
    </row>
    <row r="53" spans="1:7" x14ac:dyDescent="0.2">
      <c r="A53" s="868" t="s">
        <v>479</v>
      </c>
      <c r="B53" s="868" t="s">
        <v>1551</v>
      </c>
      <c r="C53" s="888">
        <f>'Expenditures 15-22'!B102</f>
        <v>4000</v>
      </c>
      <c r="D53" s="887" t="str">
        <f>'Expenditures 15-22'!A102</f>
        <v>Total Payments to Other Govt Units</v>
      </c>
      <c r="E53" s="867"/>
      <c r="F53" s="1935">
        <f>'Expenditures 15-22'!K102</f>
        <v>327405</v>
      </c>
      <c r="G53" s="864"/>
    </row>
    <row r="54" spans="1:7" x14ac:dyDescent="0.2">
      <c r="A54" s="868" t="s">
        <v>479</v>
      </c>
      <c r="B54" s="868" t="s">
        <v>1552</v>
      </c>
      <c r="C54" s="888" t="s">
        <v>1039</v>
      </c>
      <c r="D54" s="884" t="s">
        <v>1157</v>
      </c>
      <c r="E54" s="867"/>
      <c r="F54" s="1935">
        <f>'Expenditures 15-22'!G114</f>
        <v>24193</v>
      </c>
      <c r="G54" s="864"/>
    </row>
    <row r="55" spans="1:7" x14ac:dyDescent="0.2">
      <c r="A55" s="868" t="s">
        <v>479</v>
      </c>
      <c r="B55" s="868" t="s">
        <v>1553</v>
      </c>
      <c r="C55" s="888" t="s">
        <v>1039</v>
      </c>
      <c r="D55" s="884" t="s">
        <v>309</v>
      </c>
      <c r="E55" s="867"/>
      <c r="F55" s="1935">
        <f>'Expenditures 15-22'!I114</f>
        <v>0</v>
      </c>
      <c r="G55" s="864"/>
    </row>
    <row r="56" spans="1:7" x14ac:dyDescent="0.2">
      <c r="A56" s="868" t="s">
        <v>480</v>
      </c>
      <c r="B56" s="868" t="s">
        <v>1554</v>
      </c>
      <c r="C56" s="885" t="str">
        <f>'Expenditures 15-22'!B130</f>
        <v>3000</v>
      </c>
      <c r="D56" s="891" t="s">
        <v>469</v>
      </c>
      <c r="E56" s="867"/>
      <c r="F56" s="1935">
        <f>'Expenditures 15-22'!K130-SUM('Expenditures 15-22'!G130+'Expenditures 15-22'!I130)</f>
        <v>0</v>
      </c>
      <c r="G56" s="864"/>
    </row>
    <row r="57" spans="1:7" x14ac:dyDescent="0.2">
      <c r="A57" s="868" t="s">
        <v>480</v>
      </c>
      <c r="B57" s="868" t="s">
        <v>1990</v>
      </c>
      <c r="C57" s="888">
        <f>'Expenditures 15-22'!B139</f>
        <v>4000</v>
      </c>
      <c r="D57" s="886" t="str">
        <f>'Expenditures 15-22'!A139</f>
        <v>Total Payments to Other Govt Units</v>
      </c>
      <c r="E57" s="867"/>
      <c r="F57" s="1935">
        <f>'Expenditures 15-22'!K139</f>
        <v>0</v>
      </c>
      <c r="G57" s="864"/>
    </row>
    <row r="58" spans="1:7" x14ac:dyDescent="0.2">
      <c r="A58" s="868" t="s">
        <v>480</v>
      </c>
      <c r="B58" s="868" t="s">
        <v>1991</v>
      </c>
      <c r="C58" s="885" t="s">
        <v>1039</v>
      </c>
      <c r="D58" s="884" t="s">
        <v>1157</v>
      </c>
      <c r="E58" s="867"/>
      <c r="F58" s="1937">
        <f>'Expenditures 15-22'!G151</f>
        <v>0</v>
      </c>
      <c r="G58" s="864"/>
    </row>
    <row r="59" spans="1:7" x14ac:dyDescent="0.2">
      <c r="A59" s="892" t="s">
        <v>480</v>
      </c>
      <c r="B59" s="855" t="s">
        <v>1992</v>
      </c>
      <c r="C59" s="893" t="s">
        <v>1039</v>
      </c>
      <c r="D59" s="855" t="s">
        <v>309</v>
      </c>
      <c r="F59" s="1938">
        <f>'Expenditures 15-22'!I151</f>
        <v>0</v>
      </c>
      <c r="G59" s="864"/>
    </row>
    <row r="60" spans="1:7" x14ac:dyDescent="0.2">
      <c r="A60" s="892" t="s">
        <v>520</v>
      </c>
      <c r="B60" s="855" t="s">
        <v>1993</v>
      </c>
      <c r="C60" s="893">
        <v>4000</v>
      </c>
      <c r="D60" s="855" t="s">
        <v>330</v>
      </c>
      <c r="F60" s="1936">
        <f>'Expenditures 15-22'!K160</f>
        <v>0</v>
      </c>
      <c r="G60" s="864"/>
    </row>
    <row r="61" spans="1:7" x14ac:dyDescent="0.2">
      <c r="A61" s="894" t="s">
        <v>520</v>
      </c>
      <c r="B61" s="894" t="s">
        <v>1994</v>
      </c>
      <c r="C61" s="895" t="str">
        <f>'Expenditures 15-22'!B170</f>
        <v>5300</v>
      </c>
      <c r="D61" s="896" t="s">
        <v>329</v>
      </c>
      <c r="E61" s="878"/>
      <c r="F61" s="1935">
        <f>'Expenditures 15-22'!K170</f>
        <v>0</v>
      </c>
      <c r="G61" s="864"/>
    </row>
    <row r="62" spans="1:7" x14ac:dyDescent="0.2">
      <c r="A62" s="868" t="s">
        <v>481</v>
      </c>
      <c r="B62" s="868" t="s">
        <v>1995</v>
      </c>
      <c r="C62" s="885">
        <f>'Expenditures 15-22'!B185</f>
        <v>3000</v>
      </c>
      <c r="D62" s="875" t="s">
        <v>469</v>
      </c>
      <c r="E62" s="867"/>
      <c r="F62" s="1935">
        <f>'Expenditures 15-22'!K185-SUM('Expenditures 15-22'!G185,'Expenditures 15-22'!I185)</f>
        <v>0</v>
      </c>
      <c r="G62" s="864"/>
    </row>
    <row r="63" spans="1:7" x14ac:dyDescent="0.2">
      <c r="A63" s="868" t="s">
        <v>481</v>
      </c>
      <c r="B63" s="868" t="s">
        <v>1996</v>
      </c>
      <c r="C63" s="885" t="str">
        <f>'Expenditures 15-22'!B196</f>
        <v>4000</v>
      </c>
      <c r="D63" s="886" t="str">
        <f>'Expenditures 15-22'!A196</f>
        <v>Total Payments to Other Govt Units</v>
      </c>
      <c r="E63" s="867"/>
      <c r="F63" s="1935">
        <f>'Expenditures 15-22'!K196</f>
        <v>0</v>
      </c>
      <c r="G63" s="864"/>
    </row>
    <row r="64" spans="1:7" x14ac:dyDescent="0.2">
      <c r="A64" s="894" t="s">
        <v>481</v>
      </c>
      <c r="B64" s="894" t="s">
        <v>1997</v>
      </c>
      <c r="C64" s="895" t="str">
        <f>'Expenditures 15-22'!B206</f>
        <v>5300</v>
      </c>
      <c r="D64" s="891" t="s">
        <v>329</v>
      </c>
      <c r="E64" s="867"/>
      <c r="F64" s="1935">
        <f>'Expenditures 15-22'!K206</f>
        <v>0</v>
      </c>
      <c r="G64" s="864"/>
    </row>
    <row r="65" spans="1:8" x14ac:dyDescent="0.2">
      <c r="A65" s="868" t="s">
        <v>481</v>
      </c>
      <c r="B65" s="868" t="s">
        <v>1998</v>
      </c>
      <c r="C65" s="885" t="s">
        <v>1039</v>
      </c>
      <c r="D65" s="884" t="s">
        <v>1157</v>
      </c>
      <c r="E65" s="867"/>
      <c r="F65" s="1935">
        <f>'Expenditures 15-22'!G210</f>
        <v>0</v>
      </c>
      <c r="G65" s="864"/>
    </row>
    <row r="66" spans="1:8" x14ac:dyDescent="0.2">
      <c r="A66" s="868" t="s">
        <v>481</v>
      </c>
      <c r="B66" s="868" t="s">
        <v>1999</v>
      </c>
      <c r="C66" s="885" t="s">
        <v>1039</v>
      </c>
      <c r="D66" s="884" t="s">
        <v>309</v>
      </c>
      <c r="E66" s="867"/>
      <c r="F66" s="1935">
        <f>'Expenditures 15-22'!I210</f>
        <v>0</v>
      </c>
      <c r="G66" s="864"/>
    </row>
    <row r="67" spans="1:8" x14ac:dyDescent="0.2">
      <c r="A67" s="868" t="s">
        <v>482</v>
      </c>
      <c r="B67" s="868" t="s">
        <v>2000</v>
      </c>
      <c r="C67" s="885" t="str">
        <f>'Expenditures 15-22'!B216</f>
        <v>1125</v>
      </c>
      <c r="D67" s="891" t="str">
        <f>'Expenditures 15-22'!A216</f>
        <v>Pre-K Programs</v>
      </c>
      <c r="E67" s="867"/>
      <c r="F67" s="1935">
        <f>'Expenditures 15-22'!K216</f>
        <v>0</v>
      </c>
      <c r="G67" s="864"/>
    </row>
    <row r="68" spans="1:8" x14ac:dyDescent="0.2">
      <c r="A68" s="868" t="s">
        <v>482</v>
      </c>
      <c r="B68" s="868" t="s">
        <v>1555</v>
      </c>
      <c r="C68" s="885" t="str">
        <f>'Expenditures 15-22'!B218</f>
        <v>1225</v>
      </c>
      <c r="D68" s="891" t="str">
        <f>'Expenditures 15-22'!A218</f>
        <v>Special Education Programs - Pre-K</v>
      </c>
      <c r="E68" s="867"/>
      <c r="F68" s="1935">
        <f>'Expenditures 15-22'!K218</f>
        <v>0</v>
      </c>
      <c r="G68" s="864"/>
    </row>
    <row r="69" spans="1:8" x14ac:dyDescent="0.2">
      <c r="A69" s="868" t="s">
        <v>482</v>
      </c>
      <c r="B69" s="868" t="s">
        <v>2001</v>
      </c>
      <c r="C69" s="885" t="str">
        <f>'Expenditures 15-22'!B220</f>
        <v>1275</v>
      </c>
      <c r="D69" s="891" t="str">
        <f>'Expenditures 15-22'!A220</f>
        <v>Remedial and Supplemental Programs - Pre-K</v>
      </c>
      <c r="E69" s="867"/>
      <c r="F69" s="1935">
        <f>'Expenditures 15-22'!K220</f>
        <v>0</v>
      </c>
      <c r="G69" s="864"/>
    </row>
    <row r="70" spans="1:8" x14ac:dyDescent="0.2">
      <c r="A70" s="868" t="s">
        <v>482</v>
      </c>
      <c r="B70" s="868" t="s">
        <v>2002</v>
      </c>
      <c r="C70" s="885">
        <f>'Expenditures 15-22'!B221</f>
        <v>1300</v>
      </c>
      <c r="D70" s="886" t="str">
        <f>'Expenditures 15-22'!A221</f>
        <v>Adult/Continuing Education Programs</v>
      </c>
      <c r="E70" s="867"/>
      <c r="F70" s="1935">
        <f>'Expenditures 15-22'!K221</f>
        <v>0</v>
      </c>
      <c r="G70" s="864"/>
    </row>
    <row r="71" spans="1:8" x14ac:dyDescent="0.2">
      <c r="A71" s="868" t="s">
        <v>482</v>
      </c>
      <c r="B71" s="868" t="s">
        <v>2003</v>
      </c>
      <c r="C71" s="885">
        <f>'Expenditures 15-22'!B224</f>
        <v>1600</v>
      </c>
      <c r="D71" s="886" t="str">
        <f>'Expenditures 15-22'!A224</f>
        <v>Summer School Programs</v>
      </c>
      <c r="E71" s="867"/>
      <c r="F71" s="1935">
        <f>'Expenditures 15-22'!K224</f>
        <v>0</v>
      </c>
      <c r="G71" s="864"/>
    </row>
    <row r="72" spans="1:8" x14ac:dyDescent="0.2">
      <c r="A72" s="868" t="s">
        <v>482</v>
      </c>
      <c r="B72" s="868" t="s">
        <v>2004</v>
      </c>
      <c r="C72" s="885">
        <f>'Expenditures 15-22'!B280</f>
        <v>3000</v>
      </c>
      <c r="D72" s="875" t="s">
        <v>469</v>
      </c>
      <c r="E72" s="867"/>
      <c r="F72" s="1935">
        <f>'Expenditures 15-22'!K280</f>
        <v>0</v>
      </c>
      <c r="G72" s="864"/>
    </row>
    <row r="73" spans="1:8" x14ac:dyDescent="0.2">
      <c r="A73" s="868" t="s">
        <v>482</v>
      </c>
      <c r="B73" s="868" t="s">
        <v>2005</v>
      </c>
      <c r="C73" s="885" t="str">
        <f>'Expenditures 15-22'!B285</f>
        <v>4000</v>
      </c>
      <c r="D73" s="886" t="str">
        <f>'Expenditures 15-22'!A285</f>
        <v>Total Payments to Other Govt Units</v>
      </c>
      <c r="E73" s="867"/>
      <c r="F73" s="1935">
        <f>'Expenditures 15-22'!K285</f>
        <v>0</v>
      </c>
      <c r="G73" s="864"/>
    </row>
    <row r="74" spans="1:8" x14ac:dyDescent="0.2">
      <c r="A74" s="868" t="s">
        <v>456</v>
      </c>
      <c r="B74" s="868" t="s">
        <v>2006</v>
      </c>
      <c r="C74" s="885" t="s">
        <v>915</v>
      </c>
      <c r="D74" s="886" t="s">
        <v>1567</v>
      </c>
      <c r="E74" s="867"/>
      <c r="F74" s="1939">
        <f>'Expenditures 15-22'!K334</f>
        <v>0</v>
      </c>
      <c r="G74" s="864"/>
    </row>
    <row r="75" spans="1:8" ht="5.25" customHeight="1" x14ac:dyDescent="0.2">
      <c r="A75" s="864"/>
      <c r="B75" s="874"/>
      <c r="C75" s="874"/>
      <c r="D75" s="864"/>
      <c r="E75" s="867"/>
      <c r="F75" s="881"/>
      <c r="G75" s="866"/>
    </row>
    <row r="76" spans="1:8" ht="12" thickBot="1" x14ac:dyDescent="0.25">
      <c r="A76" s="1788"/>
      <c r="B76" s="1794"/>
      <c r="C76" s="1790"/>
      <c r="D76" s="1795" t="s">
        <v>2007</v>
      </c>
      <c r="E76" s="1792" t="s">
        <v>1015</v>
      </c>
      <c r="F76" s="1796">
        <f>SUM(F18:F74)</f>
        <v>590458</v>
      </c>
      <c r="G76" s="864"/>
    </row>
    <row r="77" spans="1:8" s="892" customFormat="1" ht="12" customHeight="1" thickTop="1" thickBot="1" x14ac:dyDescent="0.25">
      <c r="A77" s="1797"/>
      <c r="B77" s="1794"/>
      <c r="C77" s="1790"/>
      <c r="D77" s="1795" t="s">
        <v>2008</v>
      </c>
      <c r="E77" s="1792"/>
      <c r="F77" s="1798">
        <f>(F14-F76)</f>
        <v>5111688</v>
      </c>
      <c r="G77" s="868"/>
    </row>
    <row r="78" spans="1:8" s="892" customFormat="1" ht="12" customHeight="1" thickTop="1" x14ac:dyDescent="0.2">
      <c r="A78" s="1799"/>
      <c r="B78" s="1794"/>
      <c r="C78" s="1790"/>
      <c r="D78" s="1795" t="s">
        <v>2055</v>
      </c>
      <c r="E78" s="1792"/>
      <c r="F78" s="897">
        <v>0</v>
      </c>
      <c r="G78" s="898"/>
      <c r="H78" s="868"/>
    </row>
    <row r="79" spans="1:8" s="892" customFormat="1" ht="12" customHeight="1" thickBot="1" x14ac:dyDescent="0.25">
      <c r="A79" s="1800"/>
      <c r="B79" s="1794"/>
      <c r="C79" s="1790"/>
      <c r="D79" s="1795" t="s">
        <v>2009</v>
      </c>
      <c r="E79" s="1792" t="s">
        <v>1015</v>
      </c>
      <c r="F79" s="1801" t="str">
        <f>IF(F78&gt;0,F77/F78," Complete Line 78")</f>
        <v xml:space="preserve"> Complete Line 78</v>
      </c>
      <c r="G79" s="868"/>
    </row>
    <row r="80" spans="1:8" s="892" customFormat="1" ht="8.25" customHeight="1" thickTop="1" x14ac:dyDescent="0.2">
      <c r="A80" s="899"/>
      <c r="B80" s="868"/>
      <c r="C80" s="870"/>
      <c r="D80" s="900"/>
      <c r="E80" s="867"/>
      <c r="F80" s="901"/>
      <c r="G80" s="868"/>
    </row>
    <row r="81" spans="1:7" s="892" customFormat="1" ht="12" thickBot="1" x14ac:dyDescent="0.25">
      <c r="A81" s="2511" t="s">
        <v>1167</v>
      </c>
      <c r="B81" s="2512"/>
      <c r="C81" s="2512"/>
      <c r="D81" s="2512"/>
      <c r="E81" s="2512"/>
      <c r="F81" s="2513"/>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29">
        <f>'Revenues 9-14'!F42</f>
        <v>0</v>
      </c>
      <c r="G84" s="911"/>
    </row>
    <row r="85" spans="1:7" x14ac:dyDescent="0.2">
      <c r="A85" s="907" t="s">
        <v>481</v>
      </c>
      <c r="B85" s="907" t="s">
        <v>192</v>
      </c>
      <c r="C85" s="912">
        <f>'Revenues 9-14'!B44</f>
        <v>1413</v>
      </c>
      <c r="D85" s="910" t="str">
        <f>'Revenues 9-14'!A44</f>
        <v>Regular - Transp Fees from Other Sources (In State)</v>
      </c>
      <c r="E85" s="905"/>
      <c r="F85" s="1807">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7">
        <f>'Revenues 9-14'!F45</f>
        <v>0</v>
      </c>
      <c r="G86" s="913"/>
    </row>
    <row r="87" spans="1:7" x14ac:dyDescent="0.2">
      <c r="A87" s="907" t="s">
        <v>481</v>
      </c>
      <c r="B87" s="907" t="s">
        <v>169</v>
      </c>
      <c r="C87" s="909">
        <v>1416</v>
      </c>
      <c r="D87" s="910" t="str">
        <f>'Revenues 9-14'!A46</f>
        <v>Regular Transp Fees from Other Sources (Out of State)</v>
      </c>
      <c r="E87" s="905"/>
      <c r="F87" s="1807">
        <f>'Revenues 9-14'!F46</f>
        <v>0</v>
      </c>
      <c r="G87" s="913"/>
    </row>
    <row r="88" spans="1:7" x14ac:dyDescent="0.2">
      <c r="A88" s="907" t="s">
        <v>481</v>
      </c>
      <c r="B88" s="907" t="s">
        <v>170</v>
      </c>
      <c r="C88" s="909">
        <f>'Revenues 9-14'!B51</f>
        <v>1431</v>
      </c>
      <c r="D88" s="910" t="str">
        <f>'Revenues 9-14'!A51</f>
        <v>CTE - Transp Fees from Pupils or Parents (In State)</v>
      </c>
      <c r="E88" s="905"/>
      <c r="F88" s="1807">
        <f>'Revenues 9-14'!F51</f>
        <v>0</v>
      </c>
      <c r="G88" s="913"/>
    </row>
    <row r="89" spans="1:7" x14ac:dyDescent="0.2">
      <c r="A89" s="907" t="s">
        <v>481</v>
      </c>
      <c r="B89" s="907" t="s">
        <v>171</v>
      </c>
      <c r="C89" s="909">
        <f>'Revenues 9-14'!B53</f>
        <v>1433</v>
      </c>
      <c r="D89" s="910" t="str">
        <f>'Revenues 9-14'!A53</f>
        <v>CTE - Transp Fees from Other Sources (In State)</v>
      </c>
      <c r="E89" s="905"/>
      <c r="F89" s="1807">
        <f>'Revenues 9-14'!F53</f>
        <v>0</v>
      </c>
      <c r="G89" s="913"/>
    </row>
    <row r="90" spans="1:7" x14ac:dyDescent="0.2">
      <c r="A90" s="907" t="s">
        <v>481</v>
      </c>
      <c r="B90" s="907" t="s">
        <v>172</v>
      </c>
      <c r="C90" s="909">
        <f>'Revenues 9-14'!B54</f>
        <v>1434</v>
      </c>
      <c r="D90" s="910" t="str">
        <f>'Revenues 9-14'!A54</f>
        <v>CTE - Transp Fees from Other Sources (Out of State)</v>
      </c>
      <c r="E90" s="905"/>
      <c r="F90" s="1807">
        <f>'Revenues 9-14'!F54</f>
        <v>0</v>
      </c>
      <c r="G90" s="913"/>
    </row>
    <row r="91" spans="1:7" x14ac:dyDescent="0.2">
      <c r="A91" s="907" t="s">
        <v>481</v>
      </c>
      <c r="B91" s="907" t="s">
        <v>173</v>
      </c>
      <c r="C91" s="914">
        <f>'Revenues 9-14'!B55</f>
        <v>1441</v>
      </c>
      <c r="D91" s="910" t="str">
        <f>'Revenues 9-14'!A55</f>
        <v>Special Ed - Transp Fees from Pupils or Parents (In State)</v>
      </c>
      <c r="E91" s="905"/>
      <c r="F91" s="1807">
        <f>'Revenues 9-14'!F55</f>
        <v>0</v>
      </c>
      <c r="G91" s="913"/>
    </row>
    <row r="92" spans="1:7" x14ac:dyDescent="0.2">
      <c r="A92" s="907" t="s">
        <v>481</v>
      </c>
      <c r="B92" s="907" t="s">
        <v>174</v>
      </c>
      <c r="C92" s="909">
        <f>'Revenues 9-14'!B57</f>
        <v>1443</v>
      </c>
      <c r="D92" s="910" t="str">
        <f>'Revenues 9-14'!A57</f>
        <v>Special Ed - Transp Fees from Other Sources (In State)</v>
      </c>
      <c r="E92" s="905"/>
      <c r="F92" s="1807">
        <f>'Revenues 9-14'!F57</f>
        <v>0</v>
      </c>
      <c r="G92" s="915"/>
    </row>
    <row r="93" spans="1:7" x14ac:dyDescent="0.2">
      <c r="A93" s="907" t="s">
        <v>481</v>
      </c>
      <c r="B93" s="907" t="s">
        <v>175</v>
      </c>
      <c r="C93" s="909">
        <f>'Revenues 9-14'!B58</f>
        <v>1444</v>
      </c>
      <c r="D93" s="910" t="str">
        <f>'Revenues 9-14'!A58</f>
        <v>Special Ed - Transp Fees from Other Sources (Out of State)</v>
      </c>
      <c r="E93" s="905"/>
      <c r="F93" s="1807">
        <f>'Revenues 9-14'!F58</f>
        <v>0</v>
      </c>
      <c r="G93" s="915"/>
    </row>
    <row r="94" spans="1:7" x14ac:dyDescent="0.2">
      <c r="A94" s="907" t="s">
        <v>479</v>
      </c>
      <c r="B94" s="907" t="s">
        <v>176</v>
      </c>
      <c r="C94" s="909">
        <v>1600</v>
      </c>
      <c r="D94" s="916" t="str">
        <f>'Revenues 9-14'!A75</f>
        <v>Total Food Service</v>
      </c>
      <c r="E94" s="905"/>
      <c r="F94" s="1807">
        <f>'Revenues 9-14'!C75</f>
        <v>0</v>
      </c>
      <c r="G94" s="911"/>
    </row>
    <row r="95" spans="1:7" x14ac:dyDescent="0.2">
      <c r="A95" s="907" t="s">
        <v>142</v>
      </c>
      <c r="B95" s="907" t="s">
        <v>177</v>
      </c>
      <c r="C95" s="909">
        <v>1700</v>
      </c>
      <c r="D95" s="917" t="str">
        <f>'Revenues 9-14'!A82</f>
        <v>Total District/School Activity Income</v>
      </c>
      <c r="E95" s="905"/>
      <c r="F95" s="1807">
        <f>SUM('Revenues 9-14'!C82,'Revenues 9-14'!D82)</f>
        <v>0</v>
      </c>
      <c r="G95" s="911"/>
    </row>
    <row r="96" spans="1:7" x14ac:dyDescent="0.2">
      <c r="A96" s="907" t="s">
        <v>479</v>
      </c>
      <c r="B96" s="907" t="s">
        <v>178</v>
      </c>
      <c r="C96" s="909">
        <f>'Revenues 9-14'!B84</f>
        <v>1811</v>
      </c>
      <c r="D96" s="910" t="str">
        <f>'Revenues 9-14'!A84</f>
        <v>Rentals - Regular Textbooks</v>
      </c>
      <c r="E96" s="905"/>
      <c r="F96" s="1807">
        <f>'Revenues 9-14'!C84</f>
        <v>0</v>
      </c>
      <c r="G96" s="911"/>
    </row>
    <row r="97" spans="1:7" x14ac:dyDescent="0.2">
      <c r="A97" s="907" t="s">
        <v>479</v>
      </c>
      <c r="B97" s="907" t="s">
        <v>179</v>
      </c>
      <c r="C97" s="909">
        <f>'Revenues 9-14'!B87</f>
        <v>1819</v>
      </c>
      <c r="D97" s="910" t="str">
        <f>'Revenues 9-14'!A87</f>
        <v>Rentals - Other (Describe &amp; Itemize)</v>
      </c>
      <c r="E97" s="905"/>
      <c r="F97" s="1807">
        <f>'Revenues 9-14'!C87</f>
        <v>0</v>
      </c>
      <c r="G97" s="911"/>
    </row>
    <row r="98" spans="1:7" x14ac:dyDescent="0.2">
      <c r="A98" s="907" t="s">
        <v>479</v>
      </c>
      <c r="B98" s="907" t="s">
        <v>180</v>
      </c>
      <c r="C98" s="909">
        <f>'Revenues 9-14'!B88</f>
        <v>1821</v>
      </c>
      <c r="D98" s="910" t="str">
        <f>'Revenues 9-14'!A88</f>
        <v>Sales - Regular Textbooks</v>
      </c>
      <c r="E98" s="905"/>
      <c r="F98" s="1807">
        <f>'Revenues 9-14'!C88</f>
        <v>0</v>
      </c>
      <c r="G98" s="911"/>
    </row>
    <row r="99" spans="1:7" x14ac:dyDescent="0.2">
      <c r="A99" s="907" t="s">
        <v>479</v>
      </c>
      <c r="B99" s="907" t="s">
        <v>181</v>
      </c>
      <c r="C99" s="909">
        <f>'Revenues 9-14'!B91</f>
        <v>1829</v>
      </c>
      <c r="D99" s="910" t="str">
        <f>'Revenues 9-14'!A91</f>
        <v>Sales - Other (Describe &amp; Itemize)</v>
      </c>
      <c r="E99" s="905"/>
      <c r="F99" s="1807">
        <f>'Revenues 9-14'!C91</f>
        <v>0</v>
      </c>
      <c r="G99" s="911"/>
    </row>
    <row r="100" spans="1:7" x14ac:dyDescent="0.2">
      <c r="A100" s="907" t="s">
        <v>479</v>
      </c>
      <c r="B100" s="907" t="s">
        <v>182</v>
      </c>
      <c r="C100" s="909">
        <f>'Revenues 9-14'!B92</f>
        <v>1890</v>
      </c>
      <c r="D100" s="910" t="str">
        <f>'Revenues 9-14'!A92</f>
        <v>Other (Describe &amp; Itemize)</v>
      </c>
      <c r="E100" s="905"/>
      <c r="F100" s="1807">
        <f>'Revenues 9-14'!C92</f>
        <v>0</v>
      </c>
      <c r="G100" s="911"/>
    </row>
    <row r="101" spans="1:7" x14ac:dyDescent="0.2">
      <c r="A101" s="907" t="s">
        <v>142</v>
      </c>
      <c r="B101" s="907" t="s">
        <v>183</v>
      </c>
      <c r="C101" s="909">
        <f>'Revenues 9-14'!B95</f>
        <v>1910</v>
      </c>
      <c r="D101" s="910" t="str">
        <f>'Revenues 9-14'!A95</f>
        <v>Rentals</v>
      </c>
      <c r="E101" s="905"/>
      <c r="F101" s="1807">
        <f>SUM('Revenues 9-14'!C95:D95)</f>
        <v>0</v>
      </c>
      <c r="G101" s="911"/>
    </row>
    <row r="102" spans="1:7" x14ac:dyDescent="0.2">
      <c r="A102" s="907" t="s">
        <v>524</v>
      </c>
      <c r="B102" s="907" t="s">
        <v>184</v>
      </c>
      <c r="C102" s="909">
        <f>'Revenues 9-14'!B98</f>
        <v>1940</v>
      </c>
      <c r="D102" s="910" t="str">
        <f>'Revenues 9-14'!A98</f>
        <v>Services Provided Other Districts</v>
      </c>
      <c r="E102" s="905"/>
      <c r="F102" s="1807">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7">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7">
        <f>('Revenues 9-14'!C106)</f>
        <v>0</v>
      </c>
      <c r="G104" s="911"/>
    </row>
    <row r="105" spans="1:7" x14ac:dyDescent="0.2">
      <c r="A105" s="907" t="s">
        <v>524</v>
      </c>
      <c r="B105" s="907" t="s">
        <v>842</v>
      </c>
      <c r="C105" s="912">
        <v>3100</v>
      </c>
      <c r="D105" s="918" t="str">
        <f>'Revenues 9-14'!A131</f>
        <v>Total Special Education</v>
      </c>
      <c r="E105" s="905"/>
      <c r="F105" s="1807">
        <f>SUM('Revenues 9-14'!C131:D131,'Revenues 9-14'!F131)</f>
        <v>283797</v>
      </c>
      <c r="G105" s="911"/>
    </row>
    <row r="106" spans="1:7" x14ac:dyDescent="0.2">
      <c r="A106" s="907" t="s">
        <v>694</v>
      </c>
      <c r="B106" s="907" t="s">
        <v>1483</v>
      </c>
      <c r="C106" s="919">
        <v>3200</v>
      </c>
      <c r="D106" s="910" t="str">
        <f>'Revenues 9-14'!A140</f>
        <v>Total Career and Technical Education</v>
      </c>
      <c r="E106" s="905"/>
      <c r="F106" s="1807">
        <f>SUM('Revenues 9-14'!C140,'Revenues 9-14'!D140,'Revenues 9-14'!G140)</f>
        <v>0</v>
      </c>
      <c r="G106" s="911"/>
    </row>
    <row r="107" spans="1:7" x14ac:dyDescent="0.2">
      <c r="A107" s="920" t="s">
        <v>685</v>
      </c>
      <c r="B107" s="907" t="s">
        <v>843</v>
      </c>
      <c r="C107" s="919">
        <v>3300</v>
      </c>
      <c r="D107" s="910" t="str">
        <f>'Revenues 9-14'!A144</f>
        <v>Total Bilingual Ed</v>
      </c>
      <c r="E107" s="905"/>
      <c r="F107" s="1807">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7">
        <f>'Revenues 9-14'!C145</f>
        <v>0</v>
      </c>
      <c r="G108" s="911"/>
    </row>
    <row r="109" spans="1:7" x14ac:dyDescent="0.2">
      <c r="A109" s="907" t="s">
        <v>694</v>
      </c>
      <c r="B109" s="907" t="s">
        <v>845</v>
      </c>
      <c r="C109" s="919">
        <f>'Revenues 9-14'!B146</f>
        <v>3365</v>
      </c>
      <c r="D109" s="910" t="str">
        <f>'Revenues 9-14'!A146</f>
        <v>School Breakfast Initiative</v>
      </c>
      <c r="E109" s="905"/>
      <c r="F109" s="1807">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7">
        <f>SUM('Revenues 9-14'!C147,'Revenues 9-14'!D147)</f>
        <v>0</v>
      </c>
      <c r="G110" s="911"/>
    </row>
    <row r="111" spans="1:7" x14ac:dyDescent="0.2">
      <c r="A111" s="907" t="s">
        <v>689</v>
      </c>
      <c r="B111" s="907" t="s">
        <v>802</v>
      </c>
      <c r="C111" s="921">
        <v>3500</v>
      </c>
      <c r="D111" s="910" t="str">
        <f>'Revenues 9-14'!A154</f>
        <v>Total Transportation</v>
      </c>
      <c r="E111" s="905"/>
      <c r="F111" s="1807">
        <f>SUM('Revenues 9-14'!C154,'Revenues 9-14'!D154,'Revenues 9-14'!F154,'Revenues 9-14'!G154)</f>
        <v>0</v>
      </c>
      <c r="G111" s="911"/>
    </row>
    <row r="112" spans="1:7" x14ac:dyDescent="0.2">
      <c r="A112" s="907" t="s">
        <v>479</v>
      </c>
      <c r="B112" s="907" t="s">
        <v>847</v>
      </c>
      <c r="C112" s="919">
        <f>'Revenues 9-14'!B155</f>
        <v>3610</v>
      </c>
      <c r="D112" s="910" t="str">
        <f>'Revenues 9-14'!A155</f>
        <v>Learning Improvement - Change Grants</v>
      </c>
      <c r="E112" s="905"/>
      <c r="F112" s="1807">
        <f>'Revenues 9-14'!C155</f>
        <v>0</v>
      </c>
      <c r="G112" s="911"/>
    </row>
    <row r="113" spans="1:7" x14ac:dyDescent="0.2">
      <c r="A113" s="907" t="s">
        <v>689</v>
      </c>
      <c r="B113" s="907" t="s">
        <v>848</v>
      </c>
      <c r="C113" s="919">
        <f>'Revenues 9-14'!B156</f>
        <v>3660</v>
      </c>
      <c r="D113" s="910" t="str">
        <f>'Revenues 9-14'!A156</f>
        <v>Scientific Literacy</v>
      </c>
      <c r="E113" s="905"/>
      <c r="F113" s="1807">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7">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7">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7">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7">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8">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7">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7">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29">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29">
        <f>SUM('Revenues 9-14'!C166:G166)</f>
        <v>0</v>
      </c>
      <c r="G122" s="911"/>
    </row>
    <row r="123" spans="1:7" x14ac:dyDescent="0.2">
      <c r="A123" s="922" t="s">
        <v>525</v>
      </c>
      <c r="B123" s="922" t="s">
        <v>853</v>
      </c>
      <c r="C123" s="923">
        <f>'Revenues 9-14'!B167</f>
        <v>3815</v>
      </c>
      <c r="D123" s="924" t="str">
        <f>'Revenues 9-14'!A167</f>
        <v>State Charter Schools</v>
      </c>
      <c r="E123" s="905"/>
      <c r="F123" s="1929">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7">
        <f>'Revenues 9-14'!D170</f>
        <v>0</v>
      </c>
      <c r="G124" s="929"/>
    </row>
    <row r="125" spans="1:7" x14ac:dyDescent="0.2">
      <c r="A125" s="926" t="s">
        <v>521</v>
      </c>
      <c r="B125" s="926" t="s">
        <v>855</v>
      </c>
      <c r="C125" s="927">
        <f>'Revenues 9-14'!B171</f>
        <v>3999</v>
      </c>
      <c r="D125" s="928" t="s">
        <v>564</v>
      </c>
      <c r="E125" s="930"/>
      <c r="F125" s="1807">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7">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7">
        <f>SUM('Revenues 9-14'!C184,'Revenues 9-14'!D184,'Revenues 9-14'!F184,'Revenues 9-14'!G184)</f>
        <v>0</v>
      </c>
      <c r="G127" s="929"/>
    </row>
    <row r="128" spans="1:7" x14ac:dyDescent="0.2">
      <c r="A128" s="926" t="s">
        <v>689</v>
      </c>
      <c r="B128" s="926" t="s">
        <v>858</v>
      </c>
      <c r="C128" s="931">
        <v>4100</v>
      </c>
      <c r="D128" s="932" t="str">
        <f>'Revenues 9-14'!A191</f>
        <v>Total Title V</v>
      </c>
      <c r="E128" s="905"/>
      <c r="F128" s="1807">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7">
        <f>SUM('Revenues 9-14'!C201,'Revenues 9-14'!G201)</f>
        <v>0</v>
      </c>
      <c r="G129" s="929"/>
    </row>
    <row r="130" spans="1:7" x14ac:dyDescent="0.2">
      <c r="A130" s="926" t="s">
        <v>689</v>
      </c>
      <c r="B130" s="926" t="s">
        <v>804</v>
      </c>
      <c r="C130" s="931">
        <v>4300</v>
      </c>
      <c r="D130" s="932" t="str">
        <f>'Revenues 9-14'!A211</f>
        <v>Total Title I</v>
      </c>
      <c r="E130" s="905"/>
      <c r="F130" s="1807">
        <f>SUM('Revenues 9-14'!C211,'Revenues 9-14'!D211,'Revenues 9-14'!F211,'Revenues 9-14'!G211)</f>
        <v>0</v>
      </c>
      <c r="G130" s="929"/>
    </row>
    <row r="131" spans="1:7" x14ac:dyDescent="0.2">
      <c r="A131" s="926" t="s">
        <v>689</v>
      </c>
      <c r="B131" s="926" t="s">
        <v>805</v>
      </c>
      <c r="C131" s="931">
        <v>4400</v>
      </c>
      <c r="D131" s="932" t="str">
        <f>'Revenues 9-14'!A216</f>
        <v>Total Title IV</v>
      </c>
      <c r="E131" s="905"/>
      <c r="F131" s="1807">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7">
        <f>SUM('Revenues 9-14'!C220:D220,'Revenues 9-14'!F220:G220)</f>
        <v>2226792</v>
      </c>
      <c r="G132" s="929"/>
    </row>
    <row r="133" spans="1:7" x14ac:dyDescent="0.2">
      <c r="A133" s="926" t="s">
        <v>689</v>
      </c>
      <c r="B133" s="926" t="s">
        <v>191</v>
      </c>
      <c r="C133" s="931">
        <f>'Revenues 9-14'!B221</f>
        <v>4625</v>
      </c>
      <c r="D133" s="932" t="str">
        <f>'Revenues 9-14'!A221</f>
        <v>Fed - Spec Education - IDEA - Room &amp; Board</v>
      </c>
      <c r="E133" s="905"/>
      <c r="F133" s="1807">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7">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7">
        <f>SUM('Revenues 9-14'!C223:D223,'Revenues 9-14'!F223:G223)</f>
        <v>0</v>
      </c>
      <c r="G135" s="929"/>
    </row>
    <row r="136" spans="1:7" x14ac:dyDescent="0.2">
      <c r="A136" s="926" t="s">
        <v>694</v>
      </c>
      <c r="B136" s="926" t="s">
        <v>807</v>
      </c>
      <c r="C136" s="931">
        <v>4700</v>
      </c>
      <c r="D136" s="928" t="str">
        <f>'Revenues 9-14'!A228</f>
        <v>Total CTE - Perkins</v>
      </c>
      <c r="E136" s="905"/>
      <c r="F136" s="1807">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29">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7">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7">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7">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7">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7">
        <v>0</v>
      </c>
      <c r="G142" s="904"/>
    </row>
    <row r="143" spans="1:7" s="866" customFormat="1" hidden="1" x14ac:dyDescent="0.2">
      <c r="A143" s="933" t="s">
        <v>215</v>
      </c>
      <c r="B143" s="933" t="s">
        <v>228</v>
      </c>
      <c r="C143" s="934" t="s">
        <v>225</v>
      </c>
      <c r="D143" s="935" t="str">
        <f>'Revenues 9-14'!A237</f>
        <v>ARRA - IDEA - Part B - Flow-Through</v>
      </c>
      <c r="E143" s="936"/>
      <c r="F143" s="1807">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7">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7">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7">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7">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7">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7">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7">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7">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7">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7">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7">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7">
        <v>0</v>
      </c>
      <c r="G155" s="904"/>
    </row>
    <row r="156" spans="1:7" s="866" customFormat="1" hidden="1" x14ac:dyDescent="0.2">
      <c r="A156" s="933" t="s">
        <v>215</v>
      </c>
      <c r="B156" s="933" t="s">
        <v>250</v>
      </c>
      <c r="C156" s="934" t="s">
        <v>247</v>
      </c>
      <c r="D156" s="935" t="str">
        <f>'Revenues 9-14'!A254</f>
        <v>Other ARRA Funds VII</v>
      </c>
      <c r="E156" s="936"/>
      <c r="F156" s="1807">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7">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7">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7">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7">
        <f>SUM('Revenues 9-14'!C258:G258,'Revenues 9-14'!J258)</f>
        <v>0</v>
      </c>
      <c r="G160" s="904"/>
    </row>
    <row r="161" spans="1:7" s="866" customFormat="1" x14ac:dyDescent="0.2">
      <c r="A161" s="937" t="s">
        <v>521</v>
      </c>
      <c r="B161" s="938" t="s">
        <v>1564</v>
      </c>
      <c r="C161" s="939" t="s">
        <v>896</v>
      </c>
      <c r="D161" s="940" t="s">
        <v>808</v>
      </c>
      <c r="E161" s="941"/>
      <c r="F161" s="1807">
        <f>SUM(F137:F160)</f>
        <v>0</v>
      </c>
      <c r="G161" s="904"/>
    </row>
    <row r="162" spans="1:7" s="866" customFormat="1" x14ac:dyDescent="0.2">
      <c r="A162" s="937" t="s">
        <v>479</v>
      </c>
      <c r="B162" s="938" t="s">
        <v>1501</v>
      </c>
      <c r="C162" s="939" t="s">
        <v>1499</v>
      </c>
      <c r="D162" s="940" t="s">
        <v>1500</v>
      </c>
      <c r="E162" s="941"/>
      <c r="F162" s="1807">
        <f>SUM('Revenues 9-14'!C260)</f>
        <v>0</v>
      </c>
      <c r="G162" s="904"/>
    </row>
    <row r="163" spans="1:7" s="866" customFormat="1" x14ac:dyDescent="0.2">
      <c r="A163" s="937" t="s">
        <v>521</v>
      </c>
      <c r="B163" s="938" t="s">
        <v>1541</v>
      </c>
      <c r="C163" s="939" t="s">
        <v>1542</v>
      </c>
      <c r="D163" s="940" t="s">
        <v>1543</v>
      </c>
      <c r="E163" s="941"/>
      <c r="F163" s="1807">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7">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7">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7">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7">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7">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29">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29">
        <f>SUM('Revenues 9-14'!C268,'Revenues 9-14'!D268,'Revenues 9-14'!F268,'Revenues 9-14'!G268)</f>
        <v>0</v>
      </c>
      <c r="G170" s="929"/>
    </row>
    <row r="171" spans="1:7" x14ac:dyDescent="0.2">
      <c r="A171" s="926" t="s">
        <v>689</v>
      </c>
      <c r="B171" s="926" t="s">
        <v>864</v>
      </c>
      <c r="C171" s="931">
        <f>'Revenues 9-14'!B269</f>
        <v>4960</v>
      </c>
      <c r="D171" s="928" t="str">
        <f>'Revenues 9-14'!A269</f>
        <v>Federal Charter Schools</v>
      </c>
      <c r="E171" s="905"/>
      <c r="F171" s="1807">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7">
        <f>SUM('Revenues 9-14'!C270:D270,'Revenues 9-14'!F270:G270)</f>
        <v>72997</v>
      </c>
      <c r="G172" s="946">
        <v>6320</v>
      </c>
    </row>
    <row r="173" spans="1:7" x14ac:dyDescent="0.2">
      <c r="A173" s="926" t="s">
        <v>689</v>
      </c>
      <c r="B173" s="926" t="s">
        <v>1503</v>
      </c>
      <c r="C173" s="931">
        <f>'Revenues 9-14'!B271</f>
        <v>4992</v>
      </c>
      <c r="D173" s="932" t="str">
        <f>'Revenues 9-14'!A271</f>
        <v>Medicaid Matching Funds - Fee-for-Service Program</v>
      </c>
      <c r="E173" s="905"/>
      <c r="F173" s="1807">
        <f>SUM('Revenues 9-14'!C271:D271,'Revenues 9-14'!F271:G271)</f>
        <v>148551</v>
      </c>
      <c r="G173" s="946"/>
    </row>
    <row r="174" spans="1:7" x14ac:dyDescent="0.2">
      <c r="A174" s="947" t="s">
        <v>689</v>
      </c>
      <c r="B174" s="943" t="s">
        <v>1558</v>
      </c>
      <c r="C174" s="944">
        <f>'Revenues 9-14'!B272</f>
        <v>4999</v>
      </c>
      <c r="D174" s="945" t="str">
        <f>'Revenues 9-14'!A272</f>
        <v>Other Restricted Revenue from Federal Sources (Describe &amp; Itemize)</v>
      </c>
      <c r="E174" s="905"/>
      <c r="F174" s="1807">
        <f>SUM('Revenues 9-14'!C272:D272,'Revenues 9-14'!F272:G272)</f>
        <v>4017</v>
      </c>
      <c r="G174" s="926"/>
    </row>
    <row r="175" spans="1:7" x14ac:dyDescent="0.2">
      <c r="A175" s="1940" t="s">
        <v>5</v>
      </c>
      <c r="B175" s="1941" t="s">
        <v>2054</v>
      </c>
      <c r="C175" s="1942">
        <v>3100</v>
      </c>
      <c r="D175" s="1943" t="s">
        <v>2057</v>
      </c>
      <c r="E175" s="905"/>
      <c r="F175" s="1927"/>
      <c r="G175" s="926"/>
    </row>
    <row r="176" spans="1:7" x14ac:dyDescent="0.2">
      <c r="A176" s="1940" t="s">
        <v>685</v>
      </c>
      <c r="B176" s="1941" t="s">
        <v>2054</v>
      </c>
      <c r="C176" s="1942">
        <v>3300</v>
      </c>
      <c r="D176" s="1943" t="s">
        <v>2058</v>
      </c>
      <c r="E176" s="905"/>
      <c r="F176" s="1927"/>
      <c r="G176" s="926"/>
    </row>
    <row r="177" spans="1:7" ht="6" customHeight="1" x14ac:dyDescent="0.2">
      <c r="A177" s="926"/>
      <c r="B177" s="926"/>
      <c r="C177" s="948"/>
      <c r="D177" s="926"/>
      <c r="E177" s="905"/>
      <c r="F177" s="949"/>
      <c r="G177" s="946"/>
    </row>
    <row r="178" spans="1:7" x14ac:dyDescent="0.2">
      <c r="A178" s="1788"/>
      <c r="B178" s="1802"/>
      <c r="C178" s="1803"/>
      <c r="D178" s="1804" t="s">
        <v>2010</v>
      </c>
      <c r="E178" s="1805" t="s">
        <v>1015</v>
      </c>
      <c r="F178" s="1806">
        <f>SUM(F84:F136,F161:F176)</f>
        <v>2736154</v>
      </c>
    </row>
    <row r="179" spans="1:7" ht="12" customHeight="1" x14ac:dyDescent="0.2">
      <c r="A179" s="1788"/>
      <c r="B179" s="1802"/>
      <c r="C179" s="1803"/>
      <c r="D179" s="1804" t="s">
        <v>2011</v>
      </c>
      <c r="E179" s="1805"/>
      <c r="F179" s="1807">
        <f>'PCTC-OEPP 27-28'!F77-F178</f>
        <v>2375534</v>
      </c>
    </row>
    <row r="180" spans="1:7" ht="12" customHeight="1" x14ac:dyDescent="0.2">
      <c r="A180" s="1788"/>
      <c r="B180" s="1802"/>
      <c r="C180" s="1803"/>
      <c r="D180" s="1804" t="s">
        <v>1920</v>
      </c>
      <c r="E180" s="1805"/>
      <c r="F180" s="1807">
        <f>'Cap Outlay Deprec 26'!I18</f>
        <v>33918</v>
      </c>
    </row>
    <row r="181" spans="1:7" ht="12" customHeight="1" x14ac:dyDescent="0.2">
      <c r="A181" s="1788"/>
      <c r="B181" s="1802"/>
      <c r="C181" s="1803"/>
      <c r="D181" s="1804" t="s">
        <v>2012</v>
      </c>
      <c r="E181" s="1805"/>
      <c r="F181" s="1807">
        <f>F179+F180</f>
        <v>2409452</v>
      </c>
    </row>
    <row r="182" spans="1:7" ht="12" customHeight="1" x14ac:dyDescent="0.2">
      <c r="A182" s="1788"/>
      <c r="B182" s="1808"/>
      <c r="C182" s="1803"/>
      <c r="D182" s="1804" t="str">
        <f>D78</f>
        <v>9 Month ADA from District Average Daily Attendance/Prior General State Aid Inquiry 2017-2018</v>
      </c>
      <c r="E182" s="1805"/>
      <c r="F182" s="1809">
        <f>'PCTC-OEPP 27-28'!F78</f>
        <v>0</v>
      </c>
      <c r="G182" s="929"/>
    </row>
    <row r="183" spans="1:7" ht="12" customHeight="1" thickBot="1" x14ac:dyDescent="0.25">
      <c r="A183" s="1788"/>
      <c r="B183" s="1808"/>
      <c r="C183" s="1803"/>
      <c r="D183" s="1804" t="s">
        <v>2013</v>
      </c>
      <c r="E183" s="1805" t="s">
        <v>1626</v>
      </c>
      <c r="F183" s="1810" t="e">
        <f>F181/F182</f>
        <v>#DIV/0!</v>
      </c>
      <c r="G183" s="855">
        <v>6323</v>
      </c>
    </row>
    <row r="184" spans="1:7" ht="12" thickTop="1" x14ac:dyDescent="0.2">
      <c r="B184" s="929"/>
      <c r="C184" s="948"/>
      <c r="D184" s="929"/>
      <c r="E184" s="948"/>
      <c r="F184" s="929"/>
      <c r="G184" s="950">
        <v>6326</v>
      </c>
    </row>
    <row r="185" spans="1:7" ht="12.2" customHeight="1" x14ac:dyDescent="0.2">
      <c r="A185" s="929" t="s">
        <v>2056</v>
      </c>
      <c r="B185" s="929"/>
      <c r="C185" s="948"/>
      <c r="D185" s="929"/>
      <c r="E185" s="948"/>
      <c r="F185" s="929"/>
      <c r="G185" s="929"/>
    </row>
    <row r="186" spans="1:7" s="1944" customFormat="1" ht="12.2" customHeight="1" x14ac:dyDescent="0.2">
      <c r="A186" s="1944" t="s">
        <v>2061</v>
      </c>
      <c r="B186" s="1945"/>
      <c r="C186" s="1946"/>
      <c r="D186" s="1945"/>
      <c r="E186" s="1946"/>
      <c r="F186" s="1945"/>
      <c r="G186" s="1945"/>
    </row>
    <row r="187" spans="1:7" s="1944" customFormat="1" ht="12.2" customHeight="1" x14ac:dyDescent="0.2">
      <c r="A187" s="1947" t="s">
        <v>2062</v>
      </c>
      <c r="C187" s="1946"/>
      <c r="D187" s="1945"/>
      <c r="E187" s="1946"/>
      <c r="F187" s="1945"/>
      <c r="G187" s="1945"/>
    </row>
    <row r="188" spans="1:7" ht="12" customHeight="1" x14ac:dyDescent="0.2">
      <c r="C188" s="948"/>
      <c r="D188" s="929"/>
      <c r="E188" s="948"/>
      <c r="F188" s="929"/>
      <c r="G188" s="929"/>
    </row>
    <row r="189" spans="1:7" x14ac:dyDescent="0.2">
      <c r="A189" s="1948" t="s">
        <v>2060</v>
      </c>
      <c r="B189" s="1949" t="s">
        <v>2059</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A23" sqref="A23:H23"/>
      <selection pane="bottomLeft" activeCell="A17" sqref="A17"/>
    </sheetView>
  </sheetViews>
  <sheetFormatPr defaultColWidth="9.140625"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1936</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525" t="s">
        <v>1921</v>
      </c>
      <c r="B4" s="2526"/>
      <c r="C4" s="2526"/>
      <c r="D4" s="2526"/>
      <c r="E4" s="2526"/>
      <c r="F4" s="2526"/>
      <c r="G4" s="2527"/>
    </row>
    <row r="5" spans="1:7" x14ac:dyDescent="0.25">
      <c r="A5" s="2528"/>
      <c r="B5" s="2529"/>
      <c r="C5" s="2529"/>
      <c r="D5" s="2529"/>
      <c r="E5" s="2529"/>
      <c r="F5" s="2529"/>
      <c r="G5" s="2530"/>
    </row>
    <row r="6" spans="1:7" ht="18.75" x14ac:dyDescent="0.25">
      <c r="A6" s="1552" t="s">
        <v>1922</v>
      </c>
      <c r="B6" s="1553"/>
      <c r="C6" s="1553"/>
      <c r="D6" s="1553"/>
      <c r="E6" s="1553"/>
      <c r="F6" s="1553"/>
      <c r="G6" s="1554"/>
    </row>
    <row r="7" spans="1:7" ht="30.75" customHeight="1" x14ac:dyDescent="0.25">
      <c r="A7" s="2531" t="s">
        <v>2071</v>
      </c>
      <c r="B7" s="2532"/>
      <c r="C7" s="2532"/>
      <c r="D7" s="2532"/>
      <c r="E7" s="2532"/>
      <c r="F7" s="2532"/>
      <c r="G7" s="2533"/>
    </row>
    <row r="8" spans="1:7" ht="15.75" customHeight="1" x14ac:dyDescent="0.25">
      <c r="A8" s="2534" t="s">
        <v>2020</v>
      </c>
      <c r="B8" s="2535"/>
      <c r="C8" s="2535"/>
      <c r="D8" s="2535"/>
      <c r="E8" s="2535"/>
      <c r="F8" s="2535"/>
      <c r="G8" s="2536"/>
    </row>
    <row r="9" spans="1:7" ht="35.25" customHeight="1" x14ac:dyDescent="0.25">
      <c r="A9" s="2531" t="s">
        <v>2019</v>
      </c>
      <c r="B9" s="2532"/>
      <c r="C9" s="2532"/>
      <c r="D9" s="2532"/>
      <c r="E9" s="2532"/>
      <c r="F9" s="2532"/>
      <c r="G9" s="2533"/>
    </row>
    <row r="10" spans="1:7" ht="15" customHeight="1" x14ac:dyDescent="0.25">
      <c r="A10" s="1555" t="s">
        <v>1923</v>
      </c>
      <c r="B10" s="1556"/>
      <c r="C10" s="1556"/>
      <c r="D10" s="1556"/>
      <c r="E10" s="1556"/>
      <c r="F10" s="1556"/>
      <c r="G10" s="1557"/>
    </row>
    <row r="11" spans="1:7" ht="17.25" customHeight="1" x14ac:dyDescent="0.25">
      <c r="A11" s="2531" t="s">
        <v>1937</v>
      </c>
      <c r="B11" s="2532"/>
      <c r="C11" s="2532"/>
      <c r="D11" s="2532"/>
      <c r="E11" s="2532"/>
      <c r="F11" s="2532"/>
      <c r="G11" s="2533"/>
    </row>
    <row r="12" spans="1:7" ht="15" customHeight="1" x14ac:dyDescent="0.25">
      <c r="A12" s="1555" t="s">
        <v>1928</v>
      </c>
      <c r="B12" s="1556"/>
      <c r="C12" s="1556"/>
      <c r="D12" s="1556"/>
      <c r="E12" s="1556"/>
      <c r="F12" s="1556"/>
      <c r="G12" s="1557"/>
    </row>
    <row r="13" spans="1:7" ht="32.25" customHeight="1" x14ac:dyDescent="0.25">
      <c r="A13" s="2522" t="s">
        <v>1929</v>
      </c>
      <c r="B13" s="2523"/>
      <c r="C13" s="2523"/>
      <c r="D13" s="2523"/>
      <c r="E13" s="2523"/>
      <c r="F13" s="2523"/>
      <c r="G13" s="2524"/>
    </row>
    <row r="14" spans="1:7" x14ac:dyDescent="0.25">
      <c r="A14" s="1679" t="s">
        <v>1938</v>
      </c>
      <c r="B14" s="1680"/>
      <c r="C14" s="1680"/>
      <c r="D14" s="1680"/>
      <c r="E14" s="1680"/>
      <c r="F14" s="1680"/>
      <c r="G14" s="1681"/>
    </row>
    <row r="15" spans="1:7" ht="61.5" customHeight="1" x14ac:dyDescent="0.25">
      <c r="A15" s="1564" t="s">
        <v>1930</v>
      </c>
      <c r="B15" s="1564" t="s">
        <v>1931</v>
      </c>
      <c r="C15" s="1564" t="s">
        <v>1932</v>
      </c>
      <c r="D15" s="1565" t="s">
        <v>1933</v>
      </c>
      <c r="E15" s="1565" t="s">
        <v>1924</v>
      </c>
      <c r="F15" s="1565" t="s">
        <v>1934</v>
      </c>
      <c r="G15" s="1565" t="s">
        <v>1935</v>
      </c>
    </row>
    <row r="16" spans="1:7" x14ac:dyDescent="0.25">
      <c r="A16" s="1666" t="s">
        <v>1939</v>
      </c>
      <c r="B16" s="1667" t="s">
        <v>1927</v>
      </c>
      <c r="C16" s="1668" t="s">
        <v>1925</v>
      </c>
      <c r="D16" s="1669">
        <v>500000</v>
      </c>
      <c r="E16" s="1669">
        <f>IF(D16&lt;=25000,D16,IF(D16&gt;25000,25000,0))</f>
        <v>25000</v>
      </c>
      <c r="F16" s="1669">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0">
        <f>IF(F16=0,"0",D16-F16)</f>
        <v>475000</v>
      </c>
    </row>
    <row r="17" spans="1:8" x14ac:dyDescent="0.25">
      <c r="A17" s="1986" t="s">
        <v>2139</v>
      </c>
      <c r="B17" s="1864"/>
      <c r="C17" s="1674"/>
      <c r="D17" s="1863"/>
      <c r="E17" s="1558">
        <f t="shared" ref="E17:E141" si="1">IF(D17&lt;=25000,D17,IF(D17&gt;25000,25000,0))</f>
        <v>0</v>
      </c>
      <c r="F17" s="1811">
        <f t="shared" si="0"/>
        <v>0</v>
      </c>
      <c r="G17" s="1812">
        <f>IF(F17=0,0,D17-F17)</f>
        <v>0</v>
      </c>
      <c r="H17" s="1665"/>
    </row>
    <row r="18" spans="1:8" x14ac:dyDescent="0.25">
      <c r="A18" s="1671"/>
      <c r="B18" s="1864"/>
      <c r="C18" s="1674"/>
      <c r="D18" s="1863"/>
      <c r="E18" s="1558">
        <f t="shared" ref="E18:E140" si="2">IF(D18&lt;=25000,D18,IF(D18&gt;25000,25000,0))</f>
        <v>0</v>
      </c>
      <c r="F18" s="1811">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2">
        <f t="shared" ref="G18:G140" si="4">IF(F18=0,0,D18-F18)</f>
        <v>0</v>
      </c>
    </row>
    <row r="19" spans="1:8" x14ac:dyDescent="0.25">
      <c r="A19" s="1671"/>
      <c r="B19" s="1865"/>
      <c r="C19" s="1674"/>
      <c r="D19" s="1863"/>
      <c r="E19" s="1558">
        <f t="shared" si="2"/>
        <v>0</v>
      </c>
      <c r="F19" s="1811">
        <f t="shared" si="3"/>
        <v>0</v>
      </c>
      <c r="G19" s="1812">
        <f t="shared" si="4"/>
        <v>0</v>
      </c>
    </row>
    <row r="20" spans="1:8" x14ac:dyDescent="0.25">
      <c r="A20" s="1671"/>
      <c r="B20" s="1864"/>
      <c r="C20" s="1674"/>
      <c r="D20" s="1863"/>
      <c r="E20" s="1558">
        <f t="shared" si="2"/>
        <v>0</v>
      </c>
      <c r="F20" s="1811">
        <f t="shared" si="3"/>
        <v>0</v>
      </c>
      <c r="G20" s="1812">
        <f t="shared" si="4"/>
        <v>0</v>
      </c>
    </row>
    <row r="21" spans="1:8" x14ac:dyDescent="0.25">
      <c r="A21" s="1671"/>
      <c r="B21" s="1864"/>
      <c r="C21" s="1674"/>
      <c r="D21" s="1863"/>
      <c r="E21" s="1558">
        <f t="shared" si="2"/>
        <v>0</v>
      </c>
      <c r="F21" s="1811">
        <f t="shared" si="3"/>
        <v>0</v>
      </c>
      <c r="G21" s="1812">
        <f t="shared" si="4"/>
        <v>0</v>
      </c>
    </row>
    <row r="22" spans="1:8" x14ac:dyDescent="0.25">
      <c r="A22" s="1671"/>
      <c r="B22" s="1864"/>
      <c r="C22" s="1674"/>
      <c r="D22" s="1863"/>
      <c r="E22" s="1558">
        <f t="shared" si="2"/>
        <v>0</v>
      </c>
      <c r="F22" s="1811">
        <f t="shared" si="3"/>
        <v>0</v>
      </c>
      <c r="G22" s="1812">
        <f t="shared" si="4"/>
        <v>0</v>
      </c>
    </row>
    <row r="23" spans="1:8" x14ac:dyDescent="0.25">
      <c r="A23" s="1671"/>
      <c r="B23" s="1864"/>
      <c r="C23" s="1674"/>
      <c r="D23" s="1863"/>
      <c r="E23" s="1558">
        <f t="shared" si="2"/>
        <v>0</v>
      </c>
      <c r="F23" s="1811">
        <f t="shared" si="3"/>
        <v>0</v>
      </c>
      <c r="G23" s="1812">
        <f t="shared" si="4"/>
        <v>0</v>
      </c>
    </row>
    <row r="24" spans="1:8" x14ac:dyDescent="0.25">
      <c r="A24" s="1671"/>
      <c r="B24" s="1865"/>
      <c r="C24" s="1674"/>
      <c r="D24" s="1863"/>
      <c r="E24" s="1558">
        <f t="shared" si="2"/>
        <v>0</v>
      </c>
      <c r="F24" s="1811">
        <f t="shared" si="3"/>
        <v>0</v>
      </c>
      <c r="G24" s="1812">
        <f t="shared" si="4"/>
        <v>0</v>
      </c>
    </row>
    <row r="25" spans="1:8" x14ac:dyDescent="0.25">
      <c r="A25" s="1671"/>
      <c r="B25" s="1864"/>
      <c r="C25" s="1674"/>
      <c r="D25" s="1863"/>
      <c r="E25" s="1558">
        <f t="shared" si="2"/>
        <v>0</v>
      </c>
      <c r="F25" s="1811">
        <f t="shared" si="3"/>
        <v>0</v>
      </c>
      <c r="G25" s="1812">
        <f t="shared" si="4"/>
        <v>0</v>
      </c>
    </row>
    <row r="26" spans="1:8" x14ac:dyDescent="0.25">
      <c r="A26" s="1671"/>
      <c r="B26" s="1865"/>
      <c r="C26" s="1672"/>
      <c r="D26" s="1863"/>
      <c r="E26" s="1558">
        <f t="shared" si="2"/>
        <v>0</v>
      </c>
      <c r="F26" s="1811">
        <f t="shared" si="3"/>
        <v>0</v>
      </c>
      <c r="G26" s="1812">
        <f t="shared" si="4"/>
        <v>0</v>
      </c>
    </row>
    <row r="27" spans="1:8" x14ac:dyDescent="0.25">
      <c r="A27" s="1671"/>
      <c r="B27" s="1865"/>
      <c r="C27" s="1672"/>
      <c r="D27" s="1863"/>
      <c r="E27" s="1558">
        <f t="shared" si="2"/>
        <v>0</v>
      </c>
      <c r="F27" s="1811">
        <f t="shared" si="3"/>
        <v>0</v>
      </c>
      <c r="G27" s="1812">
        <f t="shared" si="4"/>
        <v>0</v>
      </c>
    </row>
    <row r="28" spans="1:8" x14ac:dyDescent="0.25">
      <c r="A28" s="1671"/>
      <c r="B28" s="1865"/>
      <c r="C28" s="1672"/>
      <c r="D28" s="1863"/>
      <c r="E28" s="1558">
        <f t="shared" si="2"/>
        <v>0</v>
      </c>
      <c r="F28" s="1811">
        <f t="shared" si="3"/>
        <v>0</v>
      </c>
      <c r="G28" s="1812">
        <f t="shared" si="4"/>
        <v>0</v>
      </c>
    </row>
    <row r="29" spans="1:8" x14ac:dyDescent="0.25">
      <c r="A29" s="1671"/>
      <c r="B29" s="1865"/>
      <c r="C29" s="1672"/>
      <c r="D29" s="1863"/>
      <c r="E29" s="1558">
        <f t="shared" si="2"/>
        <v>0</v>
      </c>
      <c r="F29" s="1811">
        <f t="shared" si="3"/>
        <v>0</v>
      </c>
      <c r="G29" s="1812">
        <f t="shared" si="4"/>
        <v>0</v>
      </c>
    </row>
    <row r="30" spans="1:8" x14ac:dyDescent="0.25">
      <c r="A30" s="1671"/>
      <c r="B30" s="1865"/>
      <c r="C30" s="1672"/>
      <c r="D30" s="1863"/>
      <c r="E30" s="1558">
        <f t="shared" si="2"/>
        <v>0</v>
      </c>
      <c r="F30" s="1811">
        <f t="shared" si="3"/>
        <v>0</v>
      </c>
      <c r="G30" s="1812">
        <f t="shared" si="4"/>
        <v>0</v>
      </c>
    </row>
    <row r="31" spans="1:8" x14ac:dyDescent="0.25">
      <c r="A31" s="1671"/>
      <c r="B31" s="1865"/>
      <c r="C31" s="1672"/>
      <c r="D31" s="1863"/>
      <c r="E31" s="1558">
        <f t="shared" si="2"/>
        <v>0</v>
      </c>
      <c r="F31" s="1811">
        <f t="shared" si="3"/>
        <v>0</v>
      </c>
      <c r="G31" s="1812">
        <f t="shared" si="4"/>
        <v>0</v>
      </c>
    </row>
    <row r="32" spans="1:8" x14ac:dyDescent="0.25">
      <c r="A32" s="1671"/>
      <c r="B32" s="1865"/>
      <c r="C32" s="1672"/>
      <c r="D32" s="1863"/>
      <c r="E32" s="1558">
        <f t="shared" si="2"/>
        <v>0</v>
      </c>
      <c r="F32" s="1811">
        <f t="shared" si="3"/>
        <v>0</v>
      </c>
      <c r="G32" s="1812">
        <f t="shared" si="4"/>
        <v>0</v>
      </c>
    </row>
    <row r="33" spans="1:7" x14ac:dyDescent="0.25">
      <c r="A33" s="1671"/>
      <c r="B33" s="1865"/>
      <c r="C33" s="1672"/>
      <c r="D33" s="1863"/>
      <c r="E33" s="1558">
        <f t="shared" si="2"/>
        <v>0</v>
      </c>
      <c r="F33" s="1811">
        <f t="shared" si="3"/>
        <v>0</v>
      </c>
      <c r="G33" s="1812">
        <f t="shared" si="4"/>
        <v>0</v>
      </c>
    </row>
    <row r="34" spans="1:7" x14ac:dyDescent="0.25">
      <c r="A34" s="1671"/>
      <c r="B34" s="1865"/>
      <c r="C34" s="1672"/>
      <c r="D34" s="1863"/>
      <c r="E34" s="1558">
        <f t="shared" si="2"/>
        <v>0</v>
      </c>
      <c r="F34" s="1811">
        <f t="shared" si="3"/>
        <v>0</v>
      </c>
      <c r="G34" s="1812">
        <f t="shared" si="4"/>
        <v>0</v>
      </c>
    </row>
    <row r="35" spans="1:7" x14ac:dyDescent="0.25">
      <c r="A35" s="1671"/>
      <c r="B35" s="1865"/>
      <c r="C35" s="1672"/>
      <c r="D35" s="1863"/>
      <c r="E35" s="1558">
        <f t="shared" si="2"/>
        <v>0</v>
      </c>
      <c r="F35" s="1811">
        <f t="shared" si="3"/>
        <v>0</v>
      </c>
      <c r="G35" s="1812">
        <f t="shared" si="4"/>
        <v>0</v>
      </c>
    </row>
    <row r="36" spans="1:7" x14ac:dyDescent="0.25">
      <c r="A36" s="1671"/>
      <c r="B36" s="1865"/>
      <c r="C36" s="1672"/>
      <c r="D36" s="1863"/>
      <c r="E36" s="1558">
        <f t="shared" si="2"/>
        <v>0</v>
      </c>
      <c r="F36" s="1811">
        <f t="shared" si="3"/>
        <v>0</v>
      </c>
      <c r="G36" s="1812">
        <f t="shared" si="4"/>
        <v>0</v>
      </c>
    </row>
    <row r="37" spans="1:7" x14ac:dyDescent="0.25">
      <c r="A37" s="1671"/>
      <c r="B37" s="1865"/>
      <c r="C37" s="1672"/>
      <c r="D37" s="1863"/>
      <c r="E37" s="1558">
        <f t="shared" si="2"/>
        <v>0</v>
      </c>
      <c r="F37" s="1811">
        <f t="shared" si="3"/>
        <v>0</v>
      </c>
      <c r="G37" s="1812">
        <f t="shared" si="4"/>
        <v>0</v>
      </c>
    </row>
    <row r="38" spans="1:7" x14ac:dyDescent="0.25">
      <c r="A38" s="1671"/>
      <c r="B38" s="1685"/>
      <c r="C38" s="1672"/>
      <c r="D38" s="1863"/>
      <c r="E38" s="1558">
        <f t="shared" si="2"/>
        <v>0</v>
      </c>
      <c r="F38" s="1811">
        <f t="shared" si="3"/>
        <v>0</v>
      </c>
      <c r="G38" s="1812">
        <f t="shared" si="4"/>
        <v>0</v>
      </c>
    </row>
    <row r="39" spans="1:7" x14ac:dyDescent="0.25">
      <c r="A39" s="1671"/>
      <c r="B39" s="1685"/>
      <c r="C39" s="1672"/>
      <c r="D39" s="1863"/>
      <c r="E39" s="1558">
        <f t="shared" si="2"/>
        <v>0</v>
      </c>
      <c r="F39" s="1811">
        <f t="shared" si="3"/>
        <v>0</v>
      </c>
      <c r="G39" s="1812">
        <f t="shared" si="4"/>
        <v>0</v>
      </c>
    </row>
    <row r="40" spans="1:7" x14ac:dyDescent="0.25">
      <c r="A40" s="1671"/>
      <c r="B40" s="1685"/>
      <c r="C40" s="1672"/>
      <c r="D40" s="1863"/>
      <c r="E40" s="1558">
        <f t="shared" si="2"/>
        <v>0</v>
      </c>
      <c r="F40" s="1811">
        <f t="shared" si="3"/>
        <v>0</v>
      </c>
      <c r="G40" s="1812">
        <f t="shared" si="4"/>
        <v>0</v>
      </c>
    </row>
    <row r="41" spans="1:7" x14ac:dyDescent="0.25">
      <c r="A41" s="1671"/>
      <c r="B41" s="1685"/>
      <c r="C41" s="1672"/>
      <c r="D41" s="1863"/>
      <c r="E41" s="1558">
        <f t="shared" si="2"/>
        <v>0</v>
      </c>
      <c r="F41" s="1811">
        <f t="shared" si="3"/>
        <v>0</v>
      </c>
      <c r="G41" s="1812">
        <f t="shared" si="4"/>
        <v>0</v>
      </c>
    </row>
    <row r="42" spans="1:7" x14ac:dyDescent="0.25">
      <c r="A42" s="1671"/>
      <c r="B42" s="1685"/>
      <c r="C42" s="1672"/>
      <c r="D42" s="1863"/>
      <c r="E42" s="1558">
        <f t="shared" si="2"/>
        <v>0</v>
      </c>
      <c r="F42" s="1811">
        <f t="shared" si="3"/>
        <v>0</v>
      </c>
      <c r="G42" s="1812">
        <f t="shared" si="4"/>
        <v>0</v>
      </c>
    </row>
    <row r="43" spans="1:7" x14ac:dyDescent="0.25">
      <c r="A43" s="1671"/>
      <c r="B43" s="1685"/>
      <c r="C43" s="1672"/>
      <c r="D43" s="1863"/>
      <c r="E43" s="1558">
        <f t="shared" si="2"/>
        <v>0</v>
      </c>
      <c r="F43" s="1811">
        <f t="shared" si="3"/>
        <v>0</v>
      </c>
      <c r="G43" s="1812">
        <f t="shared" si="4"/>
        <v>0</v>
      </c>
    </row>
    <row r="44" spans="1:7" x14ac:dyDescent="0.25">
      <c r="A44" s="1671"/>
      <c r="B44" s="1685"/>
      <c r="C44" s="1672"/>
      <c r="D44" s="1863"/>
      <c r="E44" s="1558">
        <f t="shared" si="2"/>
        <v>0</v>
      </c>
      <c r="F44" s="1811">
        <f t="shared" si="3"/>
        <v>0</v>
      </c>
      <c r="G44" s="1812">
        <f t="shared" si="4"/>
        <v>0</v>
      </c>
    </row>
    <row r="45" spans="1:7" x14ac:dyDescent="0.25">
      <c r="A45" s="1671"/>
      <c r="B45" s="1685"/>
      <c r="C45" s="1672"/>
      <c r="D45" s="1863"/>
      <c r="E45" s="1558">
        <f t="shared" si="2"/>
        <v>0</v>
      </c>
      <c r="F45" s="1811">
        <f t="shared" si="3"/>
        <v>0</v>
      </c>
      <c r="G45" s="1812">
        <f t="shared" si="4"/>
        <v>0</v>
      </c>
    </row>
    <row r="46" spans="1:7" x14ac:dyDescent="0.25">
      <c r="A46" s="1671"/>
      <c r="B46" s="1685"/>
      <c r="C46" s="1672"/>
      <c r="D46" s="1863"/>
      <c r="E46" s="1558">
        <f t="shared" si="2"/>
        <v>0</v>
      </c>
      <c r="F46" s="1811">
        <f t="shared" si="3"/>
        <v>0</v>
      </c>
      <c r="G46" s="1812">
        <f t="shared" si="4"/>
        <v>0</v>
      </c>
    </row>
    <row r="47" spans="1:7" x14ac:dyDescent="0.25">
      <c r="A47" s="1671"/>
      <c r="B47" s="1685"/>
      <c r="C47" s="1672"/>
      <c r="D47" s="1863"/>
      <c r="E47" s="1558">
        <f t="shared" si="2"/>
        <v>0</v>
      </c>
      <c r="F47" s="1811">
        <f t="shared" si="3"/>
        <v>0</v>
      </c>
      <c r="G47" s="1812">
        <f t="shared" si="4"/>
        <v>0</v>
      </c>
    </row>
    <row r="48" spans="1:7" x14ac:dyDescent="0.25">
      <c r="A48" s="1671"/>
      <c r="B48" s="1685"/>
      <c r="C48" s="1672"/>
      <c r="D48" s="1863"/>
      <c r="E48" s="1558">
        <f t="shared" si="2"/>
        <v>0</v>
      </c>
      <c r="F48" s="1811">
        <f t="shared" si="3"/>
        <v>0</v>
      </c>
      <c r="G48" s="1812">
        <f t="shared" si="4"/>
        <v>0</v>
      </c>
    </row>
    <row r="49" spans="1:7" x14ac:dyDescent="0.25">
      <c r="A49" s="1671"/>
      <c r="B49" s="1685"/>
      <c r="C49" s="1672"/>
      <c r="D49" s="1863"/>
      <c r="E49" s="1558">
        <f t="shared" si="2"/>
        <v>0</v>
      </c>
      <c r="F49" s="1811">
        <f t="shared" si="3"/>
        <v>0</v>
      </c>
      <c r="G49" s="1812">
        <f t="shared" si="4"/>
        <v>0</v>
      </c>
    </row>
    <row r="50" spans="1:7" x14ac:dyDescent="0.25">
      <c r="A50" s="1671"/>
      <c r="B50" s="1685"/>
      <c r="C50" s="1672"/>
      <c r="D50" s="1863"/>
      <c r="E50" s="1558">
        <f t="shared" si="2"/>
        <v>0</v>
      </c>
      <c r="F50" s="1811">
        <f t="shared" si="3"/>
        <v>0</v>
      </c>
      <c r="G50" s="1812">
        <f t="shared" si="4"/>
        <v>0</v>
      </c>
    </row>
    <row r="51" spans="1:7" x14ac:dyDescent="0.25">
      <c r="A51" s="1671"/>
      <c r="B51" s="1685"/>
      <c r="C51" s="1672"/>
      <c r="D51" s="1863"/>
      <c r="E51" s="1558">
        <f t="shared" si="2"/>
        <v>0</v>
      </c>
      <c r="F51" s="1811">
        <f t="shared" si="3"/>
        <v>0</v>
      </c>
      <c r="G51" s="1812">
        <f t="shared" si="4"/>
        <v>0</v>
      </c>
    </row>
    <row r="52" spans="1:7" x14ac:dyDescent="0.25">
      <c r="A52" s="1671"/>
      <c r="B52" s="1685"/>
      <c r="C52" s="1672"/>
      <c r="D52" s="1863"/>
      <c r="E52" s="1558">
        <f t="shared" si="2"/>
        <v>0</v>
      </c>
      <c r="F52" s="1811">
        <f t="shared" si="3"/>
        <v>0</v>
      </c>
      <c r="G52" s="1812">
        <f t="shared" si="4"/>
        <v>0</v>
      </c>
    </row>
    <row r="53" spans="1:7" x14ac:dyDescent="0.25">
      <c r="A53" s="1671"/>
      <c r="B53" s="1685"/>
      <c r="C53" s="1672"/>
      <c r="D53" s="1863"/>
      <c r="E53" s="1558">
        <f t="shared" si="2"/>
        <v>0</v>
      </c>
      <c r="F53" s="1811">
        <f t="shared" si="3"/>
        <v>0</v>
      </c>
      <c r="G53" s="1812">
        <f t="shared" si="4"/>
        <v>0</v>
      </c>
    </row>
    <row r="54" spans="1:7" x14ac:dyDescent="0.25">
      <c r="A54" s="1671"/>
      <c r="B54" s="1685"/>
      <c r="C54" s="1672"/>
      <c r="D54" s="1863"/>
      <c r="E54" s="1558">
        <f t="shared" si="2"/>
        <v>0</v>
      </c>
      <c r="F54" s="1811">
        <f t="shared" si="3"/>
        <v>0</v>
      </c>
      <c r="G54" s="1812">
        <f t="shared" si="4"/>
        <v>0</v>
      </c>
    </row>
    <row r="55" spans="1:7" x14ac:dyDescent="0.25">
      <c r="A55" s="1671"/>
      <c r="B55" s="1685"/>
      <c r="C55" s="1672"/>
      <c r="D55" s="1863"/>
      <c r="E55" s="1558">
        <f t="shared" si="2"/>
        <v>0</v>
      </c>
      <c r="F55" s="1811">
        <f t="shared" si="3"/>
        <v>0</v>
      </c>
      <c r="G55" s="1812">
        <f t="shared" si="4"/>
        <v>0</v>
      </c>
    </row>
    <row r="56" spans="1:7" x14ac:dyDescent="0.25">
      <c r="A56" s="1671"/>
      <c r="B56" s="1685"/>
      <c r="C56" s="1672"/>
      <c r="D56" s="1863"/>
      <c r="E56" s="1558">
        <f t="shared" si="2"/>
        <v>0</v>
      </c>
      <c r="F56" s="1811">
        <f t="shared" si="3"/>
        <v>0</v>
      </c>
      <c r="G56" s="1812">
        <f t="shared" si="4"/>
        <v>0</v>
      </c>
    </row>
    <row r="57" spans="1:7" x14ac:dyDescent="0.25">
      <c r="A57" s="1671"/>
      <c r="B57" s="1685"/>
      <c r="C57" s="1672"/>
      <c r="D57" s="1863"/>
      <c r="E57" s="1558">
        <f t="shared" si="2"/>
        <v>0</v>
      </c>
      <c r="F57" s="1811">
        <f t="shared" si="3"/>
        <v>0</v>
      </c>
      <c r="G57" s="1812">
        <f t="shared" si="4"/>
        <v>0</v>
      </c>
    </row>
    <row r="58" spans="1:7" x14ac:dyDescent="0.25">
      <c r="A58" s="1671"/>
      <c r="B58" s="1685"/>
      <c r="C58" s="1672"/>
      <c r="D58" s="1863"/>
      <c r="E58" s="1558">
        <f t="shared" si="2"/>
        <v>0</v>
      </c>
      <c r="F58" s="1811">
        <f t="shared" si="3"/>
        <v>0</v>
      </c>
      <c r="G58" s="1812">
        <f t="shared" si="4"/>
        <v>0</v>
      </c>
    </row>
    <row r="59" spans="1:7" x14ac:dyDescent="0.25">
      <c r="A59" s="1671"/>
      <c r="B59" s="1685"/>
      <c r="C59" s="1672"/>
      <c r="D59" s="1863"/>
      <c r="E59" s="1558">
        <f t="shared" si="2"/>
        <v>0</v>
      </c>
      <c r="F59" s="1811">
        <f t="shared" si="3"/>
        <v>0</v>
      </c>
      <c r="G59" s="1812">
        <f t="shared" si="4"/>
        <v>0</v>
      </c>
    </row>
    <row r="60" spans="1:7" x14ac:dyDescent="0.25">
      <c r="A60" s="1671"/>
      <c r="B60" s="1685"/>
      <c r="C60" s="1672"/>
      <c r="D60" s="1863"/>
      <c r="E60" s="1558">
        <f t="shared" si="2"/>
        <v>0</v>
      </c>
      <c r="F60" s="1811">
        <f t="shared" si="3"/>
        <v>0</v>
      </c>
      <c r="G60" s="1812">
        <f t="shared" si="4"/>
        <v>0</v>
      </c>
    </row>
    <row r="61" spans="1:7" x14ac:dyDescent="0.25">
      <c r="A61" s="1671"/>
      <c r="B61" s="1685"/>
      <c r="C61" s="1672"/>
      <c r="D61" s="1863"/>
      <c r="E61" s="1558">
        <f t="shared" si="2"/>
        <v>0</v>
      </c>
      <c r="F61" s="1811">
        <f t="shared" si="3"/>
        <v>0</v>
      </c>
      <c r="G61" s="1812">
        <f t="shared" si="4"/>
        <v>0</v>
      </c>
    </row>
    <row r="62" spans="1:7" x14ac:dyDescent="0.25">
      <c r="A62" s="1671"/>
      <c r="B62" s="1685"/>
      <c r="C62" s="1672"/>
      <c r="D62" s="1863"/>
      <c r="E62" s="1558">
        <f t="shared" si="2"/>
        <v>0</v>
      </c>
      <c r="F62" s="1811">
        <f t="shared" si="3"/>
        <v>0</v>
      </c>
      <c r="G62" s="1812">
        <f t="shared" si="4"/>
        <v>0</v>
      </c>
    </row>
    <row r="63" spans="1:7" x14ac:dyDescent="0.25">
      <c r="A63" s="1671"/>
      <c r="B63" s="1685"/>
      <c r="C63" s="1672"/>
      <c r="D63" s="1863"/>
      <c r="E63" s="1558">
        <f t="shared" si="2"/>
        <v>0</v>
      </c>
      <c r="F63" s="1811">
        <f t="shared" si="3"/>
        <v>0</v>
      </c>
      <c r="G63" s="1812">
        <f t="shared" si="4"/>
        <v>0</v>
      </c>
    </row>
    <row r="64" spans="1:7" x14ac:dyDescent="0.25">
      <c r="A64" s="1673"/>
      <c r="B64" s="1685"/>
      <c r="C64" s="1674"/>
      <c r="D64" s="1863"/>
      <c r="E64" s="1558">
        <f t="shared" si="2"/>
        <v>0</v>
      </c>
      <c r="F64" s="1811">
        <f t="shared" si="3"/>
        <v>0</v>
      </c>
      <c r="G64" s="1812">
        <f t="shared" si="4"/>
        <v>0</v>
      </c>
    </row>
    <row r="65" spans="1:7" x14ac:dyDescent="0.25">
      <c r="A65" s="1671"/>
      <c r="B65" s="1685"/>
      <c r="C65" s="1672"/>
      <c r="D65" s="1863"/>
      <c r="E65" s="1558">
        <f t="shared" si="2"/>
        <v>0</v>
      </c>
      <c r="F65" s="1811">
        <f t="shared" si="3"/>
        <v>0</v>
      </c>
      <c r="G65" s="1812">
        <f t="shared" si="4"/>
        <v>0</v>
      </c>
    </row>
    <row r="66" spans="1:7" x14ac:dyDescent="0.25">
      <c r="A66" s="1671"/>
      <c r="B66" s="1685"/>
      <c r="C66" s="1672"/>
      <c r="D66" s="1863"/>
      <c r="E66" s="1558">
        <f t="shared" si="2"/>
        <v>0</v>
      </c>
      <c r="F66" s="1811">
        <f t="shared" si="3"/>
        <v>0</v>
      </c>
      <c r="G66" s="1812">
        <f t="shared" si="4"/>
        <v>0</v>
      </c>
    </row>
    <row r="67" spans="1:7" x14ac:dyDescent="0.25">
      <c r="A67" s="1671"/>
      <c r="B67" s="1685"/>
      <c r="C67" s="1672"/>
      <c r="D67" s="1863"/>
      <c r="E67" s="1558">
        <f t="shared" si="2"/>
        <v>0</v>
      </c>
      <c r="F67" s="1811">
        <f t="shared" si="3"/>
        <v>0</v>
      </c>
      <c r="G67" s="1812">
        <f t="shared" si="4"/>
        <v>0</v>
      </c>
    </row>
    <row r="68" spans="1:7" x14ac:dyDescent="0.25">
      <c r="A68" s="1671"/>
      <c r="B68" s="1685"/>
      <c r="C68" s="1672"/>
      <c r="D68" s="1863"/>
      <c r="E68" s="1558">
        <f t="shared" si="2"/>
        <v>0</v>
      </c>
      <c r="F68" s="1811">
        <f t="shared" si="3"/>
        <v>0</v>
      </c>
      <c r="G68" s="1812">
        <f t="shared" si="4"/>
        <v>0</v>
      </c>
    </row>
    <row r="69" spans="1:7" x14ac:dyDescent="0.25">
      <c r="A69" s="1671"/>
      <c r="B69" s="1685"/>
      <c r="C69" s="1672"/>
      <c r="D69" s="1863"/>
      <c r="E69" s="1558">
        <f t="shared" si="2"/>
        <v>0</v>
      </c>
      <c r="F69" s="1811">
        <f t="shared" si="3"/>
        <v>0</v>
      </c>
      <c r="G69" s="1812">
        <f t="shared" si="4"/>
        <v>0</v>
      </c>
    </row>
    <row r="70" spans="1:7" x14ac:dyDescent="0.25">
      <c r="A70" s="1671"/>
      <c r="B70" s="1685"/>
      <c r="C70" s="1672"/>
      <c r="D70" s="1863"/>
      <c r="E70" s="1558">
        <f t="shared" si="2"/>
        <v>0</v>
      </c>
      <c r="F70" s="1811">
        <f t="shared" si="3"/>
        <v>0</v>
      </c>
      <c r="G70" s="1812">
        <f t="shared" si="4"/>
        <v>0</v>
      </c>
    </row>
    <row r="71" spans="1:7" x14ac:dyDescent="0.25">
      <c r="A71" s="1671"/>
      <c r="B71" s="1685"/>
      <c r="C71" s="1672"/>
      <c r="D71" s="1863"/>
      <c r="E71" s="1558">
        <f t="shared" si="2"/>
        <v>0</v>
      </c>
      <c r="F71" s="1811">
        <f t="shared" si="3"/>
        <v>0</v>
      </c>
      <c r="G71" s="1812">
        <f t="shared" si="4"/>
        <v>0</v>
      </c>
    </row>
    <row r="72" spans="1:7" x14ac:dyDescent="0.25">
      <c r="A72" s="1671"/>
      <c r="B72" s="1685"/>
      <c r="C72" s="1672"/>
      <c r="D72" s="1863"/>
      <c r="E72" s="1558">
        <f t="shared" si="2"/>
        <v>0</v>
      </c>
      <c r="F72" s="1811">
        <f t="shared" si="3"/>
        <v>0</v>
      </c>
      <c r="G72" s="1812">
        <f t="shared" si="4"/>
        <v>0</v>
      </c>
    </row>
    <row r="73" spans="1:7" x14ac:dyDescent="0.25">
      <c r="A73" s="1671"/>
      <c r="B73" s="1685"/>
      <c r="C73" s="1672"/>
      <c r="D73" s="1863"/>
      <c r="E73" s="1558">
        <f t="shared" ref="E73:E84" si="5">IF(D73&lt;=25000,D73,IF(D73&gt;25000,25000,0))</f>
        <v>0</v>
      </c>
      <c r="F73" s="1811">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2">
        <f t="shared" ref="G73:G84" si="7">IF(F73=0,0,D73-F73)</f>
        <v>0</v>
      </c>
    </row>
    <row r="74" spans="1:7" x14ac:dyDescent="0.25">
      <c r="A74" s="1671"/>
      <c r="B74" s="1685"/>
      <c r="C74" s="1672"/>
      <c r="D74" s="1863"/>
      <c r="E74" s="1558">
        <f t="shared" si="5"/>
        <v>0</v>
      </c>
      <c r="F74" s="1811">
        <f t="shared" si="6"/>
        <v>0</v>
      </c>
      <c r="G74" s="1812">
        <f t="shared" si="7"/>
        <v>0</v>
      </c>
    </row>
    <row r="75" spans="1:7" x14ac:dyDescent="0.25">
      <c r="A75" s="1671"/>
      <c r="B75" s="1685"/>
      <c r="C75" s="1672"/>
      <c r="D75" s="1863"/>
      <c r="E75" s="1558">
        <f t="shared" si="5"/>
        <v>0</v>
      </c>
      <c r="F75" s="1811">
        <f t="shared" si="6"/>
        <v>0</v>
      </c>
      <c r="G75" s="1812">
        <f t="shared" si="7"/>
        <v>0</v>
      </c>
    </row>
    <row r="76" spans="1:7" x14ac:dyDescent="0.25">
      <c r="A76" s="1671"/>
      <c r="B76" s="1685"/>
      <c r="C76" s="1672"/>
      <c r="D76" s="1863"/>
      <c r="E76" s="1558">
        <f t="shared" si="5"/>
        <v>0</v>
      </c>
      <c r="F76" s="1811">
        <f t="shared" si="6"/>
        <v>0</v>
      </c>
      <c r="G76" s="1812">
        <f t="shared" si="7"/>
        <v>0</v>
      </c>
    </row>
    <row r="77" spans="1:7" x14ac:dyDescent="0.25">
      <c r="A77" s="1671"/>
      <c r="B77" s="1685"/>
      <c r="C77" s="1672"/>
      <c r="D77" s="1863"/>
      <c r="E77" s="1558">
        <f t="shared" si="5"/>
        <v>0</v>
      </c>
      <c r="F77" s="1811">
        <f t="shared" si="6"/>
        <v>0</v>
      </c>
      <c r="G77" s="1812">
        <f t="shared" si="7"/>
        <v>0</v>
      </c>
    </row>
    <row r="78" spans="1:7" x14ac:dyDescent="0.25">
      <c r="A78" s="1671"/>
      <c r="B78" s="1685"/>
      <c r="C78" s="1672"/>
      <c r="D78" s="1863"/>
      <c r="E78" s="1558">
        <f t="shared" si="5"/>
        <v>0</v>
      </c>
      <c r="F78" s="1811">
        <f t="shared" si="6"/>
        <v>0</v>
      </c>
      <c r="G78" s="1812">
        <f t="shared" si="7"/>
        <v>0</v>
      </c>
    </row>
    <row r="79" spans="1:7" x14ac:dyDescent="0.25">
      <c r="A79" s="1671"/>
      <c r="B79" s="1685"/>
      <c r="C79" s="1672"/>
      <c r="D79" s="1863"/>
      <c r="E79" s="1558">
        <f t="shared" si="5"/>
        <v>0</v>
      </c>
      <c r="F79" s="1811">
        <f t="shared" si="6"/>
        <v>0</v>
      </c>
      <c r="G79" s="1812">
        <f t="shared" si="7"/>
        <v>0</v>
      </c>
    </row>
    <row r="80" spans="1:7" x14ac:dyDescent="0.25">
      <c r="A80" s="1671"/>
      <c r="B80" s="1685"/>
      <c r="C80" s="1672"/>
      <c r="D80" s="1863"/>
      <c r="E80" s="1558">
        <f t="shared" si="5"/>
        <v>0</v>
      </c>
      <c r="F80" s="1811">
        <f t="shared" si="6"/>
        <v>0</v>
      </c>
      <c r="G80" s="1812">
        <f t="shared" si="7"/>
        <v>0</v>
      </c>
    </row>
    <row r="81" spans="1:7" x14ac:dyDescent="0.25">
      <c r="A81" s="1671"/>
      <c r="B81" s="1685"/>
      <c r="C81" s="1672"/>
      <c r="D81" s="1863"/>
      <c r="E81" s="1558">
        <f t="shared" si="5"/>
        <v>0</v>
      </c>
      <c r="F81" s="1811">
        <f t="shared" si="6"/>
        <v>0</v>
      </c>
      <c r="G81" s="1812">
        <f t="shared" si="7"/>
        <v>0</v>
      </c>
    </row>
    <row r="82" spans="1:7" x14ac:dyDescent="0.25">
      <c r="A82" s="1671"/>
      <c r="B82" s="1685"/>
      <c r="C82" s="1672"/>
      <c r="D82" s="1863"/>
      <c r="E82" s="1558">
        <f t="shared" si="5"/>
        <v>0</v>
      </c>
      <c r="F82" s="1811">
        <f t="shared" si="6"/>
        <v>0</v>
      </c>
      <c r="G82" s="1812">
        <f t="shared" si="7"/>
        <v>0</v>
      </c>
    </row>
    <row r="83" spans="1:7" x14ac:dyDescent="0.25">
      <c r="A83" s="1671"/>
      <c r="B83" s="1685"/>
      <c r="C83" s="1672"/>
      <c r="D83" s="1863"/>
      <c r="E83" s="1558">
        <f t="shared" si="5"/>
        <v>0</v>
      </c>
      <c r="F83" s="1811">
        <f t="shared" si="6"/>
        <v>0</v>
      </c>
      <c r="G83" s="1812">
        <f t="shared" si="7"/>
        <v>0</v>
      </c>
    </row>
    <row r="84" spans="1:7" x14ac:dyDescent="0.25">
      <c r="A84" s="1671"/>
      <c r="B84" s="1685"/>
      <c r="C84" s="1672"/>
      <c r="D84" s="1863"/>
      <c r="E84" s="1558">
        <f t="shared" si="5"/>
        <v>0</v>
      </c>
      <c r="F84" s="1811">
        <f t="shared" si="6"/>
        <v>0</v>
      </c>
      <c r="G84" s="1812">
        <f t="shared" si="7"/>
        <v>0</v>
      </c>
    </row>
    <row r="85" spans="1:7" x14ac:dyDescent="0.25">
      <c r="A85" s="1671"/>
      <c r="B85" s="1685"/>
      <c r="C85" s="1672"/>
      <c r="D85" s="1863"/>
      <c r="E85" s="1558">
        <f t="shared" si="2"/>
        <v>0</v>
      </c>
      <c r="F85" s="1811">
        <f t="shared" si="3"/>
        <v>0</v>
      </c>
      <c r="G85" s="1812">
        <f t="shared" si="4"/>
        <v>0</v>
      </c>
    </row>
    <row r="86" spans="1:7" x14ac:dyDescent="0.25">
      <c r="A86" s="1671"/>
      <c r="B86" s="1685"/>
      <c r="C86" s="1672"/>
      <c r="D86" s="1863"/>
      <c r="E86" s="1558">
        <f t="shared" si="2"/>
        <v>0</v>
      </c>
      <c r="F86" s="1811">
        <f t="shared" si="3"/>
        <v>0</v>
      </c>
      <c r="G86" s="1812">
        <f t="shared" si="4"/>
        <v>0</v>
      </c>
    </row>
    <row r="87" spans="1:7" x14ac:dyDescent="0.25">
      <c r="A87" s="1671"/>
      <c r="B87" s="1685"/>
      <c r="C87" s="1672"/>
      <c r="D87" s="1863"/>
      <c r="E87" s="1558">
        <f t="shared" si="2"/>
        <v>0</v>
      </c>
      <c r="F87" s="1811">
        <f t="shared" si="3"/>
        <v>0</v>
      </c>
      <c r="G87" s="1812">
        <f t="shared" si="4"/>
        <v>0</v>
      </c>
    </row>
    <row r="88" spans="1:7" x14ac:dyDescent="0.25">
      <c r="A88" s="1671"/>
      <c r="B88" s="1685"/>
      <c r="C88" s="1672"/>
      <c r="D88" s="1863"/>
      <c r="E88" s="1558">
        <f t="shared" si="2"/>
        <v>0</v>
      </c>
      <c r="F88" s="1811">
        <f t="shared" si="3"/>
        <v>0</v>
      </c>
      <c r="G88" s="1812">
        <f t="shared" si="4"/>
        <v>0</v>
      </c>
    </row>
    <row r="89" spans="1:7" x14ac:dyDescent="0.25">
      <c r="A89" s="1671"/>
      <c r="B89" s="1685"/>
      <c r="C89" s="1672"/>
      <c r="D89" s="1863"/>
      <c r="E89" s="1558">
        <f t="shared" si="2"/>
        <v>0</v>
      </c>
      <c r="F89" s="1811">
        <f t="shared" si="3"/>
        <v>0</v>
      </c>
      <c r="G89" s="1812">
        <f t="shared" si="4"/>
        <v>0</v>
      </c>
    </row>
    <row r="90" spans="1:7" x14ac:dyDescent="0.25">
      <c r="A90" s="1671"/>
      <c r="B90" s="1685"/>
      <c r="C90" s="1672"/>
      <c r="D90" s="1863"/>
      <c r="E90" s="1558">
        <f t="shared" si="2"/>
        <v>0</v>
      </c>
      <c r="F90" s="1811">
        <f t="shared" si="3"/>
        <v>0</v>
      </c>
      <c r="G90" s="1812">
        <f t="shared" si="4"/>
        <v>0</v>
      </c>
    </row>
    <row r="91" spans="1:7" x14ac:dyDescent="0.25">
      <c r="A91" s="1671"/>
      <c r="B91" s="1685"/>
      <c r="C91" s="1672"/>
      <c r="D91" s="1863"/>
      <c r="E91" s="1558">
        <f t="shared" si="2"/>
        <v>0</v>
      </c>
      <c r="F91" s="1811">
        <f t="shared" si="3"/>
        <v>0</v>
      </c>
      <c r="G91" s="1812">
        <f t="shared" si="4"/>
        <v>0</v>
      </c>
    </row>
    <row r="92" spans="1:7" x14ac:dyDescent="0.25">
      <c r="A92" s="1671"/>
      <c r="B92" s="1685"/>
      <c r="C92" s="1672"/>
      <c r="D92" s="1863"/>
      <c r="E92" s="1558">
        <f t="shared" si="2"/>
        <v>0</v>
      </c>
      <c r="F92" s="1811">
        <f t="shared" si="3"/>
        <v>0</v>
      </c>
      <c r="G92" s="1812">
        <f t="shared" si="4"/>
        <v>0</v>
      </c>
    </row>
    <row r="93" spans="1:7" x14ac:dyDescent="0.25">
      <c r="A93" s="1671"/>
      <c r="B93" s="1685"/>
      <c r="C93" s="1672"/>
      <c r="D93" s="1863"/>
      <c r="E93" s="1558">
        <f t="shared" ref="E93" si="8">IF(D93&lt;=25000,D93,IF(D93&gt;25000,25000,0))</f>
        <v>0</v>
      </c>
      <c r="F93" s="1811">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2">
        <f t="shared" ref="G93" si="10">IF(F93=0,0,D93-F93)</f>
        <v>0</v>
      </c>
    </row>
    <row r="94" spans="1:7" x14ac:dyDescent="0.25">
      <c r="A94" s="1671"/>
      <c r="B94" s="1685"/>
      <c r="C94" s="1672"/>
      <c r="D94" s="1863"/>
      <c r="E94" s="1558">
        <f t="shared" si="2"/>
        <v>0</v>
      </c>
      <c r="F94" s="1811">
        <f t="shared" si="3"/>
        <v>0</v>
      </c>
      <c r="G94" s="1812">
        <f t="shared" si="4"/>
        <v>0</v>
      </c>
    </row>
    <row r="95" spans="1:7" x14ac:dyDescent="0.25">
      <c r="A95" s="1671"/>
      <c r="B95" s="1685"/>
      <c r="C95" s="1672"/>
      <c r="D95" s="1863"/>
      <c r="E95" s="1558">
        <f t="shared" ref="E95:E98" si="11">IF(D95&lt;=25000,D95,IF(D95&gt;25000,25000,0))</f>
        <v>0</v>
      </c>
      <c r="F95" s="1811">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2">
        <f t="shared" ref="G95:G98" si="13">IF(F95=0,0,D95-F95)</f>
        <v>0</v>
      </c>
    </row>
    <row r="96" spans="1:7" x14ac:dyDescent="0.25">
      <c r="A96" s="1671"/>
      <c r="B96" s="1685"/>
      <c r="C96" s="1672"/>
      <c r="D96" s="1863"/>
      <c r="E96" s="1558">
        <f t="shared" si="11"/>
        <v>0</v>
      </c>
      <c r="F96" s="1811">
        <f t="shared" si="12"/>
        <v>0</v>
      </c>
      <c r="G96" s="1812">
        <f t="shared" si="13"/>
        <v>0</v>
      </c>
    </row>
    <row r="97" spans="1:7" x14ac:dyDescent="0.25">
      <c r="A97" s="1671"/>
      <c r="B97" s="1685"/>
      <c r="C97" s="1672"/>
      <c r="D97" s="1863"/>
      <c r="E97" s="1558">
        <f t="shared" si="11"/>
        <v>0</v>
      </c>
      <c r="F97" s="1811">
        <f t="shared" si="12"/>
        <v>0</v>
      </c>
      <c r="G97" s="1812">
        <f t="shared" si="13"/>
        <v>0</v>
      </c>
    </row>
    <row r="98" spans="1:7" x14ac:dyDescent="0.25">
      <c r="A98" s="1671"/>
      <c r="B98" s="1685"/>
      <c r="C98" s="1672"/>
      <c r="D98" s="1863"/>
      <c r="E98" s="1558">
        <f t="shared" si="11"/>
        <v>0</v>
      </c>
      <c r="F98" s="1811">
        <f t="shared" si="12"/>
        <v>0</v>
      </c>
      <c r="G98" s="1812">
        <f t="shared" si="13"/>
        <v>0</v>
      </c>
    </row>
    <row r="99" spans="1:7" x14ac:dyDescent="0.25">
      <c r="A99" s="1671"/>
      <c r="B99" s="1685"/>
      <c r="C99" s="1672"/>
      <c r="D99" s="1863"/>
      <c r="E99" s="1558">
        <f t="shared" ref="E99" si="14">IF(D99&lt;=25000,D99,IF(D99&gt;25000,25000,0))</f>
        <v>0</v>
      </c>
      <c r="F99" s="1811">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2">
        <f t="shared" ref="G99" si="16">IF(F99=0,0,D99-F99)</f>
        <v>0</v>
      </c>
    </row>
    <row r="100" spans="1:7" x14ac:dyDescent="0.25">
      <c r="A100" s="1671"/>
      <c r="B100" s="1685"/>
      <c r="C100" s="1672"/>
      <c r="D100" s="1863"/>
      <c r="E100" s="1558">
        <f t="shared" ref="E100:E112" si="17">IF(D100&lt;=25000,D100,IF(D100&gt;25000,25000,0))</f>
        <v>0</v>
      </c>
      <c r="F100" s="1811">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2">
        <f t="shared" ref="G100:G112" si="19">IF(F100=0,0,D100-F100)</f>
        <v>0</v>
      </c>
    </row>
    <row r="101" spans="1:7" x14ac:dyDescent="0.25">
      <c r="A101" s="1671"/>
      <c r="B101" s="1685"/>
      <c r="C101" s="1672"/>
      <c r="D101" s="1863"/>
      <c r="E101" s="1558">
        <f t="shared" si="17"/>
        <v>0</v>
      </c>
      <c r="F101" s="1811">
        <f t="shared" si="18"/>
        <v>0</v>
      </c>
      <c r="G101" s="1812">
        <f t="shared" si="19"/>
        <v>0</v>
      </c>
    </row>
    <row r="102" spans="1:7" x14ac:dyDescent="0.25">
      <c r="A102" s="1671"/>
      <c r="B102" s="1685"/>
      <c r="C102" s="1672"/>
      <c r="D102" s="1863"/>
      <c r="E102" s="1558">
        <f t="shared" si="17"/>
        <v>0</v>
      </c>
      <c r="F102" s="1811">
        <f t="shared" si="18"/>
        <v>0</v>
      </c>
      <c r="G102" s="1812">
        <f t="shared" si="19"/>
        <v>0</v>
      </c>
    </row>
    <row r="103" spans="1:7" x14ac:dyDescent="0.25">
      <c r="A103" s="1671"/>
      <c r="B103" s="1685"/>
      <c r="C103" s="1672"/>
      <c r="D103" s="1863"/>
      <c r="E103" s="1558">
        <f t="shared" si="17"/>
        <v>0</v>
      </c>
      <c r="F103" s="1811">
        <f t="shared" si="18"/>
        <v>0</v>
      </c>
      <c r="G103" s="1812">
        <f t="shared" si="19"/>
        <v>0</v>
      </c>
    </row>
    <row r="104" spans="1:7" x14ac:dyDescent="0.25">
      <c r="A104" s="1671"/>
      <c r="B104" s="1685"/>
      <c r="C104" s="1672"/>
      <c r="D104" s="1863"/>
      <c r="E104" s="1558">
        <f t="shared" si="17"/>
        <v>0</v>
      </c>
      <c r="F104" s="1811">
        <f t="shared" si="18"/>
        <v>0</v>
      </c>
      <c r="G104" s="1812">
        <f t="shared" si="19"/>
        <v>0</v>
      </c>
    </row>
    <row r="105" spans="1:7" x14ac:dyDescent="0.25">
      <c r="A105" s="1671"/>
      <c r="B105" s="1685"/>
      <c r="C105" s="1672"/>
      <c r="D105" s="1863"/>
      <c r="E105" s="1558">
        <f t="shared" si="17"/>
        <v>0</v>
      </c>
      <c r="F105" s="1811">
        <f t="shared" si="18"/>
        <v>0</v>
      </c>
      <c r="G105" s="1812">
        <f t="shared" si="19"/>
        <v>0</v>
      </c>
    </row>
    <row r="106" spans="1:7" x14ac:dyDescent="0.25">
      <c r="A106" s="1671"/>
      <c r="B106" s="1685"/>
      <c r="C106" s="1672"/>
      <c r="D106" s="1863"/>
      <c r="E106" s="1558">
        <f t="shared" si="17"/>
        <v>0</v>
      </c>
      <c r="F106" s="1811">
        <f t="shared" si="18"/>
        <v>0</v>
      </c>
      <c r="G106" s="1812">
        <f t="shared" si="19"/>
        <v>0</v>
      </c>
    </row>
    <row r="107" spans="1:7" x14ac:dyDescent="0.25">
      <c r="A107" s="1671"/>
      <c r="B107" s="1685"/>
      <c r="C107" s="1672"/>
      <c r="D107" s="1863"/>
      <c r="E107" s="1558">
        <f t="shared" si="17"/>
        <v>0</v>
      </c>
      <c r="F107" s="1811">
        <f t="shared" si="18"/>
        <v>0</v>
      </c>
      <c r="G107" s="1812">
        <f t="shared" si="19"/>
        <v>0</v>
      </c>
    </row>
    <row r="108" spans="1:7" x14ac:dyDescent="0.25">
      <c r="A108" s="1671"/>
      <c r="B108" s="1685"/>
      <c r="C108" s="1672"/>
      <c r="D108" s="1863"/>
      <c r="E108" s="1558">
        <f t="shared" si="17"/>
        <v>0</v>
      </c>
      <c r="F108" s="1811">
        <f t="shared" si="18"/>
        <v>0</v>
      </c>
      <c r="G108" s="1812">
        <f t="shared" si="19"/>
        <v>0</v>
      </c>
    </row>
    <row r="109" spans="1:7" x14ac:dyDescent="0.25">
      <c r="A109" s="1671"/>
      <c r="B109" s="1685"/>
      <c r="C109" s="1672"/>
      <c r="D109" s="1863"/>
      <c r="E109" s="1558">
        <f t="shared" si="17"/>
        <v>0</v>
      </c>
      <c r="F109" s="1811">
        <f t="shared" si="18"/>
        <v>0</v>
      </c>
      <c r="G109" s="1812">
        <f t="shared" si="19"/>
        <v>0</v>
      </c>
    </row>
    <row r="110" spans="1:7" x14ac:dyDescent="0.25">
      <c r="A110" s="1671"/>
      <c r="B110" s="1685"/>
      <c r="C110" s="1672"/>
      <c r="D110" s="1863"/>
      <c r="E110" s="1558">
        <f t="shared" si="17"/>
        <v>0</v>
      </c>
      <c r="F110" s="1811">
        <f t="shared" si="18"/>
        <v>0</v>
      </c>
      <c r="G110" s="1812">
        <f t="shared" si="19"/>
        <v>0</v>
      </c>
    </row>
    <row r="111" spans="1:7" x14ac:dyDescent="0.25">
      <c r="A111" s="1671"/>
      <c r="B111" s="1685"/>
      <c r="C111" s="1672"/>
      <c r="D111" s="1863"/>
      <c r="E111" s="1558">
        <f t="shared" si="17"/>
        <v>0</v>
      </c>
      <c r="F111" s="1811">
        <f t="shared" si="18"/>
        <v>0</v>
      </c>
      <c r="G111" s="1812">
        <f t="shared" si="19"/>
        <v>0</v>
      </c>
    </row>
    <row r="112" spans="1:7" x14ac:dyDescent="0.25">
      <c r="A112" s="1671"/>
      <c r="B112" s="1685"/>
      <c r="C112" s="1672"/>
      <c r="D112" s="1863"/>
      <c r="E112" s="1558">
        <f t="shared" si="17"/>
        <v>0</v>
      </c>
      <c r="F112" s="1811">
        <f t="shared" si="18"/>
        <v>0</v>
      </c>
      <c r="G112" s="1812">
        <f t="shared" si="19"/>
        <v>0</v>
      </c>
    </row>
    <row r="113" spans="1:7" x14ac:dyDescent="0.25">
      <c r="A113" s="1671"/>
      <c r="B113" s="1685"/>
      <c r="C113" s="1672"/>
      <c r="D113" s="1863"/>
      <c r="E113" s="1558">
        <f t="shared" ref="E113:E125" si="20">IF(D113&lt;=25000,D113,IF(D113&gt;25000,25000,0))</f>
        <v>0</v>
      </c>
      <c r="F113" s="1811">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2">
        <f t="shared" ref="G113:G125" si="22">IF(F113=0,0,D113-F113)</f>
        <v>0</v>
      </c>
    </row>
    <row r="114" spans="1:7" x14ac:dyDescent="0.25">
      <c r="A114" s="1671"/>
      <c r="B114" s="1685"/>
      <c r="C114" s="1672"/>
      <c r="D114" s="1863"/>
      <c r="E114" s="1558">
        <f t="shared" si="20"/>
        <v>0</v>
      </c>
      <c r="F114" s="1811">
        <f t="shared" si="21"/>
        <v>0</v>
      </c>
      <c r="G114" s="1812">
        <f t="shared" si="22"/>
        <v>0</v>
      </c>
    </row>
    <row r="115" spans="1:7" x14ac:dyDescent="0.25">
      <c r="A115" s="1671"/>
      <c r="B115" s="1685"/>
      <c r="C115" s="1672"/>
      <c r="D115" s="1863"/>
      <c r="E115" s="1558">
        <f t="shared" si="20"/>
        <v>0</v>
      </c>
      <c r="F115" s="1811">
        <f t="shared" si="21"/>
        <v>0</v>
      </c>
      <c r="G115" s="1812">
        <f t="shared" si="22"/>
        <v>0</v>
      </c>
    </row>
    <row r="116" spans="1:7" x14ac:dyDescent="0.25">
      <c r="A116" s="1671"/>
      <c r="B116" s="1685"/>
      <c r="C116" s="1672"/>
      <c r="D116" s="1863"/>
      <c r="E116" s="1558">
        <f t="shared" si="20"/>
        <v>0</v>
      </c>
      <c r="F116" s="1811">
        <f t="shared" si="21"/>
        <v>0</v>
      </c>
      <c r="G116" s="1812">
        <f t="shared" si="22"/>
        <v>0</v>
      </c>
    </row>
    <row r="117" spans="1:7" x14ac:dyDescent="0.25">
      <c r="A117" s="1671"/>
      <c r="B117" s="1685"/>
      <c r="C117" s="1672"/>
      <c r="D117" s="1863"/>
      <c r="E117" s="1558">
        <f t="shared" si="20"/>
        <v>0</v>
      </c>
      <c r="F117" s="1811">
        <f t="shared" si="21"/>
        <v>0</v>
      </c>
      <c r="G117" s="1812">
        <f t="shared" si="22"/>
        <v>0</v>
      </c>
    </row>
    <row r="118" spans="1:7" x14ac:dyDescent="0.25">
      <c r="A118" s="1671"/>
      <c r="B118" s="1685"/>
      <c r="C118" s="1672"/>
      <c r="D118" s="1863"/>
      <c r="E118" s="1558">
        <f t="shared" si="20"/>
        <v>0</v>
      </c>
      <c r="F118" s="1811">
        <f t="shared" si="21"/>
        <v>0</v>
      </c>
      <c r="G118" s="1812">
        <f t="shared" si="22"/>
        <v>0</v>
      </c>
    </row>
    <row r="119" spans="1:7" x14ac:dyDescent="0.25">
      <c r="A119" s="1671"/>
      <c r="B119" s="1685"/>
      <c r="C119" s="1672"/>
      <c r="D119" s="1863"/>
      <c r="E119" s="1558">
        <f t="shared" si="20"/>
        <v>0</v>
      </c>
      <c r="F119" s="1811">
        <f t="shared" si="21"/>
        <v>0</v>
      </c>
      <c r="G119" s="1812">
        <f t="shared" si="22"/>
        <v>0</v>
      </c>
    </row>
    <row r="120" spans="1:7" x14ac:dyDescent="0.25">
      <c r="A120" s="1671"/>
      <c r="B120" s="1685"/>
      <c r="C120" s="1672"/>
      <c r="D120" s="1863"/>
      <c r="E120" s="1558">
        <f t="shared" si="20"/>
        <v>0</v>
      </c>
      <c r="F120" s="1811">
        <f t="shared" si="21"/>
        <v>0</v>
      </c>
      <c r="G120" s="1812">
        <f t="shared" si="22"/>
        <v>0</v>
      </c>
    </row>
    <row r="121" spans="1:7" x14ac:dyDescent="0.25">
      <c r="A121" s="1671"/>
      <c r="B121" s="1685"/>
      <c r="C121" s="1672"/>
      <c r="D121" s="1863"/>
      <c r="E121" s="1558">
        <f t="shared" si="20"/>
        <v>0</v>
      </c>
      <c r="F121" s="1811">
        <f t="shared" si="21"/>
        <v>0</v>
      </c>
      <c r="G121" s="1812">
        <f t="shared" si="22"/>
        <v>0</v>
      </c>
    </row>
    <row r="122" spans="1:7" x14ac:dyDescent="0.25">
      <c r="A122" s="1671"/>
      <c r="B122" s="1685"/>
      <c r="C122" s="1672"/>
      <c r="D122" s="1863"/>
      <c r="E122" s="1558">
        <f t="shared" si="20"/>
        <v>0</v>
      </c>
      <c r="F122" s="1811">
        <f t="shared" si="21"/>
        <v>0</v>
      </c>
      <c r="G122" s="1812">
        <f t="shared" si="22"/>
        <v>0</v>
      </c>
    </row>
    <row r="123" spans="1:7" x14ac:dyDescent="0.25">
      <c r="A123" s="1671"/>
      <c r="B123" s="1685"/>
      <c r="C123" s="1672"/>
      <c r="D123" s="1863"/>
      <c r="E123" s="1558">
        <f t="shared" si="20"/>
        <v>0</v>
      </c>
      <c r="F123" s="1811">
        <f t="shared" si="21"/>
        <v>0</v>
      </c>
      <c r="G123" s="1812">
        <f t="shared" si="22"/>
        <v>0</v>
      </c>
    </row>
    <row r="124" spans="1:7" x14ac:dyDescent="0.25">
      <c r="A124" s="1671"/>
      <c r="B124" s="1685"/>
      <c r="C124" s="1672"/>
      <c r="D124" s="1863"/>
      <c r="E124" s="1558">
        <f t="shared" si="20"/>
        <v>0</v>
      </c>
      <c r="F124" s="1811">
        <f t="shared" si="21"/>
        <v>0</v>
      </c>
      <c r="G124" s="1812">
        <f t="shared" si="22"/>
        <v>0</v>
      </c>
    </row>
    <row r="125" spans="1:7" x14ac:dyDescent="0.25">
      <c r="A125" s="1671"/>
      <c r="B125" s="1685"/>
      <c r="C125" s="1672"/>
      <c r="D125" s="1863"/>
      <c r="E125" s="1558">
        <f t="shared" si="20"/>
        <v>0</v>
      </c>
      <c r="F125" s="1811">
        <f t="shared" si="21"/>
        <v>0</v>
      </c>
      <c r="G125" s="1812">
        <f t="shared" si="22"/>
        <v>0</v>
      </c>
    </row>
    <row r="126" spans="1:7" x14ac:dyDescent="0.25">
      <c r="A126" s="1671"/>
      <c r="B126" s="1685"/>
      <c r="C126" s="1672"/>
      <c r="D126" s="1863"/>
      <c r="E126" s="1558">
        <f t="shared" ref="E126:E134" si="23">IF(D126&lt;=25000,D126,IF(D126&gt;25000,25000,0))</f>
        <v>0</v>
      </c>
      <c r="F126" s="1811">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2">
        <f t="shared" ref="G126:G134" si="25">IF(F126=0,0,D126-F126)</f>
        <v>0</v>
      </c>
    </row>
    <row r="127" spans="1:7" x14ac:dyDescent="0.25">
      <c r="A127" s="1671"/>
      <c r="B127" s="1685"/>
      <c r="C127" s="1672"/>
      <c r="D127" s="1863"/>
      <c r="E127" s="1558">
        <f t="shared" si="23"/>
        <v>0</v>
      </c>
      <c r="F127" s="1811">
        <f t="shared" si="24"/>
        <v>0</v>
      </c>
      <c r="G127" s="1812">
        <f t="shared" si="25"/>
        <v>0</v>
      </c>
    </row>
    <row r="128" spans="1:7" x14ac:dyDescent="0.25">
      <c r="A128" s="1671"/>
      <c r="B128" s="1685"/>
      <c r="C128" s="1672"/>
      <c r="D128" s="1863"/>
      <c r="E128" s="1558">
        <f t="shared" si="23"/>
        <v>0</v>
      </c>
      <c r="F128" s="1811">
        <f t="shared" si="24"/>
        <v>0</v>
      </c>
      <c r="G128" s="1812">
        <f t="shared" si="25"/>
        <v>0</v>
      </c>
    </row>
    <row r="129" spans="1:7" x14ac:dyDescent="0.25">
      <c r="A129" s="1671"/>
      <c r="B129" s="1685"/>
      <c r="C129" s="1672"/>
      <c r="D129" s="1863"/>
      <c r="E129" s="1558">
        <f t="shared" si="23"/>
        <v>0</v>
      </c>
      <c r="F129" s="1811">
        <f t="shared" si="24"/>
        <v>0</v>
      </c>
      <c r="G129" s="1812">
        <f t="shared" si="25"/>
        <v>0</v>
      </c>
    </row>
    <row r="130" spans="1:7" x14ac:dyDescent="0.25">
      <c r="A130" s="1671"/>
      <c r="B130" s="1685"/>
      <c r="C130" s="1672"/>
      <c r="D130" s="1863"/>
      <c r="E130" s="1558">
        <f t="shared" si="23"/>
        <v>0</v>
      </c>
      <c r="F130" s="1811">
        <f t="shared" si="24"/>
        <v>0</v>
      </c>
      <c r="G130" s="1812">
        <f t="shared" si="25"/>
        <v>0</v>
      </c>
    </row>
    <row r="131" spans="1:7" x14ac:dyDescent="0.25">
      <c r="A131" s="1671"/>
      <c r="B131" s="1856"/>
      <c r="C131" s="1672"/>
      <c r="D131" s="1863"/>
      <c r="E131" s="1558">
        <f t="shared" si="23"/>
        <v>0</v>
      </c>
      <c r="F131" s="1811">
        <f t="shared" si="24"/>
        <v>0</v>
      </c>
      <c r="G131" s="1812">
        <f t="shared" si="25"/>
        <v>0</v>
      </c>
    </row>
    <row r="132" spans="1:7" x14ac:dyDescent="0.25">
      <c r="A132" s="1671"/>
      <c r="B132" s="1856"/>
      <c r="C132" s="1672"/>
      <c r="D132" s="1863"/>
      <c r="E132" s="1558">
        <f t="shared" si="23"/>
        <v>0</v>
      </c>
      <c r="F132" s="1811">
        <f t="shared" si="24"/>
        <v>0</v>
      </c>
      <c r="G132" s="1812">
        <f t="shared" si="25"/>
        <v>0</v>
      </c>
    </row>
    <row r="133" spans="1:7" x14ac:dyDescent="0.25">
      <c r="A133" s="1671"/>
      <c r="B133" s="1685"/>
      <c r="C133" s="1672"/>
      <c r="D133" s="1863"/>
      <c r="E133" s="1558">
        <f t="shared" si="23"/>
        <v>0</v>
      </c>
      <c r="F133" s="1811">
        <f t="shared" si="24"/>
        <v>0</v>
      </c>
      <c r="G133" s="1812">
        <f t="shared" si="25"/>
        <v>0</v>
      </c>
    </row>
    <row r="134" spans="1:7" x14ac:dyDescent="0.25">
      <c r="A134" s="1671"/>
      <c r="B134" s="1685"/>
      <c r="C134" s="1672"/>
      <c r="D134" s="1863"/>
      <c r="E134" s="1558">
        <f t="shared" si="23"/>
        <v>0</v>
      </c>
      <c r="F134" s="1811">
        <f t="shared" si="24"/>
        <v>0</v>
      </c>
      <c r="G134" s="1812">
        <f t="shared" si="25"/>
        <v>0</v>
      </c>
    </row>
    <row r="135" spans="1:7" x14ac:dyDescent="0.25">
      <c r="A135" s="1671"/>
      <c r="B135" s="1685"/>
      <c r="C135" s="1672"/>
      <c r="D135" s="1863"/>
      <c r="E135" s="1558">
        <f t="shared" ref="E135:E139" si="26">IF(D135&lt;=25000,D135,IF(D135&gt;25000,25000,0))</f>
        <v>0</v>
      </c>
      <c r="F135" s="1811">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2">
        <f t="shared" ref="G135:G139" si="28">IF(F135=0,0,D135-F135)</f>
        <v>0</v>
      </c>
    </row>
    <row r="136" spans="1:7" x14ac:dyDescent="0.25">
      <c r="A136" s="1671"/>
      <c r="B136" s="1685"/>
      <c r="C136" s="1672"/>
      <c r="D136" s="1863"/>
      <c r="E136" s="1558">
        <f t="shared" si="26"/>
        <v>0</v>
      </c>
      <c r="F136" s="1811">
        <f t="shared" si="27"/>
        <v>0</v>
      </c>
      <c r="G136" s="1812">
        <f t="shared" si="28"/>
        <v>0</v>
      </c>
    </row>
    <row r="137" spans="1:7" x14ac:dyDescent="0.25">
      <c r="A137" s="1671"/>
      <c r="B137" s="1685"/>
      <c r="C137" s="1672"/>
      <c r="D137" s="1863"/>
      <c r="E137" s="1558">
        <f t="shared" si="26"/>
        <v>0</v>
      </c>
      <c r="F137" s="1811">
        <f t="shared" si="27"/>
        <v>0</v>
      </c>
      <c r="G137" s="1812">
        <f t="shared" si="28"/>
        <v>0</v>
      </c>
    </row>
    <row r="138" spans="1:7" x14ac:dyDescent="0.25">
      <c r="A138" s="1671"/>
      <c r="B138" s="1685"/>
      <c r="C138" s="1672"/>
      <c r="D138" s="1863"/>
      <c r="E138" s="1558">
        <f t="shared" si="26"/>
        <v>0</v>
      </c>
      <c r="F138" s="1811">
        <f t="shared" si="27"/>
        <v>0</v>
      </c>
      <c r="G138" s="1812">
        <f t="shared" si="28"/>
        <v>0</v>
      </c>
    </row>
    <row r="139" spans="1:7" x14ac:dyDescent="0.25">
      <c r="A139" s="1671"/>
      <c r="B139" s="1685"/>
      <c r="C139" s="1672"/>
      <c r="D139" s="1863"/>
      <c r="E139" s="1558">
        <f t="shared" si="26"/>
        <v>0</v>
      </c>
      <c r="F139" s="1811">
        <f t="shared" si="27"/>
        <v>0</v>
      </c>
      <c r="G139" s="1812">
        <f t="shared" si="28"/>
        <v>0</v>
      </c>
    </row>
    <row r="140" spans="1:7" x14ac:dyDescent="0.25">
      <c r="A140" s="1671"/>
      <c r="B140" s="1684"/>
      <c r="C140" s="1672"/>
      <c r="D140" s="1863"/>
      <c r="E140" s="1558">
        <f t="shared" si="2"/>
        <v>0</v>
      </c>
      <c r="F140" s="1811">
        <f t="shared" si="3"/>
        <v>0</v>
      </c>
      <c r="G140" s="1812">
        <f t="shared" si="4"/>
        <v>0</v>
      </c>
    </row>
    <row r="141" spans="1:7" x14ac:dyDescent="0.25">
      <c r="A141" s="1815" t="s">
        <v>158</v>
      </c>
      <c r="B141" s="1816"/>
      <c r="C141" s="1817"/>
      <c r="D141" s="1813">
        <f>SUM(D17:D140)</f>
        <v>0</v>
      </c>
      <c r="E141" s="1559">
        <f t="shared" si="1"/>
        <v>0</v>
      </c>
      <c r="F141" s="1813">
        <f>SUM(F17:F140)</f>
        <v>0</v>
      </c>
      <c r="G141" s="1814">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2" t="s">
        <v>1177</v>
      </c>
      <c r="B1" s="1653"/>
      <c r="C1" s="1654"/>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537" t="s">
        <v>1778</v>
      </c>
      <c r="B5" s="2538"/>
      <c r="C5" s="2538"/>
      <c r="D5" s="2538"/>
      <c r="E5" s="2538"/>
      <c r="F5" s="2538"/>
      <c r="G5" s="2539"/>
      <c r="H5" s="252"/>
      <c r="I5" s="608"/>
    </row>
    <row r="6" spans="1:9" s="667" customFormat="1" x14ac:dyDescent="0.2">
      <c r="A6" s="1655"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2072</v>
      </c>
      <c r="B10" s="970"/>
      <c r="C10" s="975"/>
      <c r="D10" s="971"/>
      <c r="E10" s="972"/>
      <c r="F10" s="973"/>
      <c r="G10" s="974"/>
      <c r="H10" s="162"/>
      <c r="I10" s="162"/>
    </row>
    <row r="11" spans="1:9" s="667" customFormat="1" ht="22.5" customHeight="1" x14ac:dyDescent="0.2">
      <c r="A11" s="2542" t="s">
        <v>1941</v>
      </c>
      <c r="B11" s="2543"/>
      <c r="C11" s="2543"/>
      <c r="D11" s="2544"/>
      <c r="E11" s="976">
        <v>2236.65</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6" t="s">
        <v>553</v>
      </c>
      <c r="E17" s="1657"/>
      <c r="F17" s="1656" t="s">
        <v>453</v>
      </c>
      <c r="G17" s="1658"/>
      <c r="H17" s="162"/>
      <c r="I17" s="162"/>
    </row>
    <row r="18" spans="1:9" s="259" customFormat="1" ht="11.25" x14ac:dyDescent="0.2">
      <c r="A18" s="987"/>
      <c r="C18" s="988" t="s">
        <v>454</v>
      </c>
      <c r="D18" s="1659" t="s">
        <v>455</v>
      </c>
      <c r="E18" s="1659" t="s">
        <v>55</v>
      </c>
      <c r="F18" s="1659" t="s">
        <v>455</v>
      </c>
      <c r="G18" s="1659" t="s">
        <v>55</v>
      </c>
      <c r="H18" s="178"/>
      <c r="I18" s="178"/>
    </row>
    <row r="19" spans="1:9" s="667" customFormat="1" ht="12" customHeight="1" x14ac:dyDescent="0.2">
      <c r="A19" s="989" t="s">
        <v>476</v>
      </c>
      <c r="B19" s="990"/>
      <c r="C19" s="991" t="s">
        <v>591</v>
      </c>
      <c r="D19" s="1818"/>
      <c r="E19" s="1819">
        <f>'Expenditures 15-22'!K33-SUM('Expenditures 15-22'!G33,'Expenditures 15-22'!I33)+'Expenditures 15-22'!D229</f>
        <v>2626599</v>
      </c>
      <c r="F19" s="1818"/>
      <c r="G19" s="1820">
        <f>'Expenditures 15-22'!K33-SUM('Expenditures 15-22'!G33,'Expenditures 15-22'!I33)+'Expenditures 15-22'!D229</f>
        <v>2626599</v>
      </c>
      <c r="H19" s="986"/>
      <c r="I19" s="162"/>
    </row>
    <row r="20" spans="1:9" s="667" customFormat="1" ht="12" customHeight="1" x14ac:dyDescent="0.2">
      <c r="A20" s="989" t="s">
        <v>56</v>
      </c>
      <c r="B20" s="990"/>
      <c r="C20" s="992"/>
      <c r="D20" s="1821"/>
      <c r="E20" s="1821"/>
      <c r="F20" s="1821"/>
      <c r="G20" s="1822"/>
      <c r="H20" s="986"/>
      <c r="I20" s="162"/>
    </row>
    <row r="21" spans="1:9" s="667" customFormat="1" ht="12" customHeight="1" x14ac:dyDescent="0.2">
      <c r="A21" s="993" t="s">
        <v>421</v>
      </c>
      <c r="B21" s="994"/>
      <c r="C21" s="992">
        <v>2100</v>
      </c>
      <c r="D21" s="1821"/>
      <c r="E21" s="1823">
        <f>'Expenditures 15-22'!K42-SUM('Expenditures 15-22'!G42,'Expenditures 15-22'!I42)+'Expenditures 15-22'!K120-SUM('Expenditures 15-22'!G120,'Expenditures 15-22'!I120)+'Expenditures 15-22'!K180-SUM('Expenditures 15-22'!G180,'Expenditures 15-22'!I180)+'Expenditures 15-22'!D238</f>
        <v>1642520</v>
      </c>
      <c r="F21" s="1821"/>
      <c r="G21" s="1824">
        <f>'Expenditures 15-22'!K42-SUM('Expenditures 15-22'!G42,'Expenditures 15-22'!I42)+'Expenditures 15-22'!K120-SUM('Expenditures 15-22'!G120,'Expenditures 15-22'!I120)+'Expenditures 15-22'!K180-SUM('Expenditures 15-22'!G180,'Expenditures 15-22'!I180)+'Expenditures 15-22'!D238</f>
        <v>1642520</v>
      </c>
      <c r="H21" s="986"/>
      <c r="I21" s="162"/>
    </row>
    <row r="22" spans="1:9" s="667" customFormat="1" ht="12" customHeight="1" x14ac:dyDescent="0.2">
      <c r="A22" s="993" t="s">
        <v>585</v>
      </c>
      <c r="B22" s="994"/>
      <c r="C22" s="992">
        <v>2200</v>
      </c>
      <c r="D22" s="1821"/>
      <c r="E22" s="1823">
        <f>'Expenditures 15-22'!K47-SUM('Expenditures 15-22'!G47,'Expenditures 15-22'!I47)+'Expenditures 15-22'!D243</f>
        <v>137426</v>
      </c>
      <c r="F22" s="1821"/>
      <c r="G22" s="1824">
        <f>'Expenditures 15-22'!K47-SUM('Expenditures 15-22'!G47,'Expenditures 15-22'!I47)+'Expenditures 15-22'!D243</f>
        <v>137426</v>
      </c>
      <c r="H22" s="986"/>
      <c r="I22" s="162"/>
    </row>
    <row r="23" spans="1:9" s="667" customFormat="1" ht="12" customHeight="1" x14ac:dyDescent="0.2">
      <c r="A23" s="993" t="s">
        <v>586</v>
      </c>
      <c r="B23" s="994"/>
      <c r="C23" s="992">
        <v>2300</v>
      </c>
      <c r="D23" s="1821"/>
      <c r="E23" s="1823">
        <f>'Expenditures 15-22'!K53-SUM('Expenditures 15-22'!G53,'Expenditures 15-22'!I53)+'Expenditures 15-22'!D257+'Expenditures 15-22'!K330-SUM('Expenditures 15-22'!G330,'Expenditures 15-22'!I330)</f>
        <v>693069</v>
      </c>
      <c r="F23" s="1821"/>
      <c r="G23" s="1823">
        <f>'Expenditures 15-22'!K53-SUM('Expenditures 15-22'!G53,'Expenditures 15-22'!I53)+'Expenditures 15-22'!D257+'Expenditures 15-22'!K330-SUM('Expenditures 15-22'!G330,'Expenditures 15-22'!I330)</f>
        <v>693069</v>
      </c>
      <c r="H23" s="986"/>
      <c r="I23" s="162"/>
    </row>
    <row r="24" spans="1:9" s="667" customFormat="1" ht="12" customHeight="1" x14ac:dyDescent="0.2">
      <c r="A24" s="993" t="s">
        <v>587</v>
      </c>
      <c r="B24" s="994"/>
      <c r="C24" s="992">
        <v>2400</v>
      </c>
      <c r="D24" s="1821"/>
      <c r="E24" s="1823">
        <f>'Expenditures 15-22'!K57-SUM('Expenditures 15-22'!G57,'Expenditures 15-22'!I57)+'Expenditures 15-22'!D261</f>
        <v>34128</v>
      </c>
      <c r="F24" s="1821"/>
      <c r="G24" s="1824">
        <f>'Expenditures 15-22'!K57-SUM('Expenditures 15-22'!G57,'Expenditures 15-22'!I57)+'Expenditures 15-22'!D261</f>
        <v>34128</v>
      </c>
      <c r="H24" s="986"/>
      <c r="I24" s="162"/>
    </row>
    <row r="25" spans="1:9" s="667" customFormat="1" ht="12" customHeight="1" x14ac:dyDescent="0.2">
      <c r="A25" s="989" t="s">
        <v>588</v>
      </c>
      <c r="B25" s="995"/>
      <c r="C25" s="992"/>
      <c r="D25" s="1821"/>
      <c r="E25" s="1823"/>
      <c r="F25" s="1821"/>
      <c r="G25" s="1824"/>
      <c r="H25" s="986"/>
      <c r="I25" s="162"/>
    </row>
    <row r="26" spans="1:9" s="667" customFormat="1" ht="12" customHeight="1" x14ac:dyDescent="0.2">
      <c r="A26" s="993" t="s">
        <v>536</v>
      </c>
      <c r="B26" s="996"/>
      <c r="C26" s="992">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6"/>
      <c r="I26" s="162"/>
    </row>
    <row r="27" spans="1:9" s="667" customFormat="1" ht="12" customHeight="1" x14ac:dyDescent="0.2">
      <c r="A27" s="993" t="s">
        <v>483</v>
      </c>
      <c r="B27" s="996"/>
      <c r="C27" s="992">
        <v>2520</v>
      </c>
      <c r="D27" s="1823">
        <f>'Expenditures 15-22'!K60-SUM('Expenditures 15-22'!G60,'Expenditures 15-22'!I60)+'Expenditures 15-22'!D264-E8</f>
        <v>60125</v>
      </c>
      <c r="E27" s="1823">
        <f>E8</f>
        <v>0</v>
      </c>
      <c r="F27" s="1823">
        <f>'Expenditures 15-22'!K60-SUM('Expenditures 15-22'!G60,'Expenditures 15-22'!I60)+'Expenditures 15-22'!D264-E8</f>
        <v>60125</v>
      </c>
      <c r="G27" s="1824">
        <f>E8</f>
        <v>0</v>
      </c>
      <c r="H27" s="986"/>
      <c r="I27" s="162"/>
    </row>
    <row r="28" spans="1:9" s="667" customFormat="1" ht="12" customHeight="1" x14ac:dyDescent="0.2">
      <c r="A28" s="993" t="s">
        <v>537</v>
      </c>
      <c r="B28" s="996"/>
      <c r="C28" s="992">
        <v>2540</v>
      </c>
      <c r="D28" s="1825"/>
      <c r="E28" s="1823">
        <f>'Expenditures 15-22'!K61-SUM('Expenditures 15-22'!G61,'Expenditures 15-22'!I61)+'Expenditures 15-22'!K124-SUM('Expenditures 15-22'!G124,'Expenditures 15-22'!I124)+'Expenditures 15-22'!D266</f>
        <v>78403</v>
      </c>
      <c r="F28" s="1825">
        <f>'Expenditures 15-22'!K61-SUM('Expenditures 15-22'!G61,'Expenditures 15-22'!I61)+'Expenditures 15-22'!K124-SUM('Expenditures 15-22'!G124,'Expenditures 15-22'!I124)+'Expenditures 15-22'!D266-E9</f>
        <v>78403</v>
      </c>
      <c r="G28" s="1824">
        <f>E9</f>
        <v>0</v>
      </c>
      <c r="H28" s="986"/>
      <c r="I28" s="162"/>
    </row>
    <row r="29" spans="1:9" ht="12" customHeight="1" x14ac:dyDescent="0.2">
      <c r="A29" s="993" t="s">
        <v>538</v>
      </c>
      <c r="B29" s="996"/>
      <c r="C29" s="992">
        <v>2550</v>
      </c>
      <c r="D29" s="1821"/>
      <c r="E29" s="1823">
        <f>'Expenditures 15-22'!K62-SUM('Expenditures 15-22'!G62,'Expenditures 15-22'!I62)+'Expenditures 15-22'!K125-SUM('Expenditures 15-22'!G125,'Expenditures 15-22'!I125)+'Expenditures 15-22'!K182-SUM('Expenditures 15-22'!G182,'Expenditures 15-22'!I182)+'Expenditures 15-22'!D267</f>
        <v>0</v>
      </c>
      <c r="F29" s="1821"/>
      <c r="G29" s="1824">
        <f>'Expenditures 15-22'!K62-SUM('Expenditures 15-22'!G62,'Expenditures 15-22'!I62)+'Expenditures 15-22'!K125-SUM('Expenditures 15-22'!G125,'Expenditures 15-22'!I125)+'Expenditures 15-22'!K182-SUM('Expenditures 15-22'!G182,'Expenditures 15-22'!I182)+'Expenditures 15-22'!D267</f>
        <v>0</v>
      </c>
      <c r="H29" s="984"/>
    </row>
    <row r="30" spans="1:9" ht="12" customHeight="1" x14ac:dyDescent="0.2">
      <c r="A30" s="993" t="s">
        <v>102</v>
      </c>
      <c r="B30" s="996"/>
      <c r="C30" s="992">
        <v>2560</v>
      </c>
      <c r="D30" s="1821"/>
      <c r="E30" s="1823">
        <f>'Expenditures 15-22'!K63-SUM('Expenditures 15-22'!G63,'Expenditures 15-22'!I63)+'Expenditures 15-22'!D268-E10</f>
        <v>0</v>
      </c>
      <c r="F30" s="1821"/>
      <c r="G30" s="1823">
        <f>'Expenditures 15-22'!K63-SUM('Expenditures 15-22'!G63,'Expenditures 15-22'!I63)+'Expenditures 15-22'!D268-E10</f>
        <v>0</v>
      </c>
    </row>
    <row r="31" spans="1:9" ht="12" customHeight="1" x14ac:dyDescent="0.2">
      <c r="A31" s="993" t="s">
        <v>103</v>
      </c>
      <c r="B31" s="996"/>
      <c r="C31" s="992">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89" t="s">
        <v>539</v>
      </c>
      <c r="B32" s="995"/>
      <c r="C32" s="992"/>
      <c r="D32" s="1821"/>
      <c r="E32" s="1821"/>
      <c r="F32" s="1821"/>
      <c r="G32" s="1821"/>
    </row>
    <row r="33" spans="1:7" ht="12" customHeight="1" x14ac:dyDescent="0.2">
      <c r="A33" s="993" t="s">
        <v>540</v>
      </c>
      <c r="B33" s="996"/>
      <c r="C33" s="992">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3" t="s">
        <v>541</v>
      </c>
      <c r="B34" s="996"/>
      <c r="C34" s="992">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3" t="s">
        <v>1121</v>
      </c>
      <c r="B35" s="996"/>
      <c r="C35" s="992">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3" t="s">
        <v>423</v>
      </c>
      <c r="B36" s="996"/>
      <c r="C36" s="992">
        <v>2640</v>
      </c>
      <c r="D36" s="1823">
        <f>'Expenditures 15-22'!K70-SUM('Expenditures 15-22'!G70,'Expenditures 15-22'!I70)+'Expenditures 15-22'!D275-E13</f>
        <v>2459</v>
      </c>
      <c r="E36" s="1823">
        <f>E13</f>
        <v>0</v>
      </c>
      <c r="F36" s="1823">
        <f>'Expenditures 15-22'!K70-SUM('Expenditures 15-22'!G70,'Expenditures 15-22'!I70)+'Expenditures 15-22'!D275-E13</f>
        <v>2459</v>
      </c>
      <c r="G36" s="1823">
        <f>E13</f>
        <v>0</v>
      </c>
    </row>
    <row r="37" spans="1:7" ht="12" customHeight="1" x14ac:dyDescent="0.2">
      <c r="A37" s="993" t="s">
        <v>424</v>
      </c>
      <c r="B37" s="996"/>
      <c r="C37" s="992">
        <v>2660</v>
      </c>
      <c r="D37" s="1823">
        <f>'Expenditures 15-22'!K71-SUM('Expenditures 15-22'!G71,'Expenditures 15-22'!I71)+'Expenditures 15-22'!D276-E14</f>
        <v>25795</v>
      </c>
      <c r="E37" s="1823">
        <f>E14</f>
        <v>0</v>
      </c>
      <c r="F37" s="1823">
        <f>'Expenditures 15-22'!K71-SUM('Expenditures 15-22'!G71,'Expenditures 15-22'!I71)+'Expenditures 15-22'!D276-E14</f>
        <v>25795</v>
      </c>
      <c r="G37" s="1823">
        <f>E14</f>
        <v>0</v>
      </c>
    </row>
    <row r="38" spans="1:7" ht="12" customHeight="1" x14ac:dyDescent="0.2">
      <c r="A38" s="989" t="s">
        <v>542</v>
      </c>
      <c r="B38" s="990"/>
      <c r="C38" s="992">
        <v>2900</v>
      </c>
      <c r="D38" s="1821"/>
      <c r="E38" s="1823">
        <f>'Expenditures 15-22'!K73-SUM('Expenditures 15-22'!G73,'Expenditures 15-22'!I73)+'Expenditures 15-22'!K128-SUM('Expenditures 15-22'!G128,'Expenditures 15-22'!I128)+'Expenditures 15-22'!K183-SUM('Expenditures 15-22'!G183,'Expenditures 15-22'!I183)+'Expenditures 15-22'!D278</f>
        <v>50024</v>
      </c>
      <c r="F38" s="1821"/>
      <c r="G38" s="1823">
        <f>'Expenditures 15-22'!K73-SUM('Expenditures 15-22'!G73,'Expenditures 15-22'!I73)+'Expenditures 15-22'!K128-SUM('Expenditures 15-22'!G128,'Expenditures 15-22'!I128)+'Expenditures 15-22'!K183-SUM('Expenditures 15-22'!G183,'Expenditures 15-22'!I183)+'Expenditures 15-22'!D278</f>
        <v>50024</v>
      </c>
    </row>
    <row r="39" spans="1:7" ht="12" customHeight="1" x14ac:dyDescent="0.2">
      <c r="A39" s="989" t="s">
        <v>469</v>
      </c>
      <c r="B39" s="990"/>
      <c r="C39" s="992">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9" t="s">
        <v>1926</v>
      </c>
      <c r="B40" s="990"/>
      <c r="C40" s="992"/>
      <c r="D40" s="1821"/>
      <c r="E40" s="1825">
        <f>-'Contracts Paid in CY 29'!G141</f>
        <v>0</v>
      </c>
      <c r="F40" s="1821"/>
      <c r="G40" s="1825">
        <f>-'Contracts Paid in CY 29'!G141</f>
        <v>0</v>
      </c>
    </row>
    <row r="41" spans="1:7" ht="12" customHeight="1" x14ac:dyDescent="0.2">
      <c r="A41" s="997" t="s">
        <v>158</v>
      </c>
      <c r="B41" s="998"/>
      <c r="C41" s="999"/>
      <c r="D41" s="1825">
        <f>SUM(D19:D39)</f>
        <v>88379</v>
      </c>
      <c r="E41" s="1825">
        <f>SUM(E19:E40)</f>
        <v>5262169</v>
      </c>
      <c r="F41" s="1825">
        <f>SUM(F19:F39)</f>
        <v>166782</v>
      </c>
      <c r="G41" s="1825">
        <f>SUM(G19:G40)</f>
        <v>5183766</v>
      </c>
    </row>
    <row r="42" spans="1:7" x14ac:dyDescent="0.2">
      <c r="A42" s="986"/>
      <c r="B42" s="162"/>
      <c r="C42" s="1000"/>
      <c r="D42" s="2540" t="s">
        <v>543</v>
      </c>
      <c r="E42" s="2541"/>
      <c r="F42" s="1001" t="s">
        <v>544</v>
      </c>
      <c r="G42" s="1002"/>
    </row>
    <row r="43" spans="1:7" ht="12" customHeight="1" x14ac:dyDescent="0.2">
      <c r="A43" s="986"/>
      <c r="B43" s="162"/>
      <c r="C43" s="1000"/>
      <c r="D43" s="1826" t="s">
        <v>493</v>
      </c>
      <c r="E43" s="1827">
        <f>D41</f>
        <v>88379</v>
      </c>
      <c r="F43" s="1826" t="s">
        <v>495</v>
      </c>
      <c r="G43" s="1827">
        <f>F41</f>
        <v>166782</v>
      </c>
    </row>
    <row r="44" spans="1:7" ht="12" customHeight="1" x14ac:dyDescent="0.2">
      <c r="A44" s="986"/>
      <c r="B44" s="162"/>
      <c r="C44" s="1000"/>
      <c r="D44" s="1826" t="s">
        <v>494</v>
      </c>
      <c r="E44" s="1827">
        <f>E41</f>
        <v>5262169</v>
      </c>
      <c r="F44" s="1826" t="s">
        <v>494</v>
      </c>
      <c r="G44" s="1827">
        <f>G41</f>
        <v>5183766</v>
      </c>
    </row>
    <row r="45" spans="1:7" ht="12" customHeight="1" x14ac:dyDescent="0.2">
      <c r="A45" s="986"/>
      <c r="B45" s="162"/>
      <c r="C45" s="162"/>
      <c r="D45" s="1828" t="s">
        <v>1063</v>
      </c>
      <c r="E45" s="1829">
        <f>(E43/E44)</f>
        <v>1.6795165643672789E-2</v>
      </c>
      <c r="F45" s="1828" t="s">
        <v>1063</v>
      </c>
      <c r="G45" s="1829">
        <f>(G43/G44)</f>
        <v>3.217390599807167E-2</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23" sqref="A23:H23"/>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548" t="s">
        <v>1446</v>
      </c>
      <c r="B1" s="2548"/>
      <c r="C1" s="2548"/>
      <c r="D1" s="2548"/>
      <c r="E1" s="2548"/>
      <c r="F1" s="2548"/>
    </row>
    <row r="2" spans="1:10" x14ac:dyDescent="0.2">
      <c r="A2" s="1908" t="s">
        <v>2044</v>
      </c>
      <c r="B2" s="1869"/>
      <c r="C2" s="1908"/>
      <c r="D2" s="1869"/>
      <c r="E2" s="1869"/>
      <c r="F2" s="1870"/>
    </row>
    <row r="3" spans="1:10" x14ac:dyDescent="0.2">
      <c r="A3" s="1908" t="s">
        <v>1700</v>
      </c>
      <c r="B3" s="1869"/>
      <c r="C3" s="1908"/>
      <c r="D3" s="1869"/>
      <c r="E3" s="1869"/>
      <c r="F3" s="1870"/>
    </row>
    <row r="4" spans="1:10" ht="3.75" customHeight="1" x14ac:dyDescent="0.2">
      <c r="A4" s="1869"/>
      <c r="B4" s="1869"/>
      <c r="C4" s="1869"/>
      <c r="D4" s="1869"/>
      <c r="E4" s="1869"/>
      <c r="F4" s="1870"/>
    </row>
    <row r="5" spans="1:10" ht="15" x14ac:dyDescent="0.25">
      <c r="A5" s="2549" t="s">
        <v>1627</v>
      </c>
      <c r="B5" s="2550"/>
      <c r="C5" s="2551"/>
      <c r="D5" s="2551"/>
      <c r="E5" s="2551"/>
      <c r="F5" s="2551"/>
    </row>
    <row r="6" spans="1:10" ht="12" customHeight="1" x14ac:dyDescent="0.25">
      <c r="A6" s="1871"/>
      <c r="B6" s="1872"/>
      <c r="C6" s="2552" t="str">
        <f>COVER!A17</f>
        <v>Bi County Sp Ed Co-op</v>
      </c>
      <c r="D6" s="2552"/>
      <c r="E6" s="2552"/>
      <c r="F6" s="1873"/>
    </row>
    <row r="7" spans="1:10" ht="11.25" customHeight="1" thickBot="1" x14ac:dyDescent="0.3">
      <c r="A7" s="1871"/>
      <c r="B7" s="1872"/>
      <c r="C7" s="2553">
        <f>COVER!A13</f>
        <v>47098000061</v>
      </c>
      <c r="D7" s="2553"/>
      <c r="E7" s="2553"/>
      <c r="F7" s="1873"/>
    </row>
    <row r="8" spans="1:10" ht="25.5" customHeight="1" thickBot="1" x14ac:dyDescent="0.25">
      <c r="A8" s="1914" t="s">
        <v>2021</v>
      </c>
      <c r="B8" s="1874"/>
      <c r="C8" s="1910" t="s">
        <v>1780</v>
      </c>
      <c r="D8" s="1909" t="s">
        <v>1781</v>
      </c>
      <c r="E8" s="1911" t="s">
        <v>1447</v>
      </c>
      <c r="F8" s="1909"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2" t="s">
        <v>1448</v>
      </c>
      <c r="F10" s="1913" t="s">
        <v>1449</v>
      </c>
    </row>
    <row r="11" spans="1:10" ht="12" customHeight="1" x14ac:dyDescent="0.2">
      <c r="A11" s="1884" t="s">
        <v>1450</v>
      </c>
      <c r="B11" s="1885"/>
      <c r="C11" s="1886"/>
      <c r="D11" s="1886"/>
      <c r="E11" s="1887"/>
      <c r="F11" s="1888"/>
      <c r="H11" s="1899">
        <f>IF(C11="X",5,0)</f>
        <v>0</v>
      </c>
      <c r="I11" s="1899">
        <f>IF(D11="X",5,0)</f>
        <v>0</v>
      </c>
      <c r="J11" s="1899">
        <f>IF(E11="X",5,0)</f>
        <v>0</v>
      </c>
    </row>
    <row r="12" spans="1:10" ht="12" customHeight="1" x14ac:dyDescent="0.2">
      <c r="A12" s="1884" t="s">
        <v>1451</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1452</v>
      </c>
      <c r="B13" s="1885"/>
      <c r="C13" s="1886"/>
      <c r="D13" s="1886"/>
      <c r="E13" s="1889"/>
      <c r="F13" s="1888"/>
      <c r="H13" s="1899">
        <f t="shared" si="0"/>
        <v>0</v>
      </c>
      <c r="I13" s="1899">
        <f t="shared" si="1"/>
        <v>0</v>
      </c>
      <c r="J13" s="1899">
        <f t="shared" si="2"/>
        <v>0</v>
      </c>
    </row>
    <row r="14" spans="1:10" ht="12" customHeight="1" x14ac:dyDescent="0.2">
      <c r="A14" s="1884" t="s">
        <v>1453</v>
      </c>
      <c r="B14" s="1885"/>
      <c r="C14" s="1886"/>
      <c r="D14" s="1886"/>
      <c r="E14" s="1889"/>
      <c r="F14" s="1888"/>
      <c r="H14" s="1899">
        <f t="shared" si="0"/>
        <v>0</v>
      </c>
      <c r="I14" s="1899">
        <f t="shared" si="1"/>
        <v>0</v>
      </c>
      <c r="J14" s="1899">
        <f t="shared" si="2"/>
        <v>0</v>
      </c>
    </row>
    <row r="15" spans="1:10" ht="12" customHeight="1" x14ac:dyDescent="0.2">
      <c r="A15" s="1884" t="s">
        <v>1454</v>
      </c>
      <c r="B15" s="1885"/>
      <c r="C15" s="1886"/>
      <c r="D15" s="1886"/>
      <c r="E15" s="1889"/>
      <c r="F15" s="1888"/>
      <c r="H15" s="1899">
        <f t="shared" si="0"/>
        <v>0</v>
      </c>
      <c r="I15" s="1899">
        <f t="shared" si="1"/>
        <v>0</v>
      </c>
      <c r="J15" s="1899">
        <f t="shared" si="2"/>
        <v>0</v>
      </c>
    </row>
    <row r="16" spans="1:10" ht="12" customHeight="1" x14ac:dyDescent="0.2">
      <c r="A16" s="1884" t="s">
        <v>1455</v>
      </c>
      <c r="B16" s="1885"/>
      <c r="C16" s="1886" t="s">
        <v>2137</v>
      </c>
      <c r="D16" s="1886" t="s">
        <v>2137</v>
      </c>
      <c r="E16" s="1889"/>
      <c r="F16" s="1888" t="s">
        <v>2247</v>
      </c>
      <c r="H16" s="1899">
        <f t="shared" si="0"/>
        <v>5</v>
      </c>
      <c r="I16" s="1899">
        <f t="shared" si="1"/>
        <v>5</v>
      </c>
      <c r="J16" s="1899">
        <f t="shared" si="2"/>
        <v>0</v>
      </c>
    </row>
    <row r="17" spans="1:12" ht="12" customHeight="1" x14ac:dyDescent="0.2">
      <c r="A17" s="1884" t="s">
        <v>1456</v>
      </c>
      <c r="B17" s="1885"/>
      <c r="C17" s="1886"/>
      <c r="D17" s="1886"/>
      <c r="E17" s="1889"/>
      <c r="F17" s="1888"/>
      <c r="H17" s="1899">
        <f t="shared" si="0"/>
        <v>0</v>
      </c>
      <c r="I17" s="1899">
        <f t="shared" si="1"/>
        <v>0</v>
      </c>
      <c r="J17" s="1899">
        <f t="shared" si="2"/>
        <v>0</v>
      </c>
    </row>
    <row r="18" spans="1:12" ht="12" customHeight="1" x14ac:dyDescent="0.2">
      <c r="A18" s="1884" t="s">
        <v>1457</v>
      </c>
      <c r="B18" s="1885"/>
      <c r="C18" s="1886"/>
      <c r="D18" s="1886"/>
      <c r="E18" s="1889"/>
      <c r="F18" s="1888"/>
      <c r="H18" s="1899">
        <f t="shared" si="0"/>
        <v>0</v>
      </c>
      <c r="I18" s="1899">
        <f t="shared" si="1"/>
        <v>0</v>
      </c>
      <c r="J18" s="1899">
        <f t="shared" si="2"/>
        <v>0</v>
      </c>
    </row>
    <row r="19" spans="1:12" ht="12" customHeight="1" x14ac:dyDescent="0.2">
      <c r="A19" s="1884" t="s">
        <v>1608</v>
      </c>
      <c r="B19" s="1885"/>
      <c r="C19" s="1886"/>
      <c r="D19" s="1886"/>
      <c r="E19" s="1889"/>
      <c r="F19" s="1888"/>
      <c r="H19" s="1899">
        <f t="shared" si="0"/>
        <v>0</v>
      </c>
      <c r="I19" s="1899">
        <f t="shared" si="1"/>
        <v>0</v>
      </c>
      <c r="J19" s="1899">
        <f t="shared" si="2"/>
        <v>0</v>
      </c>
    </row>
    <row r="20" spans="1:12" ht="12" customHeight="1" x14ac:dyDescent="0.2">
      <c r="A20" s="1884" t="s">
        <v>1609</v>
      </c>
      <c r="B20" s="1885"/>
      <c r="C20" s="1886"/>
      <c r="D20" s="1886"/>
      <c r="E20" s="1889"/>
      <c r="F20" s="1888"/>
      <c r="H20" s="1899">
        <f t="shared" si="0"/>
        <v>0</v>
      </c>
      <c r="I20" s="1899">
        <f t="shared" si="1"/>
        <v>0</v>
      </c>
      <c r="J20" s="1899">
        <f t="shared" si="2"/>
        <v>0</v>
      </c>
    </row>
    <row r="21" spans="1:12" ht="12" customHeight="1" x14ac:dyDescent="0.2">
      <c r="A21" s="1884" t="s">
        <v>1610</v>
      </c>
      <c r="B21" s="1885"/>
      <c r="C21" s="1886"/>
      <c r="D21" s="1886"/>
      <c r="E21" s="1889"/>
      <c r="F21" s="1888"/>
      <c r="H21" s="1899">
        <f t="shared" si="0"/>
        <v>0</v>
      </c>
      <c r="I21" s="1899">
        <f t="shared" si="1"/>
        <v>0</v>
      </c>
      <c r="J21" s="1899">
        <f t="shared" si="2"/>
        <v>0</v>
      </c>
    </row>
    <row r="22" spans="1:12" ht="12" customHeight="1" x14ac:dyDescent="0.2">
      <c r="A22" s="1884" t="s">
        <v>1611</v>
      </c>
      <c r="B22" s="1885"/>
      <c r="C22" s="1886"/>
      <c r="D22" s="1886"/>
      <c r="E22" s="1889"/>
      <c r="F22" s="1888"/>
      <c r="H22" s="1899">
        <f t="shared" si="0"/>
        <v>0</v>
      </c>
      <c r="I22" s="1899">
        <f t="shared" si="1"/>
        <v>0</v>
      </c>
      <c r="J22" s="1899">
        <f t="shared" si="2"/>
        <v>0</v>
      </c>
    </row>
    <row r="23" spans="1:12" ht="12" customHeight="1" x14ac:dyDescent="0.2">
      <c r="A23" s="1884" t="s">
        <v>1612</v>
      </c>
      <c r="B23" s="1885"/>
      <c r="C23" s="1886"/>
      <c r="D23" s="1886"/>
      <c r="E23" s="1889"/>
      <c r="F23" s="1888"/>
      <c r="H23" s="1899">
        <f t="shared" si="0"/>
        <v>0</v>
      </c>
      <c r="I23" s="1899">
        <f t="shared" si="1"/>
        <v>0</v>
      </c>
      <c r="J23" s="1899">
        <f t="shared" si="2"/>
        <v>0</v>
      </c>
    </row>
    <row r="24" spans="1:12" ht="12" customHeight="1" x14ac:dyDescent="0.2">
      <c r="A24" s="1884" t="s">
        <v>1613</v>
      </c>
      <c r="B24" s="1885"/>
      <c r="C24" s="1886"/>
      <c r="D24" s="1886"/>
      <c r="E24" s="1889"/>
      <c r="F24" s="1888"/>
      <c r="H24" s="1899">
        <f t="shared" si="0"/>
        <v>0</v>
      </c>
      <c r="I24" s="1899">
        <f t="shared" si="1"/>
        <v>0</v>
      </c>
      <c r="J24" s="1899">
        <f t="shared" si="2"/>
        <v>0</v>
      </c>
    </row>
    <row r="25" spans="1:12" ht="12" customHeight="1" x14ac:dyDescent="0.2">
      <c r="A25" s="1884" t="s">
        <v>1614</v>
      </c>
      <c r="B25" s="1885"/>
      <c r="C25" s="1886"/>
      <c r="D25" s="1886"/>
      <c r="E25" s="1889"/>
      <c r="F25" s="1888"/>
      <c r="H25" s="1899">
        <f t="shared" si="0"/>
        <v>0</v>
      </c>
      <c r="I25" s="1899">
        <f t="shared" si="1"/>
        <v>0</v>
      </c>
      <c r="J25" s="1899">
        <f t="shared" si="2"/>
        <v>0</v>
      </c>
    </row>
    <row r="26" spans="1:12" ht="12" customHeight="1" x14ac:dyDescent="0.2">
      <c r="A26" s="1884" t="s">
        <v>1615</v>
      </c>
      <c r="B26" s="1885"/>
      <c r="C26" s="1886"/>
      <c r="D26" s="1886"/>
      <c r="E26" s="1889"/>
      <c r="F26" s="1888"/>
      <c r="H26" s="1899">
        <f t="shared" si="0"/>
        <v>0</v>
      </c>
      <c r="I26" s="1899">
        <f t="shared" si="1"/>
        <v>0</v>
      </c>
      <c r="J26" s="1899">
        <f t="shared" si="2"/>
        <v>0</v>
      </c>
    </row>
    <row r="27" spans="1:12" ht="18.75" x14ac:dyDescent="0.2">
      <c r="A27" s="1884" t="s">
        <v>1616</v>
      </c>
      <c r="B27" s="1885"/>
      <c r="C27" s="1886"/>
      <c r="D27" s="1886"/>
      <c r="E27" s="1889"/>
      <c r="F27" s="1888"/>
      <c r="H27" s="1899">
        <f t="shared" si="0"/>
        <v>0</v>
      </c>
      <c r="I27" s="1899">
        <f t="shared" si="1"/>
        <v>0</v>
      </c>
      <c r="J27" s="1899">
        <f t="shared" si="2"/>
        <v>0</v>
      </c>
    </row>
    <row r="28" spans="1:12" ht="12" customHeight="1" x14ac:dyDescent="0.2">
      <c r="A28" s="1884" t="s">
        <v>1617</v>
      </c>
      <c r="B28" s="1885"/>
      <c r="C28" s="1886"/>
      <c r="D28" s="1886"/>
      <c r="E28" s="1889"/>
      <c r="F28" s="1888"/>
      <c r="H28" s="1899">
        <f t="shared" si="0"/>
        <v>0</v>
      </c>
      <c r="I28" s="1899">
        <f t="shared" si="1"/>
        <v>0</v>
      </c>
      <c r="J28" s="1899">
        <f t="shared" si="2"/>
        <v>0</v>
      </c>
    </row>
    <row r="29" spans="1:12" ht="12" customHeight="1" x14ac:dyDescent="0.2">
      <c r="A29" s="1884" t="s">
        <v>1618</v>
      </c>
      <c r="B29" s="1885"/>
      <c r="C29" s="1886"/>
      <c r="D29" s="1886"/>
      <c r="E29" s="1889"/>
      <c r="F29" s="1888"/>
      <c r="H29" s="1899">
        <f t="shared" si="0"/>
        <v>0</v>
      </c>
      <c r="I29" s="1899">
        <f t="shared" si="1"/>
        <v>0</v>
      </c>
      <c r="J29" s="1899">
        <f t="shared" si="2"/>
        <v>0</v>
      </c>
    </row>
    <row r="30" spans="1:12" ht="12" customHeight="1" x14ac:dyDescent="0.2">
      <c r="A30" s="1884" t="s">
        <v>1619</v>
      </c>
      <c r="B30" s="1885"/>
      <c r="C30" s="1886"/>
      <c r="D30" s="1886"/>
      <c r="E30" s="1889"/>
      <c r="F30" s="1888"/>
      <c r="H30" s="1899">
        <f t="shared" si="0"/>
        <v>0</v>
      </c>
      <c r="I30" s="1899">
        <f t="shared" si="1"/>
        <v>0</v>
      </c>
      <c r="J30" s="1899">
        <f t="shared" si="2"/>
        <v>0</v>
      </c>
    </row>
    <row r="31" spans="1:12" ht="12" customHeight="1" x14ac:dyDescent="0.2">
      <c r="A31" s="1884" t="s">
        <v>1620</v>
      </c>
      <c r="B31" s="1885"/>
      <c r="C31" s="1886"/>
      <c r="D31" s="1886"/>
      <c r="E31" s="1889"/>
      <c r="F31" s="1888"/>
      <c r="H31" s="1899">
        <f t="shared" si="0"/>
        <v>0</v>
      </c>
      <c r="I31" s="1899">
        <f t="shared" si="1"/>
        <v>0</v>
      </c>
      <c r="J31" s="1899">
        <f t="shared" si="2"/>
        <v>0</v>
      </c>
      <c r="L31" s="1890"/>
    </row>
    <row r="32" spans="1:12" ht="12" customHeight="1" x14ac:dyDescent="0.2">
      <c r="A32" s="1884" t="s">
        <v>1621</v>
      </c>
      <c r="B32" s="1885"/>
      <c r="C32" s="1886"/>
      <c r="D32" s="1886"/>
      <c r="E32" s="1889"/>
      <c r="F32" s="1888"/>
      <c r="H32" s="1899">
        <f t="shared" si="0"/>
        <v>0</v>
      </c>
      <c r="I32" s="1899">
        <f t="shared" si="1"/>
        <v>0</v>
      </c>
      <c r="J32" s="1899">
        <f t="shared" si="2"/>
        <v>0</v>
      </c>
    </row>
    <row r="33" spans="1:11" ht="12" customHeight="1" x14ac:dyDescent="0.2">
      <c r="A33" s="1884" t="s">
        <v>1622</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5</v>
      </c>
      <c r="I34" s="1899">
        <f>SUM(I11:I32)</f>
        <v>5</v>
      </c>
      <c r="J34" s="1899">
        <f>SUM(J11:J32)</f>
        <v>0</v>
      </c>
      <c r="K34" s="1899">
        <f>SUM(H34:J34)</f>
        <v>10</v>
      </c>
    </row>
    <row r="35" spans="1:11" ht="12" customHeight="1" x14ac:dyDescent="0.2">
      <c r="A35" s="1892" t="s">
        <v>1459</v>
      </c>
      <c r="B35" s="1893"/>
      <c r="C35" s="2554"/>
      <c r="D35" s="2554"/>
      <c r="E35" s="2554"/>
      <c r="F35" s="2555"/>
    </row>
    <row r="36" spans="1:11" ht="12" customHeight="1" x14ac:dyDescent="0.2">
      <c r="A36" s="2545"/>
      <c r="B36" s="2546"/>
      <c r="C36" s="2546"/>
      <c r="D36" s="2546"/>
      <c r="E36" s="2546"/>
      <c r="F36" s="2547"/>
    </row>
    <row r="37" spans="1:11" ht="12" customHeight="1" x14ac:dyDescent="0.2">
      <c r="A37" s="2545"/>
      <c r="B37" s="2546"/>
      <c r="C37" s="2546"/>
      <c r="D37" s="2546"/>
      <c r="E37" s="2546"/>
      <c r="F37" s="2547"/>
    </row>
    <row r="38" spans="1:11" ht="12" customHeight="1" x14ac:dyDescent="0.2">
      <c r="A38" s="2559"/>
      <c r="B38" s="2560"/>
      <c r="C38" s="2560"/>
      <c r="D38" s="2560"/>
      <c r="E38" s="2560"/>
      <c r="F38" s="2561"/>
    </row>
    <row r="39" spans="1:11" ht="4.5" hidden="1" customHeight="1" x14ac:dyDescent="0.2">
      <c r="A39" s="1894"/>
      <c r="B39" s="1894"/>
      <c r="C39" s="1894"/>
      <c r="D39" s="1894"/>
      <c r="E39" s="1894"/>
      <c r="F39" s="1894"/>
    </row>
    <row r="40" spans="1:11" s="1891" customFormat="1" ht="12" customHeight="1" x14ac:dyDescent="0.25">
      <c r="A40" s="1895" t="s">
        <v>1458</v>
      </c>
      <c r="B40" s="1896"/>
      <c r="C40" s="2562"/>
      <c r="D40" s="2562"/>
      <c r="E40" s="2562"/>
      <c r="F40" s="2563"/>
      <c r="H40" s="1900"/>
      <c r="I40" s="1900"/>
      <c r="J40" s="1900"/>
      <c r="K40" s="1900"/>
    </row>
    <row r="41" spans="1:11" s="1891" customFormat="1" ht="12" customHeight="1" x14ac:dyDescent="0.25">
      <c r="A41" s="2564"/>
      <c r="B41" s="2565"/>
      <c r="C41" s="2565"/>
      <c r="D41" s="2565"/>
      <c r="E41" s="2565"/>
      <c r="F41" s="2566"/>
      <c r="H41" s="1900"/>
      <c r="I41" s="1900"/>
      <c r="J41" s="1900"/>
      <c r="K41" s="1900"/>
    </row>
    <row r="42" spans="1:11" s="1891" customFormat="1" ht="12" customHeight="1" x14ac:dyDescent="0.25">
      <c r="A42" s="2564"/>
      <c r="B42" s="2565"/>
      <c r="C42" s="2565"/>
      <c r="D42" s="2565"/>
      <c r="E42" s="2565"/>
      <c r="F42" s="2566"/>
      <c r="H42" s="1900"/>
      <c r="I42" s="1900"/>
      <c r="J42" s="1900"/>
      <c r="K42" s="1900"/>
    </row>
    <row r="43" spans="1:11" s="1891" customFormat="1" ht="15" x14ac:dyDescent="0.25">
      <c r="A43" s="2556"/>
      <c r="B43" s="2557"/>
      <c r="C43" s="2557"/>
      <c r="D43" s="2557"/>
      <c r="E43" s="2557"/>
      <c r="F43" s="2558"/>
      <c r="H43" s="1900"/>
      <c r="I43" s="1900"/>
      <c r="J43" s="1900"/>
      <c r="K43" s="1900"/>
    </row>
    <row r="44" spans="1:11" s="1891" customFormat="1" ht="12" hidden="1" customHeight="1" x14ac:dyDescent="0.25">
      <c r="A44" s="2556"/>
      <c r="B44" s="2557"/>
      <c r="C44" s="2557"/>
      <c r="D44" s="2557"/>
      <c r="E44" s="2557"/>
      <c r="F44" s="2558"/>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5" t="s">
        <v>693</v>
      </c>
      <c r="B6" s="1660"/>
      <c r="C6" s="1660"/>
      <c r="D6" s="1660"/>
      <c r="E6" s="1661"/>
      <c r="F6" s="1014"/>
      <c r="G6" s="1008"/>
      <c r="H6" s="1015" t="s">
        <v>1086</v>
      </c>
      <c r="I6" s="2572" t="str">
        <f>COVER!A17</f>
        <v>Bi County Sp Ed Co-op</v>
      </c>
      <c r="J6" s="2573"/>
      <c r="Q6" s="1682"/>
    </row>
    <row r="7" spans="1:17" x14ac:dyDescent="0.2">
      <c r="A7" s="2574" t="s">
        <v>924</v>
      </c>
      <c r="B7" s="2575"/>
      <c r="C7" s="2575"/>
      <c r="D7" s="2575"/>
      <c r="E7" s="2576"/>
      <c r="F7" s="1016"/>
      <c r="G7" s="1008"/>
      <c r="H7" s="1015" t="s">
        <v>390</v>
      </c>
      <c r="I7" s="2577">
        <f>COVER!A13</f>
        <v>47098000061</v>
      </c>
      <c r="J7" s="2577"/>
    </row>
    <row r="8" spans="1:17" ht="8.25" customHeight="1" x14ac:dyDescent="0.2">
      <c r="A8" s="1662"/>
      <c r="B8" s="1663"/>
      <c r="C8" s="1663"/>
      <c r="D8" s="1663"/>
      <c r="E8" s="1664"/>
      <c r="F8" s="1017"/>
      <c r="G8" s="1018"/>
      <c r="H8" s="1018"/>
      <c r="I8" s="1018"/>
      <c r="J8" s="1018"/>
    </row>
    <row r="9" spans="1:17" ht="13.5" customHeight="1" x14ac:dyDescent="0.2">
      <c r="A9" s="1019"/>
      <c r="B9" s="1020"/>
      <c r="C9" s="1020"/>
      <c r="D9" s="1021"/>
      <c r="E9" s="1916" t="s">
        <v>1701</v>
      </c>
      <c r="F9" s="1022"/>
      <c r="G9" s="1022"/>
      <c r="H9" s="1917"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578" t="s">
        <v>502</v>
      </c>
      <c r="B11" s="2579"/>
      <c r="C11" s="2580"/>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0">
        <f>'Expenditures 15-22'!K50</f>
        <v>151033</v>
      </c>
      <c r="F12" s="1038"/>
      <c r="G12" s="1830">
        <f t="shared" ref="G12:G18" si="0">SUM(E12:F12)</f>
        <v>151033</v>
      </c>
      <c r="H12" s="1039"/>
      <c r="I12" s="1038"/>
      <c r="J12" s="1830">
        <f t="shared" ref="J12:J18" si="1">SUM(H12:I12)</f>
        <v>0</v>
      </c>
    </row>
    <row r="13" spans="1:17" ht="15" customHeight="1" x14ac:dyDescent="0.2">
      <c r="A13" s="1034">
        <v>2</v>
      </c>
      <c r="B13" s="1035" t="s">
        <v>44</v>
      </c>
      <c r="C13" s="1036"/>
      <c r="D13" s="1037">
        <v>2330</v>
      </c>
      <c r="E13" s="1830">
        <f>'Expenditures 15-22'!K51</f>
        <v>3802</v>
      </c>
      <c r="F13" s="1038"/>
      <c r="G13" s="1830">
        <f t="shared" si="0"/>
        <v>3802</v>
      </c>
      <c r="H13" s="1039"/>
      <c r="I13" s="1038"/>
      <c r="J13" s="1830">
        <f t="shared" si="1"/>
        <v>0</v>
      </c>
    </row>
    <row r="14" spans="1:17" ht="15" customHeight="1" x14ac:dyDescent="0.2">
      <c r="A14" s="1034">
        <v>3</v>
      </c>
      <c r="B14" s="1035" t="s">
        <v>45</v>
      </c>
      <c r="C14" s="1036"/>
      <c r="D14" s="1040">
        <v>2490</v>
      </c>
      <c r="E14" s="1830">
        <f>'Expenditures 15-22'!K56</f>
        <v>0</v>
      </c>
      <c r="F14" s="1038"/>
      <c r="G14" s="1830">
        <f t="shared" si="0"/>
        <v>0</v>
      </c>
      <c r="H14" s="1039"/>
      <c r="I14" s="1038"/>
      <c r="J14" s="1830">
        <f t="shared" si="1"/>
        <v>0</v>
      </c>
    </row>
    <row r="15" spans="1:17" ht="15" customHeight="1" x14ac:dyDescent="0.2">
      <c r="A15" s="1034">
        <v>4</v>
      </c>
      <c r="B15" s="1035" t="s">
        <v>1128</v>
      </c>
      <c r="C15" s="1036"/>
      <c r="D15" s="1037">
        <v>2510</v>
      </c>
      <c r="E15" s="1830">
        <f>'Expenditures 15-22'!K59</f>
        <v>0</v>
      </c>
      <c r="F15" s="1830">
        <f>'Expenditures 15-22'!K122</f>
        <v>0</v>
      </c>
      <c r="G15" s="1830">
        <f t="shared" si="0"/>
        <v>0</v>
      </c>
      <c r="H15" s="1039"/>
      <c r="I15" s="1039"/>
      <c r="J15" s="1830">
        <f t="shared" si="1"/>
        <v>0</v>
      </c>
    </row>
    <row r="16" spans="1:17" ht="15" customHeight="1" x14ac:dyDescent="0.2">
      <c r="A16" s="1034">
        <v>5</v>
      </c>
      <c r="B16" s="1035" t="s">
        <v>103</v>
      </c>
      <c r="C16" s="1036"/>
      <c r="D16" s="1037">
        <v>2570</v>
      </c>
      <c r="E16" s="1830">
        <f>'Expenditures 15-22'!K64</f>
        <v>0</v>
      </c>
      <c r="F16" s="1038"/>
      <c r="G16" s="1830">
        <f t="shared" si="0"/>
        <v>0</v>
      </c>
      <c r="H16" s="1039"/>
      <c r="I16" s="1038"/>
      <c r="J16" s="1830">
        <f t="shared" si="1"/>
        <v>0</v>
      </c>
    </row>
    <row r="17" spans="1:10" ht="15" customHeight="1" x14ac:dyDescent="0.2">
      <c r="A17" s="1034">
        <v>6</v>
      </c>
      <c r="B17" s="1035" t="s">
        <v>1120</v>
      </c>
      <c r="C17" s="1036"/>
      <c r="D17" s="1037">
        <v>2610</v>
      </c>
      <c r="E17" s="1830">
        <f>'Expenditures 15-22'!K67</f>
        <v>0</v>
      </c>
      <c r="F17" s="1038"/>
      <c r="G17" s="1830">
        <f t="shared" si="0"/>
        <v>0</v>
      </c>
      <c r="H17" s="1039"/>
      <c r="I17" s="1038"/>
      <c r="J17" s="1830">
        <f t="shared" si="1"/>
        <v>0</v>
      </c>
    </row>
    <row r="18" spans="1:10" ht="22.5" customHeight="1" x14ac:dyDescent="0.2">
      <c r="A18" s="1041">
        <v>7</v>
      </c>
      <c r="B18" s="2581" t="s">
        <v>7</v>
      </c>
      <c r="C18" s="2582"/>
      <c r="D18" s="2583"/>
      <c r="E18" s="1042"/>
      <c r="F18" s="1042"/>
      <c r="G18" s="1831">
        <f t="shared" si="0"/>
        <v>0</v>
      </c>
      <c r="H18" s="1039"/>
      <c r="I18" s="1039"/>
      <c r="J18" s="1830">
        <f t="shared" si="1"/>
        <v>0</v>
      </c>
    </row>
    <row r="19" spans="1:10" ht="12.75" customHeight="1" thickBot="1" x14ac:dyDescent="0.25">
      <c r="A19" s="1034">
        <v>8</v>
      </c>
      <c r="B19" s="1043" t="s">
        <v>1223</v>
      </c>
      <c r="D19" s="1044"/>
      <c r="E19" s="1832">
        <f t="shared" ref="E19:J19" si="2">SUM(E12:E17)-E18</f>
        <v>154835</v>
      </c>
      <c r="F19" s="1832">
        <f t="shared" si="2"/>
        <v>0</v>
      </c>
      <c r="G19" s="1832">
        <f t="shared" si="2"/>
        <v>154835</v>
      </c>
      <c r="H19" s="1832">
        <f t="shared" si="2"/>
        <v>0</v>
      </c>
      <c r="I19" s="1832">
        <f t="shared" si="2"/>
        <v>0</v>
      </c>
      <c r="J19" s="1832">
        <f t="shared" si="2"/>
        <v>0</v>
      </c>
    </row>
    <row r="20" spans="1:10" ht="13.5" thickTop="1" x14ac:dyDescent="0.2">
      <c r="A20" s="1034">
        <v>9</v>
      </c>
      <c r="B20" s="2584" t="s">
        <v>1703</v>
      </c>
      <c r="C20" s="2584"/>
      <c r="D20" s="2585"/>
      <c r="E20" s="1045"/>
      <c r="F20" s="1045"/>
      <c r="G20" s="1045"/>
      <c r="H20" s="1045"/>
      <c r="I20" s="1045"/>
      <c r="J20" s="1833" t="str">
        <f>IF(AND(G19&gt;0,J19&gt;0),(((J19-G19)/G19)),"Enter Budget Data")</f>
        <v>Enter Budget Data</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590"/>
      <c r="D26" s="2590"/>
      <c r="E26" s="1049"/>
      <c r="F26" s="2589"/>
      <c r="G26" s="2589"/>
    </row>
    <row r="27" spans="1:10" x14ac:dyDescent="0.2">
      <c r="B27" s="1046"/>
      <c r="C27" s="1050" t="s">
        <v>1093</v>
      </c>
      <c r="D27" s="1051"/>
      <c r="E27" s="1052"/>
      <c r="F27" s="2586" t="s">
        <v>1589</v>
      </c>
      <c r="G27" s="2586"/>
    </row>
    <row r="28" spans="1:10" ht="28.5" customHeight="1" x14ac:dyDescent="0.2">
      <c r="B28" s="1046"/>
      <c r="C28" s="2588"/>
      <c r="D28" s="2588"/>
      <c r="E28" s="1053"/>
      <c r="F28" s="2588"/>
      <c r="G28" s="2588"/>
    </row>
    <row r="29" spans="1:10" x14ac:dyDescent="0.2">
      <c r="B29" s="1046"/>
      <c r="C29" s="1054" t="s">
        <v>1642</v>
      </c>
      <c r="E29" s="1055"/>
      <c r="F29" s="2587" t="s">
        <v>1590</v>
      </c>
      <c r="G29" s="2587"/>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569" t="s">
        <v>134</v>
      </c>
      <c r="D33" s="2570"/>
      <c r="E33" s="2570"/>
      <c r="F33" s="2570"/>
      <c r="G33" s="2570"/>
      <c r="H33" s="2570"/>
      <c r="I33" s="2570"/>
    </row>
    <row r="34" spans="1:10" ht="10.35" customHeight="1" x14ac:dyDescent="0.2">
      <c r="C34" s="2570"/>
      <c r="D34" s="2570"/>
      <c r="E34" s="2570"/>
      <c r="F34" s="2570"/>
      <c r="G34" s="2570"/>
      <c r="H34" s="2570"/>
      <c r="I34" s="2570"/>
    </row>
    <row r="35" spans="1:10" ht="7.5" customHeight="1" x14ac:dyDescent="0.2">
      <c r="C35" s="1061"/>
    </row>
    <row r="36" spans="1:10" ht="13.5" customHeight="1" x14ac:dyDescent="0.2">
      <c r="B36" s="1060"/>
      <c r="C36" s="2571" t="s">
        <v>1940</v>
      </c>
      <c r="D36" s="2570"/>
      <c r="E36" s="2570"/>
      <c r="F36" s="2570"/>
      <c r="G36" s="2570"/>
      <c r="H36" s="2570"/>
      <c r="I36" s="2570"/>
      <c r="J36" s="1062"/>
    </row>
    <row r="37" spans="1:10" ht="22.5" customHeight="1" x14ac:dyDescent="0.2">
      <c r="C37" s="2570"/>
      <c r="D37" s="2570"/>
      <c r="E37" s="2570"/>
      <c r="F37" s="2570"/>
      <c r="G37" s="2570"/>
      <c r="H37" s="2570"/>
      <c r="I37" s="2570"/>
      <c r="J37" s="1062"/>
    </row>
    <row r="38" spans="1:10" ht="7.5" customHeight="1" x14ac:dyDescent="0.2">
      <c r="C38" s="1061"/>
      <c r="D38" s="1063"/>
      <c r="E38" s="1064"/>
      <c r="F38" s="1065"/>
      <c r="G38" s="1064"/>
    </row>
    <row r="39" spans="1:10" ht="13.5" customHeight="1" x14ac:dyDescent="0.2">
      <c r="B39" s="1060"/>
      <c r="C39" s="2567" t="s">
        <v>937</v>
      </c>
      <c r="D39" s="2568"/>
      <c r="E39" s="2568"/>
      <c r="F39" s="2568"/>
      <c r="G39" s="2568"/>
      <c r="H39" s="2568"/>
      <c r="I39" s="2568"/>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2248</v>
      </c>
    </row>
    <row r="6" spans="1:2" x14ac:dyDescent="0.2">
      <c r="A6" s="1067">
        <v>2</v>
      </c>
      <c r="B6" s="329" t="s">
        <v>2250</v>
      </c>
    </row>
    <row r="7" spans="1:2" x14ac:dyDescent="0.2">
      <c r="A7" s="1067">
        <v>3</v>
      </c>
      <c r="B7" s="329" t="s">
        <v>2249</v>
      </c>
    </row>
    <row r="8" spans="1:2" x14ac:dyDescent="0.2">
      <c r="A8" s="1067">
        <v>4</v>
      </c>
      <c r="B8" s="329" t="s">
        <v>2251</v>
      </c>
    </row>
    <row r="9" spans="1:2" x14ac:dyDescent="0.2">
      <c r="A9" s="1068"/>
      <c r="B9" s="329" t="s">
        <v>2252</v>
      </c>
    </row>
    <row r="10" spans="1:2" x14ac:dyDescent="0.2">
      <c r="A10" s="1068"/>
      <c r="B10" s="329" t="s">
        <v>2253</v>
      </c>
    </row>
    <row r="11" spans="1:2" x14ac:dyDescent="0.2">
      <c r="A11" s="1067">
        <v>5</v>
      </c>
      <c r="B11" s="329" t="s">
        <v>2255</v>
      </c>
    </row>
    <row r="12" spans="1:2" x14ac:dyDescent="0.2">
      <c r="A12" s="1068"/>
      <c r="B12" s="329" t="s">
        <v>2256</v>
      </c>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Bi County Sp Ed Co-op</v>
      </c>
    </row>
    <row r="65" spans="2:2" x14ac:dyDescent="0.2">
      <c r="B65" s="1069">
        <f>COVER!A13</f>
        <v>47098000061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5" t="s">
        <v>1709</v>
      </c>
    </row>
    <row r="23" spans="1:5" x14ac:dyDescent="0.2">
      <c r="A23" s="168"/>
      <c r="B23" s="162" t="s">
        <v>1965</v>
      </c>
      <c r="D23" s="167" t="s">
        <v>658</v>
      </c>
      <c r="E23" s="1855"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308" t="s">
        <v>1125</v>
      </c>
      <c r="B35" s="2308"/>
      <c r="C35" s="2308"/>
      <c r="D35" s="2308"/>
      <c r="E35" s="230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305" t="s">
        <v>715</v>
      </c>
      <c r="B40" s="2305"/>
      <c r="C40" s="2305"/>
      <c r="D40" s="2305"/>
      <c r="E40" s="2305"/>
    </row>
    <row r="41" spans="1:5" x14ac:dyDescent="0.2">
      <c r="A41" s="2306" t="s">
        <v>1706</v>
      </c>
      <c r="B41" s="2306"/>
      <c r="C41" s="2306"/>
      <c r="D41" s="2306"/>
      <c r="E41" s="2306"/>
    </row>
    <row r="42" spans="1:5" ht="12.75" customHeight="1" x14ac:dyDescent="0.2">
      <c r="A42" s="2307" t="s">
        <v>1080</v>
      </c>
      <c r="B42" s="2307"/>
      <c r="C42" s="2307"/>
      <c r="D42" s="2307"/>
      <c r="E42" s="2307"/>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3" t="s">
        <v>1875</v>
      </c>
    </row>
    <row r="60" spans="1:3" x14ac:dyDescent="0.2">
      <c r="A60" s="196"/>
      <c r="B60" s="1503"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5"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4"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591" t="s">
        <v>1784</v>
      </c>
      <c r="B18" s="259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592" t="s">
        <v>1790</v>
      </c>
      <c r="B1" s="2593"/>
      <c r="C1" s="2593"/>
      <c r="D1" s="2593"/>
      <c r="E1" s="2593"/>
      <c r="F1" s="2594"/>
    </row>
    <row r="2" spans="1:8" ht="45" customHeight="1" x14ac:dyDescent="0.2">
      <c r="A2" s="2602" t="s">
        <v>1791</v>
      </c>
      <c r="B2" s="2603"/>
      <c r="C2" s="2603"/>
      <c r="D2" s="2603"/>
      <c r="E2" s="2603"/>
      <c r="F2" s="2604"/>
      <c r="G2" s="1073"/>
      <c r="H2" s="1073"/>
    </row>
    <row r="3" spans="1:8" ht="57" customHeight="1" x14ac:dyDescent="0.2">
      <c r="A3" s="2605" t="s">
        <v>1786</v>
      </c>
      <c r="B3" s="2606"/>
      <c r="C3" s="2606"/>
      <c r="D3" s="2606"/>
      <c r="E3" s="2606"/>
      <c r="F3" s="2607"/>
      <c r="G3" s="1073"/>
      <c r="H3" s="1073"/>
    </row>
    <row r="4" spans="1:8" ht="14.25" customHeight="1" x14ac:dyDescent="0.2">
      <c r="A4" s="2611" t="s">
        <v>2052</v>
      </c>
      <c r="B4" s="2612"/>
      <c r="C4" s="2612"/>
      <c r="D4" s="2612"/>
      <c r="E4" s="2612"/>
      <c r="F4" s="2613"/>
      <c r="G4" s="1073"/>
      <c r="H4" s="1073"/>
    </row>
    <row r="5" spans="1:8" ht="14.25" customHeight="1" x14ac:dyDescent="0.2">
      <c r="A5" s="2614" t="s">
        <v>2053</v>
      </c>
      <c r="B5" s="2615"/>
      <c r="C5" s="2615"/>
      <c r="D5" s="2615"/>
      <c r="E5" s="2615"/>
      <c r="F5" s="2616"/>
      <c r="G5" s="1073"/>
      <c r="H5" s="1073"/>
    </row>
    <row r="6" spans="1:8" s="1074" customFormat="1" ht="41.25" customHeight="1" x14ac:dyDescent="0.2">
      <c r="A6" s="2608" t="s">
        <v>1792</v>
      </c>
      <c r="B6" s="2609"/>
      <c r="C6" s="2609"/>
      <c r="D6" s="2609"/>
      <c r="E6" s="2609"/>
      <c r="F6" s="2610"/>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4">
        <f>'Acct Summary 7-8'!C8</f>
        <v>5587412</v>
      </c>
      <c r="C8" s="1834">
        <f>'Acct Summary 7-8'!D8</f>
        <v>0</v>
      </c>
      <c r="D8" s="1834">
        <f>'Acct Summary 7-8'!F8</f>
        <v>0</v>
      </c>
      <c r="E8" s="1834">
        <f>'Acct Summary 7-8'!I8</f>
        <v>0</v>
      </c>
      <c r="F8" s="1834">
        <f>SUM(B8:E8)</f>
        <v>5587412</v>
      </c>
    </row>
    <row r="9" spans="1:8" s="1078" customFormat="1" ht="14.25" customHeight="1" thickBot="1" x14ac:dyDescent="0.25">
      <c r="A9" s="1077" t="s">
        <v>1436</v>
      </c>
      <c r="B9" s="1835">
        <f>'Acct Summary 7-8'!C17</f>
        <v>5702146</v>
      </c>
      <c r="C9" s="1835">
        <f>'Acct Summary 7-8'!D17</f>
        <v>0</v>
      </c>
      <c r="D9" s="1835">
        <f>'Acct Summary 7-8'!F17</f>
        <v>0</v>
      </c>
      <c r="E9" s="1834"/>
      <c r="F9" s="1834">
        <f>SUM(B9:E9)</f>
        <v>5702146</v>
      </c>
    </row>
    <row r="10" spans="1:8" s="1078" customFormat="1" ht="14.25" thickTop="1" thickBot="1" x14ac:dyDescent="0.25">
      <c r="A10" s="1079" t="s">
        <v>1437</v>
      </c>
      <c r="B10" s="1836">
        <f>(B8-B9)</f>
        <v>-114734</v>
      </c>
      <c r="C10" s="1836">
        <f>(C8-C9)</f>
        <v>0</v>
      </c>
      <c r="D10" s="1836">
        <f>(D8-D9)</f>
        <v>0</v>
      </c>
      <c r="E10" s="1835">
        <f>(E8-E9)</f>
        <v>0</v>
      </c>
      <c r="F10" s="1837">
        <f>SUM(F8-F9)</f>
        <v>-114734</v>
      </c>
    </row>
    <row r="11" spans="1:8" s="1078" customFormat="1" ht="14.25" thickTop="1" thickBot="1" x14ac:dyDescent="0.25">
      <c r="A11" s="1080" t="s">
        <v>1785</v>
      </c>
      <c r="B11" s="1838">
        <f>'Acct Summary 7-8'!C81</f>
        <v>47890</v>
      </c>
      <c r="C11" s="1838">
        <f>'Acct Summary 7-8'!D81</f>
        <v>0</v>
      </c>
      <c r="D11" s="1838">
        <f>'Acct Summary 7-8'!F81</f>
        <v>0</v>
      </c>
      <c r="E11" s="1838">
        <f>'Acct Summary 7-8'!I81</f>
        <v>0</v>
      </c>
      <c r="F11" s="1839">
        <f>SUM(B11:E11)</f>
        <v>47890</v>
      </c>
    </row>
    <row r="12" spans="1:8" ht="16.5" customHeight="1" thickTop="1" x14ac:dyDescent="0.2">
      <c r="A12" s="1081"/>
      <c r="B12" s="1082"/>
      <c r="C12" s="2596"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597"/>
      <c r="E12" s="2597"/>
      <c r="F12" s="2598"/>
    </row>
    <row r="13" spans="1:8" ht="19.5" customHeight="1" x14ac:dyDescent="0.2">
      <c r="A13" s="1083"/>
      <c r="B13" s="1084"/>
      <c r="C13" s="2596"/>
      <c r="D13" s="2597"/>
      <c r="E13" s="2597"/>
      <c r="F13" s="2598"/>
      <c r="H13" s="1073"/>
    </row>
    <row r="14" spans="1:8" ht="19.5" customHeight="1" x14ac:dyDescent="0.2">
      <c r="A14" s="1083"/>
      <c r="B14" s="1084"/>
      <c r="C14" s="2596"/>
      <c r="D14" s="2597"/>
      <c r="E14" s="2597"/>
      <c r="F14" s="2598"/>
      <c r="H14" s="1073"/>
    </row>
    <row r="15" spans="1:8" ht="17.25" customHeight="1" x14ac:dyDescent="0.2">
      <c r="A15" s="1083"/>
      <c r="B15" s="1084"/>
      <c r="C15" s="2599"/>
      <c r="D15" s="2600"/>
      <c r="E15" s="2600"/>
      <c r="F15" s="2601"/>
      <c r="H15" s="1073"/>
    </row>
    <row r="16" spans="1:8" s="310" customFormat="1" ht="51.75" hidden="1" customHeight="1" x14ac:dyDescent="0.2">
      <c r="A16" s="2595" t="s">
        <v>1787</v>
      </c>
      <c r="B16" s="2595"/>
      <c r="C16" s="2595"/>
      <c r="D16" s="2595"/>
      <c r="E16" s="2595"/>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8"/>
      <c r="B2" s="1919"/>
      <c r="C2" s="1920"/>
      <c r="D2" s="1921"/>
    </row>
    <row r="3" spans="1:4" ht="36" customHeight="1" x14ac:dyDescent="0.2">
      <c r="A3" s="2617" t="s">
        <v>686</v>
      </c>
      <c r="B3" s="2618"/>
      <c r="C3" s="2618"/>
      <c r="D3" s="2619"/>
    </row>
    <row r="4" spans="1:4" x14ac:dyDescent="0.2">
      <c r="A4" s="1151" t="s">
        <v>1793</v>
      </c>
      <c r="B4" s="1152"/>
      <c r="C4" s="1153"/>
      <c r="D4" s="1154"/>
    </row>
    <row r="5" spans="1:4" ht="21" customHeight="1" x14ac:dyDescent="0.2">
      <c r="A5" s="1147"/>
      <c r="B5" s="1148">
        <v>1</v>
      </c>
      <c r="C5" s="1149" t="s">
        <v>1942</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628" t="s">
        <v>1584</v>
      </c>
      <c r="D7" s="2629"/>
    </row>
    <row r="8" spans="1:4" s="667" customFormat="1" ht="12.75" x14ac:dyDescent="0.2">
      <c r="A8" s="1137"/>
      <c r="B8" s="1092"/>
      <c r="C8" s="1095" t="s">
        <v>1583</v>
      </c>
      <c r="D8" s="1096"/>
    </row>
    <row r="9" spans="1:4" s="667" customFormat="1" ht="14.25" customHeight="1" x14ac:dyDescent="0.2">
      <c r="A9" s="1137"/>
      <c r="B9" s="1092">
        <f>B7+1</f>
        <v>4</v>
      </c>
      <c r="C9" s="1093" t="s">
        <v>2045</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620" t="s">
        <v>1065</v>
      </c>
      <c r="B15" s="2621"/>
      <c r="C15" s="2621"/>
      <c r="D15" s="2622"/>
    </row>
    <row r="16" spans="1:4" s="667" customFormat="1" ht="24" customHeight="1" x14ac:dyDescent="0.2">
      <c r="A16" s="2623" t="s">
        <v>684</v>
      </c>
      <c r="B16" s="2624"/>
      <c r="C16" s="2624"/>
      <c r="D16" s="2625"/>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632" t="s">
        <v>332</v>
      </c>
      <c r="D21" s="2633"/>
    </row>
    <row r="22" spans="1:10" ht="12.75" x14ac:dyDescent="0.2">
      <c r="A22" s="1138"/>
      <c r="B22" s="1139">
        <v>2</v>
      </c>
      <c r="C22" s="2630" t="s">
        <v>1605</v>
      </c>
      <c r="D22" s="2631"/>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634" t="s">
        <v>557</v>
      </c>
      <c r="D43" s="2635"/>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626" t="s">
        <v>817</v>
      </c>
      <c r="D56" s="2627"/>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2046</v>
      </c>
      <c r="D66" s="1124"/>
    </row>
    <row r="67" spans="1:4" x14ac:dyDescent="0.2">
      <c r="A67" s="1118"/>
      <c r="B67" s="1139"/>
      <c r="C67" s="1146" t="s">
        <v>1079</v>
      </c>
      <c r="D67" s="1124"/>
    </row>
    <row r="68" spans="1:4" x14ac:dyDescent="0.2">
      <c r="A68" s="1099"/>
      <c r="B68" s="1109"/>
      <c r="C68" s="1101" t="s">
        <v>2047</v>
      </c>
      <c r="D68" s="1123" t="str">
        <f>IF('Short-Term Long-Term Debt 24'!F49=SUM(,'Acct Summary 7-8'!C33:K33),"OK","ERROR!")</f>
        <v>OK</v>
      </c>
    </row>
    <row r="69" spans="1:4" x14ac:dyDescent="0.2">
      <c r="A69" s="1099"/>
      <c r="B69" s="1109"/>
      <c r="C69" s="1101" t="s">
        <v>2048</v>
      </c>
      <c r="D69" s="1123" t="str">
        <f>IF('Expenditures 15-22'!H170&lt;&gt;'Short-Term Long-Term Debt 24'!H49,"ERROR!","OK")</f>
        <v>OK</v>
      </c>
    </row>
    <row r="70" spans="1:4" x14ac:dyDescent="0.2">
      <c r="A70" s="1097"/>
      <c r="B70" s="1119">
        <f>B66+1</f>
        <v>9</v>
      </c>
      <c r="C70" s="2626" t="s">
        <v>1797</v>
      </c>
      <c r="D70" s="2627"/>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2049</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2050</v>
      </c>
      <c r="D78" s="1123" t="str">
        <f>IF(ISNUMBER('Acct Summary 7-8'!C9),"OK","ENTRY IS REQUIRED!")</f>
        <v>OK</v>
      </c>
    </row>
    <row r="79" spans="1:4" x14ac:dyDescent="0.2">
      <c r="A79" s="1118"/>
      <c r="B79" s="1119">
        <f>B74+1+1</f>
        <v>12</v>
      </c>
      <c r="C79" s="1129" t="s">
        <v>2015</v>
      </c>
      <c r="D79" s="1130" t="str">
        <f>IF(OR(COVER!$B$6="X",'PCTC-OEPP 27-28'!F78&gt;0),"OK","PLEASE ENTER 9 MO ADA.")</f>
        <v>OK</v>
      </c>
    </row>
    <row r="80" spans="1:4" x14ac:dyDescent="0.2">
      <c r="A80" s="1097"/>
      <c r="B80" s="1119">
        <v>13</v>
      </c>
      <c r="C80" s="1129" t="s">
        <v>2051</v>
      </c>
      <c r="D80" s="1130" t="str">
        <f>IF('Contracts Paid in CY 29'!D141&gt;0,"OK","PLEASE ENTER CONTRACTS PAID IN CURRENT YEAR.")</f>
        <v>PLEASE ENTER CONTRACTS PAID IN CURRENT YEAR.</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47098000061</v>
      </c>
    </row>
    <row r="3" spans="1:2" x14ac:dyDescent="0.2">
      <c r="A3" t="s">
        <v>1013</v>
      </c>
      <c r="B3" s="138" t="str">
        <f>COVER!A15</f>
        <v>Whiteside/Carroll</v>
      </c>
    </row>
    <row r="4" spans="1:2" x14ac:dyDescent="0.2">
      <c r="A4" t="s">
        <v>1064</v>
      </c>
      <c r="B4" s="138" t="str">
        <f>COVER!A17</f>
        <v>Bi County Sp Ed Co-op</v>
      </c>
    </row>
    <row r="5" spans="1:2" x14ac:dyDescent="0.2">
      <c r="A5" t="s">
        <v>728</v>
      </c>
      <c r="B5" s="138" t="str">
        <f>COVER!A38</f>
        <v>Laurie A. Heston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58945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11055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11055</v>
      </c>
      <c r="C91" s="2" t="s">
        <v>594</v>
      </c>
      <c r="D91" s="2" t="str">
        <f t="shared" si="0"/>
        <v>Error?</v>
      </c>
    </row>
    <row r="92" spans="1:4" x14ac:dyDescent="0.2">
      <c r="A92" s="5">
        <v>31</v>
      </c>
      <c r="B92" s="138">
        <f>'Assets-Liab 5-6'!C39</f>
        <v>47890</v>
      </c>
      <c r="D92" s="2" t="str">
        <f t="shared" si="0"/>
        <v>Error?</v>
      </c>
    </row>
    <row r="93" spans="1:4" x14ac:dyDescent="0.2">
      <c r="A93" s="5">
        <v>32</v>
      </c>
      <c r="B93" s="138">
        <f>'Assets-Liab 5-6'!C41</f>
        <v>58945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989563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989563</v>
      </c>
      <c r="C279" s="2" t="s">
        <v>594</v>
      </c>
      <c r="D279" s="2" t="str">
        <f t="shared" si="3"/>
        <v>Error?</v>
      </c>
    </row>
    <row r="280" spans="1:4" x14ac:dyDescent="0.2">
      <c r="A280" s="5">
        <v>219</v>
      </c>
      <c r="B280" s="138">
        <f>'Assets-Liab 5-6'!M40</f>
        <v>989563</v>
      </c>
      <c r="D280" s="2" t="str">
        <f t="shared" si="3"/>
        <v>Error?</v>
      </c>
    </row>
    <row r="281" spans="1:4" x14ac:dyDescent="0.2">
      <c r="A281" s="5">
        <v>220</v>
      </c>
      <c r="B281" s="138">
        <f>'Assets-Liab 5-6'!M41</f>
        <v>989563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4785</v>
      </c>
      <c r="D719" s="2" t="str">
        <f t="shared" si="10"/>
        <v>Error?</v>
      </c>
    </row>
    <row r="720" spans="1:4" x14ac:dyDescent="0.2">
      <c r="A720" s="5">
        <v>659</v>
      </c>
      <c r="B720" s="138">
        <f>'Expenditures 15-22'!C33</f>
        <v>2018928</v>
      </c>
      <c r="C720" s="2" t="s">
        <v>594</v>
      </c>
      <c r="D720" s="2" t="str">
        <f t="shared" si="10"/>
        <v>Error?</v>
      </c>
    </row>
    <row r="721" spans="1:4" x14ac:dyDescent="0.2">
      <c r="A721" s="5">
        <v>660</v>
      </c>
      <c r="B721" s="138">
        <f>'Expenditures 15-22'!C36</f>
        <v>392030</v>
      </c>
      <c r="D721" s="2" t="str">
        <f t="shared" si="10"/>
        <v>Error?</v>
      </c>
    </row>
    <row r="722" spans="1:4" x14ac:dyDescent="0.2">
      <c r="A722" s="5">
        <v>661</v>
      </c>
      <c r="B722" s="138">
        <f>'Expenditures 15-22'!C37</f>
        <v>27300</v>
      </c>
      <c r="D722" s="2" t="str">
        <f t="shared" si="10"/>
        <v>Error?</v>
      </c>
    </row>
    <row r="723" spans="1:4" x14ac:dyDescent="0.2">
      <c r="A723" s="5">
        <v>662</v>
      </c>
      <c r="B723" s="138">
        <f>'Expenditures 15-22'!C38</f>
        <v>207461</v>
      </c>
      <c r="D723" s="2" t="str">
        <f t="shared" si="10"/>
        <v>Error?</v>
      </c>
    </row>
    <row r="724" spans="1:4" x14ac:dyDescent="0.2">
      <c r="A724" s="5">
        <v>663</v>
      </c>
      <c r="B724" s="138">
        <f>'Expenditures 15-22'!C39</f>
        <v>459763</v>
      </c>
      <c r="D724" s="2" t="str">
        <f t="shared" si="10"/>
        <v>Error?</v>
      </c>
    </row>
    <row r="725" spans="1:4" x14ac:dyDescent="0.2">
      <c r="A725" s="5">
        <v>664</v>
      </c>
      <c r="B725" s="138">
        <f>'Expenditures 15-22'!C40</f>
        <v>138650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1225204</v>
      </c>
      <c r="C727" s="2" t="s">
        <v>594</v>
      </c>
      <c r="D727" s="2" t="str">
        <f t="shared" si="10"/>
        <v>Error?</v>
      </c>
    </row>
    <row r="728" spans="1:4" x14ac:dyDescent="0.2">
      <c r="A728" s="5">
        <v>667</v>
      </c>
      <c r="B728" s="138">
        <f>'Expenditures 15-22'!C44</f>
        <v>51392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51392</v>
      </c>
      <c r="C731" s="2" t="s">
        <v>594</v>
      </c>
      <c r="D731" s="2" t="str">
        <f t="shared" si="10"/>
        <v>Error?</v>
      </c>
    </row>
    <row r="732" spans="1:4" x14ac:dyDescent="0.2">
      <c r="A732" s="5">
        <v>671</v>
      </c>
      <c r="B732" s="138">
        <f>'Expenditures 15-22'!C49</f>
        <v>257620</v>
      </c>
      <c r="D732" s="2" t="str">
        <f t="shared" si="10"/>
        <v>Error?</v>
      </c>
    </row>
    <row r="733" spans="1:4" x14ac:dyDescent="0.2">
      <c r="A733" s="5">
        <v>672</v>
      </c>
      <c r="B733" s="138">
        <f>'Expenditures 15-22'!C50</f>
        <v>117788</v>
      </c>
      <c r="D733" s="2" t="str">
        <f t="shared" si="10"/>
        <v>Error?</v>
      </c>
    </row>
    <row r="734" spans="1:4" x14ac:dyDescent="0.2">
      <c r="A734" s="5">
        <v>673</v>
      </c>
      <c r="B734" s="138">
        <f>'Expenditures 15-22'!C53</f>
        <v>375408</v>
      </c>
      <c r="C734" s="2" t="s">
        <v>594</v>
      </c>
      <c r="D734" s="2" t="str">
        <f t="shared" si="10"/>
        <v>Error?</v>
      </c>
    </row>
    <row r="735" spans="1:4" x14ac:dyDescent="0.2">
      <c r="A735" s="5">
        <v>674</v>
      </c>
      <c r="B735" s="138">
        <f>'Expenditures 15-22'!C55</f>
        <v>22171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22171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42421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42421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1716596</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3735524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785</v>
      </c>
      <c r="D777" s="2" t="str">
        <f t="shared" si="11"/>
        <v>Error?</v>
      </c>
    </row>
    <row r="778" spans="1:4" x14ac:dyDescent="0.2">
      <c r="A778" s="5">
        <v>717</v>
      </c>
      <c r="B778" s="138">
        <f>'Expenditures 15-22'!D33</f>
        <v>501530</v>
      </c>
      <c r="C778" s="2" t="s">
        <v>594</v>
      </c>
      <c r="D778" s="2" t="str">
        <f t="shared" si="11"/>
        <v>Error?</v>
      </c>
    </row>
    <row r="779" spans="1:4" x14ac:dyDescent="0.2">
      <c r="A779" s="5">
        <v>718</v>
      </c>
      <c r="B779" s="138">
        <f>'Expenditures 15-22'!D36</f>
        <v>93226</v>
      </c>
      <c r="D779" s="2" t="str">
        <f t="shared" si="11"/>
        <v>Error?</v>
      </c>
    </row>
    <row r="780" spans="1:4" x14ac:dyDescent="0.2">
      <c r="A780" s="5">
        <v>719</v>
      </c>
      <c r="B780" s="138">
        <f>'Expenditures 15-22'!D37</f>
        <v>4933</v>
      </c>
      <c r="D780" s="2" t="str">
        <f t="shared" si="11"/>
        <v>Error?</v>
      </c>
    </row>
    <row r="781" spans="1:4" x14ac:dyDescent="0.2">
      <c r="A781" s="5">
        <v>720</v>
      </c>
      <c r="B781" s="138">
        <f>'Expenditures 15-22'!D38</f>
        <v>61672</v>
      </c>
      <c r="D781" s="2" t="str">
        <f t="shared" si="11"/>
        <v>Error?</v>
      </c>
    </row>
    <row r="782" spans="1:4" x14ac:dyDescent="0.2">
      <c r="A782" s="5">
        <v>721</v>
      </c>
      <c r="B782" s="138">
        <f>'Expenditures 15-22'!D39</f>
        <v>106550</v>
      </c>
      <c r="D782" s="2" t="str">
        <f t="shared" si="11"/>
        <v>Error?</v>
      </c>
    </row>
    <row r="783" spans="1:4" x14ac:dyDescent="0.2">
      <c r="A783" s="5">
        <v>722</v>
      </c>
      <c r="B783" s="138">
        <f>'Expenditures 15-22'!D40</f>
        <v>31712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298093</v>
      </c>
      <c r="C785" s="2" t="s">
        <v>594</v>
      </c>
      <c r="D785" s="2" t="str">
        <f t="shared" si="11"/>
        <v>Error?</v>
      </c>
    </row>
    <row r="786" spans="1:4" x14ac:dyDescent="0.2">
      <c r="A786" s="5">
        <v>725</v>
      </c>
      <c r="B786" s="138">
        <f>'Expenditures 15-22'!D44</f>
        <v>12264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12264</v>
      </c>
      <c r="C789" s="2" t="s">
        <v>594</v>
      </c>
      <c r="D789" s="2" t="str">
        <f t="shared" si="11"/>
        <v>Error?</v>
      </c>
    </row>
    <row r="790" spans="1:4" x14ac:dyDescent="0.2">
      <c r="A790" s="5">
        <v>729</v>
      </c>
      <c r="B790" s="138">
        <f>'Expenditures 15-22'!D49</f>
        <v>110913</v>
      </c>
      <c r="D790" s="2" t="str">
        <f t="shared" si="11"/>
        <v>Error?</v>
      </c>
    </row>
    <row r="791" spans="1:4" x14ac:dyDescent="0.2">
      <c r="A791" s="5">
        <v>730</v>
      </c>
      <c r="B791" s="138">
        <f>'Expenditures 15-22'!D50</f>
        <v>27624</v>
      </c>
      <c r="D791" s="2" t="str">
        <f t="shared" si="11"/>
        <v>Error?</v>
      </c>
    </row>
    <row r="792" spans="1:4" x14ac:dyDescent="0.2">
      <c r="A792" s="5">
        <v>731</v>
      </c>
      <c r="B792" s="138">
        <f>'Expenditures 15-22'!D53</f>
        <v>138537</v>
      </c>
      <c r="C792" s="2" t="s">
        <v>594</v>
      </c>
      <c r="D792" s="2" t="str">
        <f t="shared" si="11"/>
        <v>Error?</v>
      </c>
    </row>
    <row r="793" spans="1:4" x14ac:dyDescent="0.2">
      <c r="A793" s="5">
        <v>732</v>
      </c>
      <c r="B793" s="138">
        <f>'Expenditures 15-22'!D55</f>
        <v>11957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11957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16653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16653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477504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979034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51000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71</v>
      </c>
      <c r="D835" s="2" t="str">
        <f t="shared" si="12"/>
        <v>Error?</v>
      </c>
    </row>
    <row r="836" spans="1:4" x14ac:dyDescent="0.2">
      <c r="A836" s="5">
        <v>775</v>
      </c>
      <c r="B836" s="138">
        <f>'Expenditures 15-22'!E33</f>
        <v>87147</v>
      </c>
      <c r="C836" s="2" t="s">
        <v>594</v>
      </c>
      <c r="D836" s="2" t="str">
        <f t="shared" si="12"/>
        <v>Error?</v>
      </c>
    </row>
    <row r="837" spans="1:4" x14ac:dyDescent="0.2">
      <c r="A837" s="5">
        <v>776</v>
      </c>
      <c r="B837" s="138">
        <f>'Expenditures 15-22'!E36</f>
        <v>8992</v>
      </c>
      <c r="D837" s="2" t="str">
        <f t="shared" si="12"/>
        <v>Error?</v>
      </c>
    </row>
    <row r="838" spans="1:4" x14ac:dyDescent="0.2">
      <c r="A838" s="5">
        <v>777</v>
      </c>
      <c r="B838" s="138">
        <f>'Expenditures 15-22'!E37</f>
        <v>3429</v>
      </c>
      <c r="D838" s="2" t="str">
        <f t="shared" si="12"/>
        <v>Error?</v>
      </c>
    </row>
    <row r="839" spans="1:4" x14ac:dyDescent="0.2">
      <c r="A839" s="5">
        <v>778</v>
      </c>
      <c r="B839" s="138">
        <f>'Expenditures 15-22'!E38</f>
        <v>79254</v>
      </c>
      <c r="D839" s="2" t="str">
        <f t="shared" si="12"/>
        <v>Error?</v>
      </c>
    </row>
    <row r="840" spans="1:4" x14ac:dyDescent="0.2">
      <c r="A840" s="5">
        <v>779</v>
      </c>
      <c r="B840" s="138">
        <f>'Expenditures 15-22'!E39</f>
        <v>11655</v>
      </c>
      <c r="D840" s="2" t="str">
        <f t="shared" si="12"/>
        <v>Error?</v>
      </c>
    </row>
    <row r="841" spans="1:4" x14ac:dyDescent="0.2">
      <c r="A841" s="5">
        <v>780</v>
      </c>
      <c r="B841" s="138">
        <f>'Expenditures 15-22'!E40</f>
        <v>3691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107021</v>
      </c>
      <c r="C843" s="2" t="s">
        <v>594</v>
      </c>
      <c r="D843" s="2" t="str">
        <f t="shared" si="12"/>
        <v>Error?</v>
      </c>
    </row>
    <row r="844" spans="1:4" x14ac:dyDescent="0.2">
      <c r="A844" s="5">
        <v>783</v>
      </c>
      <c r="B844" s="138">
        <f>'Expenditures 15-22'!E44</f>
        <v>73770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73770</v>
      </c>
      <c r="C847" s="2" t="s">
        <v>594</v>
      </c>
      <c r="D847" s="2" t="str">
        <f t="shared" si="12"/>
        <v>Error?</v>
      </c>
    </row>
    <row r="848" spans="1:4" x14ac:dyDescent="0.2">
      <c r="A848" s="5">
        <v>787</v>
      </c>
      <c r="B848" s="138">
        <f>'Expenditures 15-22'!E49</f>
        <v>99590</v>
      </c>
      <c r="D848" s="2" t="str">
        <f t="shared" si="12"/>
        <v>Error?</v>
      </c>
    </row>
    <row r="849" spans="1:4" x14ac:dyDescent="0.2">
      <c r="A849" s="5">
        <v>788</v>
      </c>
      <c r="B849" s="138">
        <f>'Expenditures 15-22'!E50</f>
        <v>5621</v>
      </c>
      <c r="D849" s="2" t="str">
        <f t="shared" si="12"/>
        <v>Error?</v>
      </c>
    </row>
    <row r="850" spans="1:4" x14ac:dyDescent="0.2">
      <c r="A850" s="5">
        <v>789</v>
      </c>
      <c r="B850" s="138">
        <f>'Expenditures 15-22'!E53</f>
        <v>109013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1051</v>
      </c>
      <c r="D855" s="2" t="str">
        <f t="shared" si="12"/>
        <v>Error?</v>
      </c>
    </row>
    <row r="856" spans="1:4" x14ac:dyDescent="0.2">
      <c r="A856" s="5">
        <v>795</v>
      </c>
      <c r="B856" s="138">
        <f>'Expenditures 15-22'!E61</f>
        <v>65411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66462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2459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2459</v>
      </c>
      <c r="C869" s="2" t="s">
        <v>594</v>
      </c>
      <c r="D869" s="2" t="str">
        <f t="shared" si="12"/>
        <v>Error?</v>
      </c>
    </row>
    <row r="870" spans="1:4" x14ac:dyDescent="0.2">
      <c r="A870" s="5">
        <v>809</v>
      </c>
      <c r="B870" s="138">
        <f>'Expenditures 15-22'!E73</f>
        <v>50024</v>
      </c>
      <c r="D870" s="2" t="str">
        <f t="shared" si="12"/>
        <v>Error?</v>
      </c>
    </row>
    <row r="871" spans="1:4" x14ac:dyDescent="0.2">
      <c r="A871" s="5">
        <v>810</v>
      </c>
      <c r="B871" s="138">
        <f>'Expenditures 15-22'!E74</f>
        <v>408749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728730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18994</v>
      </c>
      <c r="C894" s="2" t="s">
        <v>594</v>
      </c>
      <c r="D894" s="2" t="str">
        <f t="shared" si="12"/>
        <v>Error?</v>
      </c>
    </row>
    <row r="895" spans="1:4" x14ac:dyDescent="0.2">
      <c r="A895" s="5">
        <v>834</v>
      </c>
      <c r="B895" s="138">
        <f>'Expenditures 15-22'!F36</f>
        <v>309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2602</v>
      </c>
      <c r="D897" s="2" t="str">
        <f t="shared" si="13"/>
        <v>Error?</v>
      </c>
    </row>
    <row r="898" spans="1:4" x14ac:dyDescent="0.2">
      <c r="A898" s="5">
        <v>837</v>
      </c>
      <c r="B898" s="138">
        <f>'Expenditures 15-22'!F39</f>
        <v>7987</v>
      </c>
      <c r="D898" s="2" t="str">
        <f t="shared" si="13"/>
        <v>Error?</v>
      </c>
    </row>
    <row r="899" spans="1:4" x14ac:dyDescent="0.2">
      <c r="A899" s="5">
        <v>838</v>
      </c>
      <c r="B899" s="138">
        <f>'Expenditures 15-22'!F40</f>
        <v>1304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12202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70111</v>
      </c>
      <c r="D906" s="2" t="str">
        <f t="shared" si="13"/>
        <v>Error?</v>
      </c>
    </row>
    <row r="907" spans="1:4" x14ac:dyDescent="0.2">
      <c r="A907" s="5">
        <v>846</v>
      </c>
      <c r="B907" s="138">
        <f>'Expenditures 15-22'!F50</f>
        <v>0</v>
      </c>
      <c r="D907" s="2" t="str">
        <f t="shared" si="13"/>
        <v>Error?</v>
      </c>
    </row>
    <row r="908" spans="1:4" x14ac:dyDescent="0.2">
      <c r="A908" s="5">
        <v>847</v>
      </c>
      <c r="B908" s="138">
        <f>'Expenditures 15-22'!F53</f>
        <v>70111</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12992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12992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25795</v>
      </c>
      <c r="D925" s="2" t="str">
        <f t="shared" si="13"/>
        <v>Error?</v>
      </c>
    </row>
    <row r="926" spans="1:4" x14ac:dyDescent="0.2">
      <c r="A926" s="10">
        <v>865</v>
      </c>
      <c r="D926" s="2" t="str">
        <f t="shared" si="13"/>
        <v>OK</v>
      </c>
    </row>
    <row r="927" spans="1:4" x14ac:dyDescent="0.2">
      <c r="A927" s="5">
        <v>866</v>
      </c>
      <c r="B927" s="138">
        <f>'Expenditures 15-22'!F72</f>
        <v>25795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121100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140094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17745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6448</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6448</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6448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24193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94571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94571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51000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5641</v>
      </c>
      <c r="C1107" s="2" t="s">
        <v>594</v>
      </c>
      <c r="D1107" s="2" t="str">
        <f t="shared" si="16"/>
        <v>Error?</v>
      </c>
    </row>
    <row r="1108" spans="1:4" x14ac:dyDescent="0.2">
      <c r="A1108" s="5">
        <v>1047</v>
      </c>
      <c r="B1108" s="138">
        <f>'Expenditures 15-22'!K33</f>
        <v>2644344</v>
      </c>
      <c r="C1108" s="2" t="s">
        <v>594</v>
      </c>
      <c r="D1108" s="2" t="str">
        <f t="shared" si="16"/>
        <v>Error?</v>
      </c>
    </row>
    <row r="1109" spans="1:4" x14ac:dyDescent="0.2">
      <c r="A1109" s="5">
        <v>1048</v>
      </c>
      <c r="B1109" s="138">
        <f>'Expenditures 15-22'!K36</f>
        <v>494557</v>
      </c>
      <c r="C1109" s="2" t="s">
        <v>594</v>
      </c>
      <c r="D1109" s="2" t="str">
        <f t="shared" si="16"/>
        <v>Error?</v>
      </c>
    </row>
    <row r="1110" spans="1:4" x14ac:dyDescent="0.2">
      <c r="A1110" s="5">
        <v>1049</v>
      </c>
      <c r="B1110" s="138">
        <f>'Expenditures 15-22'!K37</f>
        <v>35662</v>
      </c>
      <c r="C1110" s="2" t="s">
        <v>594</v>
      </c>
      <c r="D1110" s="2" t="str">
        <f t="shared" si="16"/>
        <v>Error?</v>
      </c>
    </row>
    <row r="1111" spans="1:4" x14ac:dyDescent="0.2">
      <c r="A1111" s="5">
        <v>1050</v>
      </c>
      <c r="B1111" s="138">
        <f>'Expenditures 15-22'!K38</f>
        <v>350989</v>
      </c>
      <c r="C1111" s="2" t="s">
        <v>594</v>
      </c>
      <c r="D1111" s="2" t="str">
        <f t="shared" si="16"/>
        <v>Error?</v>
      </c>
    </row>
    <row r="1112" spans="1:4" x14ac:dyDescent="0.2">
      <c r="A1112" s="5">
        <v>1051</v>
      </c>
      <c r="B1112" s="138">
        <f>'Expenditures 15-22'!K39</f>
        <v>585955</v>
      </c>
      <c r="C1112" s="2" t="s">
        <v>594</v>
      </c>
      <c r="D1112" s="2" t="str">
        <f t="shared" si="16"/>
        <v>Error?</v>
      </c>
    </row>
    <row r="1113" spans="1:4" x14ac:dyDescent="0.2">
      <c r="A1113" s="5">
        <v>1052</v>
      </c>
      <c r="B1113" s="138">
        <f>'Expenditures 15-22'!K40</f>
        <v>175357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1642520</v>
      </c>
      <c r="C1115" s="2" t="s">
        <v>594</v>
      </c>
      <c r="D1115" s="2" t="str">
        <f t="shared" si="16"/>
        <v>Error?</v>
      </c>
    </row>
    <row r="1116" spans="1:4" x14ac:dyDescent="0.2">
      <c r="A1116" s="5">
        <v>1055</v>
      </c>
      <c r="B1116" s="138">
        <f>'Expenditures 15-22'!K44</f>
        <v>137426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137426</v>
      </c>
      <c r="C1119" s="2" t="s">
        <v>594</v>
      </c>
      <c r="D1119" s="2" t="str">
        <f t="shared" si="16"/>
        <v>Error?</v>
      </c>
    </row>
    <row r="1120" spans="1:4" x14ac:dyDescent="0.2">
      <c r="A1120" s="5">
        <v>1059</v>
      </c>
      <c r="B1120" s="138">
        <f>'Expenditures 15-22'!K49</f>
        <v>544682</v>
      </c>
      <c r="C1120" s="2" t="s">
        <v>594</v>
      </c>
      <c r="D1120" s="2" t="str">
        <f t="shared" si="16"/>
        <v>Error?</v>
      </c>
    </row>
    <row r="1121" spans="1:4" x14ac:dyDescent="0.2">
      <c r="A1121" s="5">
        <v>1060</v>
      </c>
      <c r="B1121" s="138">
        <f>'Expenditures 15-22'!K50</f>
        <v>151033</v>
      </c>
      <c r="C1121" s="2" t="s">
        <v>594</v>
      </c>
      <c r="D1121" s="2" t="str">
        <f t="shared" si="16"/>
        <v>Error?</v>
      </c>
    </row>
    <row r="1122" spans="1:4" x14ac:dyDescent="0.2">
      <c r="A1122" s="5">
        <v>1061</v>
      </c>
      <c r="B1122" s="138">
        <f>'Expenditures 15-22'!K53</f>
        <v>699517</v>
      </c>
      <c r="C1122" s="2" t="s">
        <v>594</v>
      </c>
      <c r="D1122" s="2" t="str">
        <f t="shared" si="16"/>
        <v>Error?</v>
      </c>
    </row>
    <row r="1123" spans="1:4" x14ac:dyDescent="0.2">
      <c r="A1123" s="5">
        <v>1062</v>
      </c>
      <c r="B1123" s="138">
        <f>'Expenditures 15-22'!K55</f>
        <v>34128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34128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60125</v>
      </c>
      <c r="C1127" s="2" t="s">
        <v>594</v>
      </c>
      <c r="D1127" s="2" t="str">
        <f t="shared" si="16"/>
        <v>Error?</v>
      </c>
    </row>
    <row r="1128" spans="1:4" x14ac:dyDescent="0.2">
      <c r="A1128" s="5">
        <v>1067</v>
      </c>
      <c r="B1128" s="138">
        <f>'Expenditures 15-22'!K61</f>
        <v>78403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138528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2459</v>
      </c>
      <c r="C1137" s="2" t="s">
        <v>594</v>
      </c>
      <c r="D1137" s="2" t="str">
        <f t="shared" si="16"/>
        <v>Error?</v>
      </c>
    </row>
    <row r="1138" spans="1:4" x14ac:dyDescent="0.2">
      <c r="A1138" s="10">
        <v>1077</v>
      </c>
      <c r="D1138" s="2" t="str">
        <f t="shared" si="16"/>
        <v>OK</v>
      </c>
    </row>
    <row r="1139" spans="1:4" x14ac:dyDescent="0.2">
      <c r="A1139" s="5">
        <v>1078</v>
      </c>
      <c r="B1139" s="138">
        <f>'Expenditures 15-22'!K71</f>
        <v>25795</v>
      </c>
      <c r="C1139" s="2" t="s">
        <v>594</v>
      </c>
      <c r="D1139" s="2" t="str">
        <f t="shared" si="16"/>
        <v>Error?</v>
      </c>
    </row>
    <row r="1140" spans="1:4" x14ac:dyDescent="0.2">
      <c r="A1140" s="10">
        <v>1079</v>
      </c>
      <c r="D1140" s="2" t="str">
        <f t="shared" si="16"/>
        <v>OK</v>
      </c>
    </row>
    <row r="1141" spans="1:4" x14ac:dyDescent="0.2">
      <c r="A1141" s="5">
        <v>1080</v>
      </c>
      <c r="B1141" s="138">
        <f>'Expenditures 15-22'!K72</f>
        <v>28254</v>
      </c>
      <c r="C1141" s="2" t="s">
        <v>594</v>
      </c>
      <c r="D1141" s="2" t="str">
        <f t="shared" si="16"/>
        <v>Error?</v>
      </c>
    </row>
    <row r="1142" spans="1:4" x14ac:dyDescent="0.2">
      <c r="A1142" s="5">
        <v>1081</v>
      </c>
      <c r="B1142" s="138">
        <f>'Expenditures 15-22'!K73</f>
        <v>50024</v>
      </c>
      <c r="C1142" s="2" t="s">
        <v>594</v>
      </c>
      <c r="D1142" s="2" t="str">
        <f t="shared" si="16"/>
        <v>Error?</v>
      </c>
    </row>
    <row r="1143" spans="1:4" x14ac:dyDescent="0.2">
      <c r="A1143" s="5">
        <v>1082</v>
      </c>
      <c r="B1143" s="138">
        <f>'Expenditures 15-22'!K74</f>
        <v>2730397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327405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5702146</v>
      </c>
      <c r="C1152" s="2" t="s">
        <v>594</v>
      </c>
      <c r="D1152" s="2" t="str">
        <f t="shared" si="17"/>
        <v>Error?</v>
      </c>
    </row>
    <row r="1153" spans="1:4" x14ac:dyDescent="0.2">
      <c r="A1153" s="5">
        <v>1092</v>
      </c>
      <c r="B1153" s="138">
        <f>'Expenditures 15-22'!K115</f>
        <v>-114734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162624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47890</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987394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987394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24193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24193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22024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22024</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989563</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989563</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821924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821924</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33918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33918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22024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22024</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833818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833818</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155745</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155745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94571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327405</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2126797</v>
      </c>
      <c r="C2551" s="2" t="s">
        <v>594</v>
      </c>
      <c r="D2551" s="2" t="str">
        <f t="shared" si="38"/>
        <v>Error?</v>
      </c>
    </row>
    <row r="2552" spans="1:4" x14ac:dyDescent="0.2">
      <c r="A2552" s="10">
        <v>2491</v>
      </c>
      <c r="D2552" s="2" t="str">
        <f t="shared" si="38"/>
        <v>OK</v>
      </c>
    </row>
    <row r="2553" spans="1:4" x14ac:dyDescent="0.2">
      <c r="A2553" s="5">
        <v>2492</v>
      </c>
      <c r="B2553" s="138">
        <f>'Acct Summary 7-8'!C6</f>
        <v>825590</v>
      </c>
      <c r="C2553" s="2" t="s">
        <v>594</v>
      </c>
      <c r="D2553" s="2" t="str">
        <f t="shared" si="38"/>
        <v>Error?</v>
      </c>
    </row>
    <row r="2554" spans="1:4" x14ac:dyDescent="0.2">
      <c r="A2554" s="5">
        <v>2493</v>
      </c>
      <c r="B2554" s="138">
        <f>'Acct Summary 7-8'!C7</f>
        <v>2559000</v>
      </c>
      <c r="C2554" s="2" t="s">
        <v>594</v>
      </c>
      <c r="D2554" s="2" t="str">
        <f t="shared" si="38"/>
        <v>Error?</v>
      </c>
    </row>
    <row r="2555" spans="1:4" x14ac:dyDescent="0.2">
      <c r="A2555" s="5">
        <v>2494</v>
      </c>
      <c r="B2555" s="138">
        <f>'Acct Summary 7-8'!C8</f>
        <v>5587412</v>
      </c>
      <c r="C2555" s="2" t="s">
        <v>594</v>
      </c>
      <c r="D2555" s="2" t="str">
        <f t="shared" si="38"/>
        <v>Error?</v>
      </c>
    </row>
    <row r="2556" spans="1:4" x14ac:dyDescent="0.2">
      <c r="A2556" s="5">
        <v>2495</v>
      </c>
      <c r="B2556" s="138">
        <f>'Acct Summary 7-8'!C12</f>
        <v>2644344</v>
      </c>
      <c r="C2556" s="2" t="s">
        <v>594</v>
      </c>
      <c r="D2556" s="2" t="str">
        <f t="shared" si="38"/>
        <v>Error?</v>
      </c>
    </row>
    <row r="2557" spans="1:4" x14ac:dyDescent="0.2">
      <c r="A2557" s="5">
        <v>2496</v>
      </c>
      <c r="B2557" s="138">
        <f>'Acct Summary 7-8'!C13</f>
        <v>2730397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327405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5702146</v>
      </c>
      <c r="C2561" s="2" t="s">
        <v>594</v>
      </c>
      <c r="D2561" s="2" t="str">
        <f t="shared" si="39"/>
        <v>Error?</v>
      </c>
    </row>
    <row r="2562" spans="1:4" x14ac:dyDescent="0.2">
      <c r="A2562" s="5">
        <v>2501</v>
      </c>
      <c r="B2562" s="138">
        <f>'Acct Summary 7-8'!C20</f>
        <v>-114734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3802</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3802</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232834</v>
      </c>
      <c r="C2789" s="2" t="s">
        <v>594</v>
      </c>
      <c r="D2789" s="2" t="str">
        <f t="shared" si="42"/>
        <v>Error?</v>
      </c>
    </row>
    <row r="2790" spans="1:4" x14ac:dyDescent="0.2">
      <c r="A2790" s="5">
        <v>2729</v>
      </c>
      <c r="B2790" s="138">
        <f>'Expenditures 15-22'!E102</f>
        <v>232834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3962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232834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94571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327405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3962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-114734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1830538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453532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34648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18021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17745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2354484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76025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58945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1765849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7353261</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1765849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7467995</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47890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72997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148551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4017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89499</v>
      </c>
      <c r="D5081" s="2" t="str">
        <f t="shared" si="78"/>
        <v>Error?</v>
      </c>
    </row>
    <row r="5082" spans="1:4" x14ac:dyDescent="0.2">
      <c r="A5082" s="5">
        <v>5021</v>
      </c>
      <c r="B5082" s="138">
        <f>'Revenues 9-14'!C33</f>
        <v>2031569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2121068</v>
      </c>
      <c r="C5087" s="2" t="s">
        <v>594</v>
      </c>
      <c r="D5087" s="2" t="str">
        <f t="shared" si="78"/>
        <v>Error?</v>
      </c>
    </row>
    <row r="5088" spans="1:4" x14ac:dyDescent="0.2">
      <c r="A5088" s="5">
        <v>5027</v>
      </c>
      <c r="B5088" s="138">
        <f>'Revenues 9-14'!C65</f>
        <v>58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4298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87</v>
      </c>
      <c r="D5119" s="2" t="str">
        <f t="shared" ref="D5119:D5182" si="79">IF(ISBLANK(B5119),"OK",IF(A5119-B5119=0,"OK","Error?"))</f>
        <v>Error?</v>
      </c>
    </row>
    <row r="5120" spans="1:4" x14ac:dyDescent="0.2">
      <c r="A5120" s="5">
        <v>5059</v>
      </c>
      <c r="B5120" s="138">
        <f>'Revenues 9-14'!C108</f>
        <v>5671</v>
      </c>
      <c r="C5120" s="2" t="s">
        <v>594</v>
      </c>
      <c r="D5120" s="2" t="str">
        <f t="shared" si="79"/>
        <v>Error?</v>
      </c>
    </row>
    <row r="5121" spans="1:4" x14ac:dyDescent="0.2">
      <c r="A5121" s="5">
        <v>5060</v>
      </c>
      <c r="B5121" s="138">
        <f>'Revenues 9-14'!C109</f>
        <v>2126797</v>
      </c>
      <c r="C5121" s="2" t="s">
        <v>594</v>
      </c>
      <c r="D5121" s="2" t="str">
        <f t="shared" si="79"/>
        <v>Error?</v>
      </c>
    </row>
    <row r="5122" spans="1:4" x14ac:dyDescent="0.2">
      <c r="A5122" s="5">
        <v>5061</v>
      </c>
      <c r="B5122" s="138">
        <f>'Revenues 9-14'!C111</f>
        <v>564</v>
      </c>
      <c r="D5122" s="2" t="str">
        <f t="shared" si="79"/>
        <v>Error?</v>
      </c>
    </row>
    <row r="5123" spans="1:4" x14ac:dyDescent="0.2">
      <c r="A5123" s="5">
        <v>5062</v>
      </c>
      <c r="B5123" s="138">
        <f>'Revenues 9-14'!C112</f>
        <v>75461</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76025</v>
      </c>
      <c r="C5125" s="2" t="s">
        <v>594</v>
      </c>
      <c r="D5125" s="2" t="str">
        <f t="shared" si="79"/>
        <v>Error?</v>
      </c>
    </row>
    <row r="5126" spans="1:4" x14ac:dyDescent="0.2">
      <c r="A5126" s="5">
        <v>5065</v>
      </c>
      <c r="B5126" s="138">
        <f>'Revenues 9-14'!C117</f>
        <v>541793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541793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283797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283797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283797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825590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106643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2226792</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2333435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2559000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2559000</v>
      </c>
      <c r="C5326" s="2" t="s">
        <v>594</v>
      </c>
      <c r="D5326" s="2" t="str">
        <f t="shared" si="82"/>
        <v>Error?</v>
      </c>
    </row>
    <row r="5327" spans="1:4" x14ac:dyDescent="0.2">
      <c r="A5327" s="5">
        <v>5266</v>
      </c>
      <c r="B5327" s="138">
        <f>'Revenues 9-14'!C275</f>
        <v>5587412</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2236.65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-114734</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-2.3957820004176238</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233219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183605</v>
      </c>
      <c r="D7251" s="2" t="str">
        <f t="shared" si="112"/>
        <v>Error?</v>
      </c>
    </row>
    <row r="7252" spans="1:4" x14ac:dyDescent="0.2">
      <c r="A7252">
        <f t="shared" si="113"/>
        <v>7191</v>
      </c>
      <c r="B7252" s="138">
        <f>'Expenditures 15-22'!D9</f>
        <v>47213</v>
      </c>
      <c r="D7252" s="2" t="str">
        <f t="shared" si="112"/>
        <v>Error?</v>
      </c>
    </row>
    <row r="7253" spans="1:4" x14ac:dyDescent="0.2">
      <c r="A7253">
        <f t="shared" si="113"/>
        <v>7192</v>
      </c>
      <c r="B7253" s="138">
        <f>'Expenditures 15-22'!E9</f>
        <v>1428</v>
      </c>
      <c r="D7253" s="2" t="str">
        <f t="shared" si="112"/>
        <v>Error?</v>
      </c>
    </row>
    <row r="7254" spans="1:4" x14ac:dyDescent="0.2">
      <c r="A7254">
        <f t="shared" si="113"/>
        <v>7193</v>
      </c>
      <c r="B7254" s="138">
        <f>'Expenditures 15-22'!F9</f>
        <v>973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33918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0</v>
      </c>
      <c r="D7797" s="2" t="str">
        <f t="shared" si="127"/>
        <v>Error?</v>
      </c>
      <c r="E7797" s="4" t="s">
        <v>2016</v>
      </c>
    </row>
    <row r="7798" spans="1:5" x14ac:dyDescent="0.2">
      <c r="A7798">
        <v>7737</v>
      </c>
      <c r="B7798" s="138">
        <f>'Contracts Paid in CY 29'!F141</f>
        <v>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B43" sqref="B43"/>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636" t="s">
        <v>1253</v>
      </c>
      <c r="B2" s="2636"/>
      <c r="C2" s="2636"/>
      <c r="D2" s="2636"/>
      <c r="E2" s="2636"/>
      <c r="F2" s="2636"/>
      <c r="G2" s="2636"/>
      <c r="H2" s="2636"/>
      <c r="I2" s="2636"/>
      <c r="J2" s="2636"/>
      <c r="K2" s="2636"/>
      <c r="L2" s="2636"/>
    </row>
    <row r="3" spans="1:29" ht="13.5" customHeight="1" x14ac:dyDescent="0.2">
      <c r="A3" s="2669" t="s">
        <v>1252</v>
      </c>
      <c r="B3" s="2669"/>
      <c r="C3" s="2669"/>
      <c r="D3" s="2669"/>
      <c r="E3" s="2669"/>
      <c r="F3" s="2669"/>
      <c r="G3" s="2669"/>
      <c r="H3" s="2669"/>
      <c r="I3" s="2669"/>
      <c r="J3" s="2669"/>
      <c r="K3" s="2669"/>
      <c r="L3" s="2669"/>
    </row>
    <row r="4" spans="1:29" ht="13.5" customHeight="1" x14ac:dyDescent="0.2">
      <c r="A4" s="2636" t="s">
        <v>1799</v>
      </c>
      <c r="B4" s="2657"/>
      <c r="C4" s="2657"/>
      <c r="D4" s="2657"/>
      <c r="E4" s="2657"/>
      <c r="F4" s="2657"/>
      <c r="G4" s="2657"/>
      <c r="H4" s="2657"/>
      <c r="I4" s="2657"/>
      <c r="J4" s="2657"/>
      <c r="K4" s="2657"/>
      <c r="L4" s="2657"/>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658" t="str">
        <f>COVER!A17</f>
        <v>Bi County Sp Ed Co-op</v>
      </c>
      <c r="B7" s="2659"/>
      <c r="C7" s="2659"/>
      <c r="D7" s="2660"/>
      <c r="E7" s="2661">
        <f>COVER!A13</f>
        <v>47098000061</v>
      </c>
      <c r="F7" s="2662"/>
      <c r="G7" s="2670" t="str">
        <f>COVER!T23</f>
        <v>066-005027</v>
      </c>
      <c r="H7" s="2671"/>
      <c r="I7" s="2671"/>
      <c r="J7" s="2671"/>
      <c r="K7" s="2671"/>
      <c r="L7" s="2672"/>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673"/>
      <c r="B9" s="2674"/>
      <c r="C9" s="2674"/>
      <c r="D9" s="2674"/>
      <c r="E9" s="2674"/>
      <c r="F9" s="2675"/>
      <c r="G9" s="2642" t="str">
        <f>COVER!T13</f>
        <v>Gorenz and Associates, Ltd.</v>
      </c>
      <c r="H9" s="2676"/>
      <c r="I9" s="2676"/>
      <c r="J9" s="2676"/>
      <c r="K9" s="2676"/>
      <c r="L9" s="2677"/>
    </row>
    <row r="10" spans="1:29" ht="13.5" customHeight="1" x14ac:dyDescent="0.2">
      <c r="A10" s="2648" t="str">
        <f>COVER!A38</f>
        <v>Laurie A. Heston</v>
      </c>
      <c r="B10" s="2649"/>
      <c r="C10" s="2649"/>
      <c r="D10" s="2649"/>
      <c r="E10" s="2649"/>
      <c r="F10" s="2650"/>
      <c r="G10" s="2642" t="str">
        <f>COVER!T17</f>
        <v>4200 N Knoxville Ave</v>
      </c>
      <c r="H10" s="2643"/>
      <c r="I10" s="2643"/>
      <c r="J10" s="2643"/>
      <c r="K10" s="2643"/>
      <c r="L10" s="2644"/>
    </row>
    <row r="11" spans="1:29" ht="13.5" customHeight="1" x14ac:dyDescent="0.2">
      <c r="A11" s="1183" t="s">
        <v>1599</v>
      </c>
      <c r="B11" s="1184"/>
      <c r="C11" s="1185"/>
      <c r="D11" s="1190"/>
      <c r="E11" s="1185"/>
      <c r="F11" s="1189"/>
      <c r="G11" s="2642" t="str">
        <f>COVER!T19</f>
        <v>Peoria</v>
      </c>
      <c r="H11" s="2643"/>
      <c r="I11" s="2643"/>
      <c r="J11" s="2643"/>
      <c r="K11" s="2643"/>
      <c r="L11" s="2644"/>
    </row>
    <row r="12" spans="1:29" ht="13.5" customHeight="1" x14ac:dyDescent="0.2">
      <c r="A12" s="2651" t="s">
        <v>1598</v>
      </c>
      <c r="B12" s="2652"/>
      <c r="C12" s="2652"/>
      <c r="D12" s="2652"/>
      <c r="E12" s="2652"/>
      <c r="F12" s="2653"/>
      <c r="G12" s="2645"/>
      <c r="H12" s="2646"/>
      <c r="I12" s="2646"/>
      <c r="J12" s="2646"/>
      <c r="K12" s="2646"/>
      <c r="L12" s="2647"/>
    </row>
    <row r="13" spans="1:29" ht="13.5" customHeight="1" x14ac:dyDescent="0.2">
      <c r="A13" s="2642"/>
      <c r="B13" s="2643"/>
      <c r="C13" s="2643"/>
      <c r="D13" s="2643"/>
      <c r="E13" s="2643"/>
      <c r="F13" s="2644"/>
      <c r="G13" s="2637" t="s">
        <v>1600</v>
      </c>
      <c r="H13" s="2638"/>
      <c r="I13" s="2654" t="str">
        <f>COVER!T25</f>
        <v>jhohulin@gorenzcpa.com</v>
      </c>
      <c r="J13" s="2655"/>
      <c r="K13" s="2655"/>
      <c r="L13" s="2656"/>
    </row>
    <row r="14" spans="1:29" ht="13.5" customHeight="1" x14ac:dyDescent="0.2">
      <c r="A14" s="2642" t="str">
        <f>COVER!A19</f>
        <v>2317 E Lincolnway, Ste. A</v>
      </c>
      <c r="B14" s="2643"/>
      <c r="C14" s="2643"/>
      <c r="D14" s="2643"/>
      <c r="E14" s="2643"/>
      <c r="F14" s="2644"/>
      <c r="G14" s="1194" t="s">
        <v>1247</v>
      </c>
      <c r="H14" s="1192"/>
      <c r="I14" s="1192"/>
      <c r="J14" s="1192"/>
      <c r="K14" s="1192"/>
      <c r="L14" s="1193"/>
    </row>
    <row r="15" spans="1:29" ht="13.5" customHeight="1" x14ac:dyDescent="0.2">
      <c r="A15" s="2642" t="str">
        <f>COVER!A21</f>
        <v>Sterling</v>
      </c>
      <c r="B15" s="2643"/>
      <c r="C15" s="2643"/>
      <c r="D15" s="2643"/>
      <c r="E15" s="2643"/>
      <c r="F15" s="2644"/>
      <c r="G15" s="2639" t="str">
        <f>COVER!T15</f>
        <v>Jason Hohulin, CPA</v>
      </c>
      <c r="H15" s="2640"/>
      <c r="I15" s="2640"/>
      <c r="J15" s="2640"/>
      <c r="K15" s="2640"/>
      <c r="L15" s="2641"/>
    </row>
    <row r="16" spans="1:29" ht="12.2" customHeight="1" x14ac:dyDescent="0.2">
      <c r="A16" s="2666">
        <f>COVER!A25</f>
        <v>61081</v>
      </c>
      <c r="B16" s="2667"/>
      <c r="C16" s="2667"/>
      <c r="D16" s="2667"/>
      <c r="E16" s="2667"/>
      <c r="F16" s="2668"/>
      <c r="G16" s="2678"/>
      <c r="H16" s="2679"/>
      <c r="I16" s="2679"/>
      <c r="J16" s="2679"/>
      <c r="K16" s="2679"/>
      <c r="L16" s="2680"/>
    </row>
    <row r="17" spans="1:13" ht="12.2" customHeight="1" x14ac:dyDescent="0.2">
      <c r="A17" s="2681"/>
      <c r="B17" s="2667"/>
      <c r="C17" s="2667"/>
      <c r="D17" s="2667"/>
      <c r="E17" s="2667"/>
      <c r="F17" s="2668"/>
      <c r="G17" s="1194" t="s">
        <v>1246</v>
      </c>
      <c r="H17" s="1192"/>
      <c r="I17" s="1192"/>
      <c r="J17" s="1192"/>
      <c r="K17" s="1196" t="s">
        <v>1245</v>
      </c>
      <c r="L17" s="1189"/>
      <c r="M17" s="1182"/>
    </row>
    <row r="18" spans="1:13" ht="12.2" customHeight="1" x14ac:dyDescent="0.2">
      <c r="A18" s="2648"/>
      <c r="B18" s="2649"/>
      <c r="C18" s="2649"/>
      <c r="D18" s="2649"/>
      <c r="E18" s="2649"/>
      <c r="F18" s="2650"/>
      <c r="G18" s="2663" t="str">
        <f>COVER!T21</f>
        <v>309-685-7621</v>
      </c>
      <c r="H18" s="2664"/>
      <c r="I18" s="2664"/>
      <c r="J18" s="2664"/>
      <c r="K18" s="2663" t="str">
        <f>COVER!X21</f>
        <v>309-685-4758</v>
      </c>
      <c r="L18" s="2665"/>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t="s">
        <v>2073</v>
      </c>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t="s">
        <v>2073</v>
      </c>
      <c r="C26" s="1201" t="s">
        <v>1801</v>
      </c>
    </row>
    <row r="27" spans="1:13" s="1197" customFormat="1" ht="9" customHeight="1" x14ac:dyDescent="0.2">
      <c r="B27" s="1202"/>
      <c r="C27" s="1201"/>
    </row>
    <row r="28" spans="1:13" s="1197" customFormat="1" ht="12.2" customHeight="1" x14ac:dyDescent="0.2">
      <c r="A28" s="1204"/>
      <c r="B28" s="1200" t="s">
        <v>2073</v>
      </c>
      <c r="C28" s="1201" t="s">
        <v>1802</v>
      </c>
    </row>
    <row r="29" spans="1:13" s="1197" customFormat="1" ht="9" customHeight="1" x14ac:dyDescent="0.2">
      <c r="A29" s="1204"/>
      <c r="B29" s="1202"/>
      <c r="C29" s="1201"/>
    </row>
    <row r="30" spans="1:13" s="1197" customFormat="1" ht="12.2" customHeight="1" x14ac:dyDescent="0.2">
      <c r="B30" s="1200" t="s">
        <v>2073</v>
      </c>
      <c r="C30" s="1201" t="s">
        <v>1643</v>
      </c>
      <c r="D30" s="1195"/>
      <c r="E30" s="1195"/>
    </row>
    <row r="31" spans="1:13" s="1197" customFormat="1" ht="9" customHeight="1" x14ac:dyDescent="0.2">
      <c r="B31" s="1202"/>
      <c r="C31" s="1201"/>
      <c r="D31" s="1195"/>
      <c r="E31" s="1195"/>
    </row>
    <row r="32" spans="1:13" s="1197" customFormat="1" ht="12.2" customHeight="1" x14ac:dyDescent="0.2">
      <c r="B32" s="1200" t="s">
        <v>2073</v>
      </c>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t="s">
        <v>2073</v>
      </c>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t="s">
        <v>2073</v>
      </c>
      <c r="C38" s="1201" t="s">
        <v>1647</v>
      </c>
    </row>
    <row r="39" spans="1:8" ht="9" customHeight="1" x14ac:dyDescent="0.2">
      <c r="B39" s="1202"/>
      <c r="C39" s="1205"/>
    </row>
    <row r="40" spans="1:8" s="1197" customFormat="1" ht="13.5" customHeight="1" x14ac:dyDescent="0.2">
      <c r="B40" s="1200" t="s">
        <v>2073</v>
      </c>
      <c r="C40" s="1201" t="s">
        <v>1648</v>
      </c>
    </row>
    <row r="41" spans="1:8" ht="9" customHeight="1" x14ac:dyDescent="0.2">
      <c r="A41" s="1206"/>
      <c r="B41" s="1202"/>
      <c r="C41" s="1205"/>
    </row>
    <row r="42" spans="1:8" s="1197" customFormat="1" ht="13.5" customHeight="1" x14ac:dyDescent="0.2">
      <c r="B42" s="1200" t="s">
        <v>2073</v>
      </c>
      <c r="C42" s="1201" t="s">
        <v>1943</v>
      </c>
      <c r="D42" s="1195"/>
      <c r="E42" s="1195"/>
      <c r="F42" s="1195"/>
      <c r="G42" s="1195"/>
      <c r="H42" s="1195"/>
    </row>
    <row r="43" spans="1:8" s="1197" customFormat="1" ht="12.95" customHeight="1" x14ac:dyDescent="0.2">
      <c r="B43" s="1202"/>
      <c r="C43" s="1192"/>
      <c r="D43" s="1195" t="s">
        <v>1231</v>
      </c>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682" t="str">
        <f>'Single Audit Cover'!A7</f>
        <v>Bi County Sp Ed Co-op</v>
      </c>
      <c r="B1" s="2657"/>
      <c r="C1" s="2657"/>
      <c r="D1" s="2657"/>
    </row>
    <row r="2" spans="1:11" s="1213" customFormat="1" ht="12.75" x14ac:dyDescent="0.2">
      <c r="A2" s="2683">
        <f>'Single Audit Cover'!E7</f>
        <v>47098000061</v>
      </c>
      <c r="B2" s="2684"/>
      <c r="C2" s="2684"/>
      <c r="D2" s="2684"/>
    </row>
    <row r="3" spans="1:11" s="1213" customFormat="1" ht="12.75" x14ac:dyDescent="0.2">
      <c r="A3" s="2682" t="s">
        <v>1593</v>
      </c>
      <c r="B3" s="2657"/>
      <c r="C3" s="2657"/>
      <c r="D3" s="2657"/>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1944</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686" t="str">
        <f>'Single Audit Cover'!A7</f>
        <v>Bi County Sp Ed Co-op</v>
      </c>
      <c r="B1" s="2686"/>
      <c r="C1" s="2686"/>
      <c r="D1" s="2686"/>
      <c r="E1" s="2686"/>
    </row>
    <row r="2" spans="1:5" x14ac:dyDescent="0.2">
      <c r="A2" s="2687">
        <f>'Single Audit Cover'!E7</f>
        <v>47098000061</v>
      </c>
      <c r="B2" s="2687"/>
      <c r="C2" s="2687"/>
      <c r="D2" s="2687"/>
      <c r="E2" s="2687"/>
    </row>
    <row r="3" spans="1:5" ht="4.5" customHeight="1" x14ac:dyDescent="0.2"/>
    <row r="4" spans="1:5" x14ac:dyDescent="0.2">
      <c r="A4" s="2686" t="s">
        <v>1307</v>
      </c>
      <c r="B4" s="2686"/>
      <c r="C4" s="2686"/>
      <c r="D4" s="2686"/>
      <c r="E4" s="2686"/>
    </row>
    <row r="5" spans="1:5" x14ac:dyDescent="0.2">
      <c r="A5" s="2689" t="str">
        <f>'Single Audit Cover'!A4</f>
        <v>Year Ending June 30, 2018</v>
      </c>
      <c r="B5" s="2689"/>
      <c r="C5" s="2689"/>
      <c r="D5" s="2689"/>
      <c r="E5" s="2689"/>
    </row>
    <row r="6" spans="1:5" x14ac:dyDescent="0.2">
      <c r="A6" s="2686" t="s">
        <v>1306</v>
      </c>
      <c r="B6" s="2686"/>
      <c r="C6" s="2686"/>
      <c r="D6" s="2686"/>
      <c r="E6" s="2686"/>
    </row>
    <row r="8" spans="1:5" x14ac:dyDescent="0.2">
      <c r="A8" s="1258" t="s">
        <v>1305</v>
      </c>
    </row>
    <row r="10" spans="1:5" x14ac:dyDescent="0.2">
      <c r="A10" s="1259" t="s">
        <v>1304</v>
      </c>
      <c r="B10" s="1260" t="s">
        <v>1303</v>
      </c>
      <c r="C10" s="1260"/>
      <c r="D10" s="1261">
        <f>SUM('Acct Summary 7-8'!C7:K7)</f>
        <v>2559000</v>
      </c>
    </row>
    <row r="11" spans="1:5" ht="18" customHeight="1" x14ac:dyDescent="0.2">
      <c r="A11" s="1259" t="s">
        <v>1302</v>
      </c>
      <c r="B11" s="1260"/>
      <c r="C11" s="1260"/>
    </row>
    <row r="12" spans="1:5" x14ac:dyDescent="0.2">
      <c r="A12" s="1259" t="s">
        <v>1301</v>
      </c>
      <c r="B12" s="1260" t="s">
        <v>1300</v>
      </c>
      <c r="C12" s="1260"/>
      <c r="D12" s="1262">
        <f>SUM('Revenues 9-14'!C112:D112,'Revenues 9-14'!F112:G112)</f>
        <v>75461</v>
      </c>
    </row>
    <row r="13" spans="1:5" x14ac:dyDescent="0.2">
      <c r="A13" s="1259" t="s">
        <v>1299</v>
      </c>
      <c r="B13" s="1260"/>
      <c r="C13" s="1260"/>
    </row>
    <row r="14" spans="1:5" x14ac:dyDescent="0.2">
      <c r="A14" s="1259" t="s">
        <v>1830</v>
      </c>
      <c r="B14" s="1260"/>
      <c r="C14" s="1260"/>
      <c r="D14" s="1262">
        <f>'ICR Computation 30'!E11</f>
        <v>2236.65</v>
      </c>
    </row>
    <row r="15" spans="1:5" x14ac:dyDescent="0.2">
      <c r="A15" s="1259"/>
      <c r="B15" s="1260"/>
      <c r="C15" s="1260"/>
    </row>
    <row r="16" spans="1:5" x14ac:dyDescent="0.2">
      <c r="A16" s="1259" t="s">
        <v>1952</v>
      </c>
      <c r="B16" s="1260"/>
      <c r="C16" s="1260"/>
    </row>
    <row r="17" spans="1:4" x14ac:dyDescent="0.2">
      <c r="A17" s="1259" t="s">
        <v>1601</v>
      </c>
      <c r="B17" s="1260" t="s">
        <v>1298</v>
      </c>
      <c r="C17" s="1260"/>
      <c r="D17" s="1262">
        <f>-SUM('Revenues 9-14'!C271:D271,'Revenues 9-14'!F271:G271)</f>
        <v>-148551</v>
      </c>
    </row>
    <row r="19" spans="1:4" ht="13.5" thickBot="1" x14ac:dyDescent="0.25">
      <c r="A19" s="1263" t="s">
        <v>1297</v>
      </c>
      <c r="D19" s="1264">
        <f>SUM(D10:D17)</f>
        <v>2488146.65</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688" t="s">
        <v>2254</v>
      </c>
      <c r="B24" s="2688"/>
      <c r="D24" s="1266">
        <v>-2237</v>
      </c>
    </row>
    <row r="25" spans="1:4" x14ac:dyDescent="0.2">
      <c r="A25" s="2685"/>
      <c r="B25" s="2685"/>
      <c r="D25" s="1266"/>
    </row>
    <row r="26" spans="1:4" x14ac:dyDescent="0.2">
      <c r="A26" s="2685"/>
      <c r="B26" s="2685"/>
      <c r="D26" s="1266"/>
    </row>
    <row r="27" spans="1:4" x14ac:dyDescent="0.2">
      <c r="A27" s="2685"/>
      <c r="B27" s="2685"/>
      <c r="D27" s="1266"/>
    </row>
    <row r="28" spans="1:4" x14ac:dyDescent="0.2">
      <c r="A28" s="2685"/>
      <c r="B28" s="2685"/>
      <c r="D28" s="1266"/>
    </row>
    <row r="29" spans="1:4" x14ac:dyDescent="0.2">
      <c r="A29" s="2685"/>
      <c r="B29" s="2685"/>
      <c r="D29" s="1266"/>
    </row>
    <row r="30" spans="1:4" x14ac:dyDescent="0.2">
      <c r="A30" s="2685"/>
      <c r="B30" s="2685"/>
      <c r="D30" s="1266"/>
    </row>
    <row r="32" spans="1:4" x14ac:dyDescent="0.2">
      <c r="A32" s="1258" t="s">
        <v>1295</v>
      </c>
      <c r="D32" s="1261">
        <f>SUM(D19:D30)</f>
        <v>2485909.65</v>
      </c>
    </row>
    <row r="33" spans="1:4" x14ac:dyDescent="0.2">
      <c r="D33" s="1267"/>
    </row>
    <row r="34" spans="1:4" x14ac:dyDescent="0.2">
      <c r="A34" s="317" t="s">
        <v>1294</v>
      </c>
    </row>
    <row r="35" spans="1:4" x14ac:dyDescent="0.2">
      <c r="A35" s="317" t="s">
        <v>1293</v>
      </c>
      <c r="B35" s="1256" t="s">
        <v>1292</v>
      </c>
      <c r="D35" s="1268">
        <v>2485910</v>
      </c>
    </row>
    <row r="37" spans="1:4" x14ac:dyDescent="0.2">
      <c r="A37" s="1258" t="s">
        <v>1291</v>
      </c>
    </row>
    <row r="39" spans="1:4" ht="13.35" customHeight="1" x14ac:dyDescent="0.2">
      <c r="A39" s="1265" t="s">
        <v>1290</v>
      </c>
    </row>
    <row r="40" spans="1:4" x14ac:dyDescent="0.2">
      <c r="A40" s="2685"/>
      <c r="B40" s="2685"/>
      <c r="D40" s="1266"/>
    </row>
    <row r="41" spans="1:4" x14ac:dyDescent="0.2">
      <c r="A41" s="2685"/>
      <c r="B41" s="2685"/>
      <c r="D41" s="1269"/>
    </row>
    <row r="42" spans="1:4" x14ac:dyDescent="0.2">
      <c r="A42" s="2685"/>
      <c r="B42" s="2685"/>
      <c r="D42" s="1269"/>
    </row>
    <row r="43" spans="1:4" x14ac:dyDescent="0.2">
      <c r="A43" s="2685"/>
      <c r="B43" s="2685"/>
      <c r="D43" s="1269"/>
    </row>
    <row r="44" spans="1:4" x14ac:dyDescent="0.2">
      <c r="A44" s="2685"/>
      <c r="B44" s="2685"/>
      <c r="D44" s="1269"/>
    </row>
    <row r="45" spans="1:4" x14ac:dyDescent="0.2">
      <c r="A45" s="2685"/>
      <c r="B45" s="2685"/>
      <c r="D45" s="1269"/>
    </row>
    <row r="47" spans="1:4" x14ac:dyDescent="0.2">
      <c r="B47" s="1270" t="s">
        <v>1289</v>
      </c>
      <c r="C47" s="1270"/>
      <c r="D47" s="1271">
        <f>SUM(D35:D45)</f>
        <v>2485910</v>
      </c>
    </row>
    <row r="49" spans="2:4" x14ac:dyDescent="0.2">
      <c r="B49" s="1270" t="s">
        <v>1288</v>
      </c>
      <c r="C49" s="1270"/>
      <c r="D49" s="1271">
        <f>D32-D47</f>
        <v>-0.35000000009313226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showGridLines="0" topLeftCell="A48" zoomScale="120" zoomScaleNormal="120" workbookViewId="0">
      <selection activeCell="M15" sqref="M15"/>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700" t="str">
        <f>'Single Audit Cover'!A7</f>
        <v>Bi County Sp Ed Co-op</v>
      </c>
      <c r="B1" s="2700"/>
      <c r="C1" s="2700"/>
      <c r="D1" s="2700"/>
      <c r="E1" s="2700"/>
      <c r="F1" s="2700"/>
    </row>
    <row r="2" spans="1:7" ht="13.5" customHeight="1" x14ac:dyDescent="0.2">
      <c r="A2" s="2701">
        <f>'Single Audit Cover'!E7</f>
        <v>47098000061</v>
      </c>
      <c r="B2" s="2701"/>
      <c r="C2" s="2701"/>
      <c r="D2" s="2701"/>
      <c r="E2" s="2701"/>
      <c r="F2" s="2701"/>
      <c r="G2" s="1273"/>
    </row>
    <row r="3" spans="1:7" ht="15.75" customHeight="1" x14ac:dyDescent="0.2">
      <c r="A3" s="2702" t="s">
        <v>1333</v>
      </c>
      <c r="B3" s="2702"/>
      <c r="C3" s="2702"/>
      <c r="D3" s="2702"/>
      <c r="E3" s="2702"/>
      <c r="F3" s="2702"/>
    </row>
    <row r="4" spans="1:7" ht="13.5" customHeight="1" x14ac:dyDescent="0.2">
      <c r="A4" s="2703" t="str">
        <f>'Single Audit Cover'!A4</f>
        <v>Year Ending June 30, 2018</v>
      </c>
      <c r="B4" s="2703"/>
      <c r="C4" s="2703"/>
      <c r="D4" s="2703"/>
      <c r="E4" s="2703"/>
      <c r="F4" s="2703"/>
    </row>
    <row r="5" spans="1:7" ht="8.25" customHeight="1" x14ac:dyDescent="0.2">
      <c r="C5" s="317"/>
      <c r="D5" s="317"/>
    </row>
    <row r="6" spans="1:7" ht="13.5" customHeight="1" x14ac:dyDescent="0.2">
      <c r="A6" s="1274" t="s">
        <v>1831</v>
      </c>
      <c r="C6" s="317"/>
      <c r="D6" s="317"/>
    </row>
    <row r="7" spans="1:7" ht="60.95" customHeight="1" x14ac:dyDescent="0.2">
      <c r="A7" s="2699" t="s">
        <v>2099</v>
      </c>
      <c r="B7" s="2699"/>
      <c r="C7" s="2699"/>
      <c r="D7" s="2699"/>
      <c r="E7" s="2699"/>
      <c r="F7" s="2699"/>
    </row>
    <row r="8" spans="1:7" ht="5.25" customHeight="1" x14ac:dyDescent="0.2">
      <c r="A8" s="1274"/>
      <c r="B8" s="1280"/>
      <c r="C8" s="1280"/>
      <c r="D8" s="1280"/>
    </row>
    <row r="9" spans="1:7" ht="15" customHeight="1" x14ac:dyDescent="0.2">
      <c r="A9" s="1275" t="s">
        <v>1832</v>
      </c>
      <c r="B9" s="1278"/>
      <c r="C9" s="1278"/>
      <c r="D9" s="1278"/>
      <c r="E9" s="1276"/>
      <c r="F9" s="1276"/>
      <c r="G9" s="1276"/>
    </row>
    <row r="10" spans="1:7" ht="15" customHeight="1" x14ac:dyDescent="0.2">
      <c r="A10" s="1277" t="s">
        <v>1628</v>
      </c>
      <c r="B10" s="1278"/>
      <c r="C10" s="1279"/>
      <c r="D10" s="1278" t="s">
        <v>1629</v>
      </c>
      <c r="E10" s="1279" t="s">
        <v>2073</v>
      </c>
      <c r="F10" s="1278" t="s">
        <v>101</v>
      </c>
      <c r="G10" s="1276"/>
    </row>
    <row r="11" spans="1:7" ht="9.75" customHeight="1" x14ac:dyDescent="0.2">
      <c r="A11" s="1277"/>
      <c r="B11" s="1278"/>
      <c r="C11" s="1923"/>
      <c r="D11" s="1278"/>
      <c r="E11" s="1923"/>
      <c r="F11" s="1278"/>
      <c r="G11" s="1276"/>
    </row>
    <row r="12" spans="1:7" x14ac:dyDescent="0.2">
      <c r="A12" s="1274" t="s">
        <v>1669</v>
      </c>
      <c r="C12" s="1258"/>
      <c r="D12" s="1258"/>
    </row>
    <row r="13" spans="1:7" ht="24" customHeight="1" x14ac:dyDescent="0.2">
      <c r="A13" s="2699" t="s">
        <v>2100</v>
      </c>
      <c r="B13" s="2699"/>
      <c r="C13" s="2699"/>
      <c r="D13" s="2699"/>
      <c r="E13" s="2699"/>
      <c r="F13" s="2699"/>
    </row>
    <row r="14" spans="1:7" ht="6.75" customHeight="1" x14ac:dyDescent="0.2">
      <c r="C14" s="1258"/>
      <c r="D14" s="1258"/>
    </row>
    <row r="15" spans="1:7" ht="12" customHeight="1" x14ac:dyDescent="0.2">
      <c r="C15" s="1867" t="s">
        <v>1332</v>
      </c>
      <c r="D15" s="2697" t="s">
        <v>1331</v>
      </c>
      <c r="E15" s="2697"/>
      <c r="F15" s="2697"/>
    </row>
    <row r="16" spans="1:7" ht="13.5" customHeight="1" x14ac:dyDescent="0.2">
      <c r="A16" s="1280"/>
      <c r="B16" s="1274" t="s">
        <v>1330</v>
      </c>
      <c r="C16" s="1867" t="s">
        <v>1329</v>
      </c>
      <c r="D16" s="2698" t="s">
        <v>1670</v>
      </c>
      <c r="E16" s="2698"/>
      <c r="F16" s="2698"/>
    </row>
    <row r="17" spans="1:6" ht="20.45" customHeight="1" x14ac:dyDescent="0.2">
      <c r="A17" s="1281"/>
      <c r="B17" s="1282" t="s">
        <v>2095</v>
      </c>
      <c r="C17" s="1283">
        <v>10.553000000000001</v>
      </c>
      <c r="D17" s="2691">
        <v>12597</v>
      </c>
      <c r="E17" s="2691"/>
      <c r="F17" s="2691"/>
    </row>
    <row r="18" spans="1:6" ht="20.65" customHeight="1" x14ac:dyDescent="0.2">
      <c r="A18" s="1281"/>
      <c r="B18" s="1282" t="s">
        <v>2096</v>
      </c>
      <c r="C18" s="1283">
        <v>10.555</v>
      </c>
      <c r="D18" s="2691">
        <f>20743+2337</f>
        <v>23080</v>
      </c>
      <c r="E18" s="2691"/>
      <c r="F18" s="2691"/>
    </row>
    <row r="19" spans="1:6" ht="20.65" customHeight="1" x14ac:dyDescent="0.2">
      <c r="A19" s="1281"/>
      <c r="B19" s="1282" t="s">
        <v>2098</v>
      </c>
      <c r="C19" s="1283">
        <v>84.027000000000001</v>
      </c>
      <c r="D19" s="2691">
        <v>11556</v>
      </c>
      <c r="E19" s="2691"/>
      <c r="F19" s="2691"/>
    </row>
    <row r="20" spans="1:6" ht="20.65" customHeight="1" x14ac:dyDescent="0.2">
      <c r="A20" s="1281"/>
      <c r="B20" s="1282" t="s">
        <v>2097</v>
      </c>
      <c r="C20" s="1283">
        <v>84.173000000000002</v>
      </c>
      <c r="D20" s="2691">
        <v>30565</v>
      </c>
      <c r="E20" s="2691"/>
      <c r="F20" s="2691"/>
    </row>
    <row r="21" spans="1:6" ht="20.65" hidden="1" customHeight="1" x14ac:dyDescent="0.2">
      <c r="A21" s="1281"/>
      <c r="B21" s="1282"/>
      <c r="C21" s="1283"/>
      <c r="D21" s="2691"/>
      <c r="E21" s="2691"/>
      <c r="F21" s="2691"/>
    </row>
    <row r="22" spans="1:6" ht="20.65" hidden="1" customHeight="1" x14ac:dyDescent="0.2">
      <c r="A22" s="1281"/>
      <c r="B22" s="1282"/>
      <c r="C22" s="1283"/>
      <c r="D22" s="2691"/>
      <c r="E22" s="2691"/>
      <c r="F22" s="2691"/>
    </row>
    <row r="23" spans="1:6" ht="20.65" hidden="1" customHeight="1" x14ac:dyDescent="0.2">
      <c r="A23" s="1281"/>
      <c r="B23" s="1282"/>
      <c r="C23" s="1283"/>
      <c r="D23" s="2691"/>
      <c r="E23" s="2691"/>
      <c r="F23" s="2691"/>
    </row>
    <row r="24" spans="1:6" ht="20.65" hidden="1" customHeight="1" x14ac:dyDescent="0.2">
      <c r="A24" s="1281"/>
      <c r="B24" s="1282"/>
      <c r="C24" s="1283"/>
      <c r="D24" s="2691"/>
      <c r="E24" s="2691"/>
      <c r="F24" s="2691"/>
    </row>
    <row r="25" spans="1:6" ht="20.65" hidden="1" customHeight="1" x14ac:dyDescent="0.2">
      <c r="A25" s="1281"/>
      <c r="B25" s="1282"/>
      <c r="C25" s="1283"/>
      <c r="D25" s="2691"/>
      <c r="E25" s="2691"/>
      <c r="F25" s="2691"/>
    </row>
    <row r="26" spans="1:6" ht="20.65" hidden="1" customHeight="1" x14ac:dyDescent="0.2">
      <c r="A26" s="1281"/>
      <c r="B26" s="1282"/>
      <c r="C26" s="1283"/>
      <c r="D26" s="2691"/>
      <c r="E26" s="2691"/>
      <c r="F26" s="2691"/>
    </row>
    <row r="27" spans="1:6" ht="20.65" hidden="1" customHeight="1" x14ac:dyDescent="0.2">
      <c r="A27" s="1281"/>
      <c r="B27" s="1282"/>
      <c r="C27" s="1283"/>
      <c r="D27" s="2691"/>
      <c r="E27" s="2691"/>
      <c r="F27" s="2691"/>
    </row>
    <row r="28" spans="1:6" ht="20.65" hidden="1" customHeight="1" x14ac:dyDescent="0.2">
      <c r="A28" s="1281"/>
      <c r="B28" s="1282"/>
      <c r="C28" s="1283"/>
      <c r="D28" s="2691"/>
      <c r="E28" s="2691"/>
      <c r="F28" s="2691"/>
    </row>
    <row r="29" spans="1:6" ht="20.65" hidden="1" customHeight="1" x14ac:dyDescent="0.2">
      <c r="A29" s="1281"/>
      <c r="B29" s="1282"/>
      <c r="C29" s="1283"/>
      <c r="D29" s="2691"/>
      <c r="E29" s="2691"/>
      <c r="F29" s="2691"/>
    </row>
    <row r="30" spans="1:6" ht="12" customHeight="1" x14ac:dyDescent="0.2">
      <c r="A30" s="328"/>
      <c r="B30" s="328"/>
      <c r="C30" s="1474"/>
      <c r="D30" s="1924"/>
      <c r="E30" s="1284"/>
    </row>
    <row r="31" spans="1:6" ht="12" customHeight="1" x14ac:dyDescent="0.2">
      <c r="A31" s="1285" t="s">
        <v>1630</v>
      </c>
      <c r="B31" s="328"/>
      <c r="C31" s="1474"/>
      <c r="D31" s="1924"/>
      <c r="E31" s="1284"/>
    </row>
    <row r="32" spans="1:6" ht="30" customHeight="1" x14ac:dyDescent="0.2">
      <c r="A32" s="2692" t="s">
        <v>2110</v>
      </c>
      <c r="B32" s="2692"/>
      <c r="C32" s="2692"/>
      <c r="D32" s="2692"/>
      <c r="E32" s="2692"/>
      <c r="F32" s="2692"/>
    </row>
    <row r="33" spans="1:6" ht="13.5" customHeight="1" x14ac:dyDescent="0.2">
      <c r="A33" s="328" t="s">
        <v>1509</v>
      </c>
      <c r="B33" s="328"/>
      <c r="C33" s="1286">
        <v>0</v>
      </c>
      <c r="D33" s="1924"/>
      <c r="E33" s="1284"/>
    </row>
    <row r="34" spans="1:6" ht="13.5" customHeight="1" x14ac:dyDescent="0.2">
      <c r="A34" s="328" t="s">
        <v>1945</v>
      </c>
      <c r="B34" s="328"/>
      <c r="C34" s="1287">
        <v>2237</v>
      </c>
      <c r="D34" s="1924" t="s">
        <v>1671</v>
      </c>
      <c r="E34" s="2693">
        <f>+C33+C34</f>
        <v>2237</v>
      </c>
      <c r="F34" s="2694"/>
    </row>
    <row r="35" spans="1:6" ht="7.5" customHeight="1" x14ac:dyDescent="0.2">
      <c r="A35" s="328"/>
      <c r="B35" s="328"/>
      <c r="C35" s="1925"/>
      <c r="D35" s="1924"/>
      <c r="E35" s="1288"/>
      <c r="F35" s="1289"/>
    </row>
    <row r="36" spans="1:6" ht="13.5" customHeight="1" x14ac:dyDescent="0.2">
      <c r="A36" s="1285" t="s">
        <v>1631</v>
      </c>
      <c r="B36" s="328"/>
      <c r="C36" s="1474"/>
      <c r="D36" s="1924"/>
      <c r="E36" s="1284"/>
    </row>
    <row r="37" spans="1:6" ht="14.25" customHeight="1" x14ac:dyDescent="0.2">
      <c r="A37" s="328" t="s">
        <v>1563</v>
      </c>
      <c r="B37" s="328"/>
      <c r="C37" s="1926"/>
      <c r="D37" s="1924"/>
      <c r="E37" s="1284"/>
    </row>
    <row r="38" spans="1:6" ht="14.25" customHeight="1" x14ac:dyDescent="0.2">
      <c r="A38" s="328"/>
      <c r="B38" s="328" t="s">
        <v>1510</v>
      </c>
      <c r="C38" s="1290" t="s">
        <v>401</v>
      </c>
      <c r="D38" s="1924"/>
      <c r="E38" s="1284"/>
    </row>
    <row r="39" spans="1:6" ht="14.25" customHeight="1" x14ac:dyDescent="0.2">
      <c r="A39" s="328"/>
      <c r="B39" s="328" t="s">
        <v>1511</v>
      </c>
      <c r="C39" s="1290" t="s">
        <v>401</v>
      </c>
      <c r="D39" s="1924"/>
      <c r="E39" s="1284"/>
    </row>
    <row r="40" spans="1:6" ht="14.25" customHeight="1" x14ac:dyDescent="0.2">
      <c r="A40" s="328"/>
      <c r="B40" s="328" t="s">
        <v>1512</v>
      </c>
      <c r="C40" s="1290" t="s">
        <v>401</v>
      </c>
      <c r="D40" s="1924"/>
      <c r="E40" s="1284"/>
    </row>
    <row r="41" spans="1:6" ht="14.25" customHeight="1" x14ac:dyDescent="0.2">
      <c r="A41" s="328"/>
      <c r="B41" s="328" t="s">
        <v>1513</v>
      </c>
      <c r="C41" s="1290" t="s">
        <v>401</v>
      </c>
      <c r="D41" s="1924"/>
      <c r="E41" s="1284"/>
    </row>
    <row r="42" spans="1:6" ht="14.25" customHeight="1" x14ac:dyDescent="0.2">
      <c r="A42" s="328" t="s">
        <v>1514</v>
      </c>
      <c r="B42" s="328"/>
      <c r="C42" s="1922" t="s">
        <v>401</v>
      </c>
      <c r="D42" s="1924"/>
      <c r="E42" s="1284"/>
    </row>
    <row r="43" spans="1:6" ht="14.25" customHeight="1" x14ac:dyDescent="0.2">
      <c r="A43" s="328" t="s">
        <v>1515</v>
      </c>
      <c r="B43" s="328"/>
      <c r="C43" s="1291" t="s">
        <v>593</v>
      </c>
      <c r="D43" s="1924"/>
      <c r="E43" s="1284"/>
    </row>
    <row r="44" spans="1:6" ht="14.25" customHeight="1" x14ac:dyDescent="0.2">
      <c r="A44" s="328"/>
      <c r="B44" s="328"/>
      <c r="C44" s="1926" t="s">
        <v>1516</v>
      </c>
      <c r="D44" s="1924"/>
      <c r="E44" s="1284"/>
    </row>
    <row r="45" spans="1:6" ht="14.25" customHeight="1" x14ac:dyDescent="0.2">
      <c r="A45" s="328"/>
      <c r="B45" s="328"/>
      <c r="C45" s="1926"/>
      <c r="D45" s="1924"/>
      <c r="E45" s="1284"/>
    </row>
    <row r="46" spans="1:6" ht="14.25" customHeight="1" x14ac:dyDescent="0.2">
      <c r="A46" s="1285" t="s">
        <v>2101</v>
      </c>
      <c r="B46" s="328"/>
      <c r="C46" s="1926"/>
      <c r="D46" s="1924"/>
      <c r="E46" s="1284"/>
    </row>
    <row r="47" spans="1:6" ht="37.5" customHeight="1" x14ac:dyDescent="0.2">
      <c r="A47" s="2696" t="s">
        <v>2102</v>
      </c>
      <c r="B47" s="2696"/>
      <c r="C47" s="2696"/>
      <c r="D47" s="2696"/>
      <c r="E47" s="2696"/>
    </row>
    <row r="48" spans="1:6" ht="9.75" customHeight="1" x14ac:dyDescent="0.2">
      <c r="A48" s="328"/>
      <c r="B48" s="328"/>
      <c r="C48" s="1926"/>
      <c r="D48" s="1924"/>
      <c r="E48" s="1284"/>
    </row>
    <row r="49" spans="1:6" ht="14.25" customHeight="1" x14ac:dyDescent="0.2">
      <c r="A49" s="1285" t="s">
        <v>2103</v>
      </c>
      <c r="B49" s="328"/>
      <c r="C49" s="1926"/>
      <c r="D49" s="1924"/>
      <c r="E49" s="1284"/>
    </row>
    <row r="50" spans="1:6" ht="14.25" customHeight="1" x14ac:dyDescent="0.2">
      <c r="A50" s="328" t="s">
        <v>2104</v>
      </c>
      <c r="B50" s="328"/>
      <c r="C50" s="1926"/>
      <c r="D50" s="1924"/>
      <c r="E50" s="1284"/>
    </row>
    <row r="51" spans="1:6" ht="14.25" customHeight="1" x14ac:dyDescent="0.2">
      <c r="A51" s="328"/>
      <c r="B51" s="1954" t="s">
        <v>2108</v>
      </c>
      <c r="C51" s="1955" t="s">
        <v>2105</v>
      </c>
      <c r="D51" s="1957" t="s">
        <v>2106</v>
      </c>
      <c r="E51" s="1284"/>
    </row>
    <row r="52" spans="1:6" ht="14.25" customHeight="1" x14ac:dyDescent="0.2">
      <c r="A52" s="328"/>
      <c r="B52" s="1954" t="s">
        <v>2109</v>
      </c>
      <c r="C52" s="1955" t="s">
        <v>2107</v>
      </c>
      <c r="D52" s="1956">
        <v>33366</v>
      </c>
      <c r="E52" s="1284"/>
    </row>
    <row r="53" spans="1:6" ht="14.25" customHeight="1" x14ac:dyDescent="0.2">
      <c r="A53" s="328"/>
      <c r="B53" s="328"/>
      <c r="C53" s="1926"/>
      <c r="D53" s="1924"/>
      <c r="E53" s="1284"/>
    </row>
    <row r="54" spans="1:6" ht="2.25" customHeight="1" x14ac:dyDescent="0.2">
      <c r="B54" s="322"/>
      <c r="C54" s="1292"/>
      <c r="D54" s="1292"/>
    </row>
    <row r="55" spans="1:6" x14ac:dyDescent="0.2">
      <c r="A55" s="1293" t="s">
        <v>1833</v>
      </c>
      <c r="C55" s="317"/>
      <c r="D55" s="317"/>
    </row>
    <row r="56" spans="1:6" s="322" customFormat="1" ht="11.25" customHeight="1" x14ac:dyDescent="0.2">
      <c r="A56" s="1294"/>
      <c r="B56" s="1295"/>
      <c r="C56" s="1295"/>
      <c r="D56" s="1295"/>
      <c r="E56" s="1295"/>
      <c r="F56" s="1295"/>
    </row>
    <row r="57" spans="1:6" s="322" customFormat="1" ht="6" customHeight="1" x14ac:dyDescent="0.2">
      <c r="A57" s="1296"/>
    </row>
    <row r="58" spans="1:6" s="1298" customFormat="1" ht="23.25" customHeight="1" x14ac:dyDescent="0.2">
      <c r="A58" s="1297">
        <v>5</v>
      </c>
      <c r="B58" s="2695" t="s">
        <v>1672</v>
      </c>
      <c r="C58" s="2695"/>
      <c r="D58" s="2695"/>
      <c r="E58" s="1397"/>
    </row>
    <row r="59" spans="1:6" s="1298" customFormat="1" ht="3.75" customHeight="1" x14ac:dyDescent="0.2">
      <c r="A59" s="1297"/>
      <c r="B59" s="1866"/>
      <c r="C59" s="1866"/>
      <c r="D59" s="1866"/>
      <c r="E59" s="1397"/>
    </row>
    <row r="60" spans="1:6" s="1298" customFormat="1" ht="20.25" customHeight="1" x14ac:dyDescent="0.2">
      <c r="A60" s="1299">
        <v>6</v>
      </c>
      <c r="B60" s="2690" t="s">
        <v>1632</v>
      </c>
      <c r="C60" s="2690"/>
      <c r="D60" s="2690"/>
    </row>
    <row r="61" spans="1:6" ht="14.25" customHeight="1" x14ac:dyDescent="0.2">
      <c r="A61" s="1299"/>
      <c r="B61" s="2690"/>
      <c r="C61" s="2690"/>
      <c r="D61" s="2690"/>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60:D60"/>
    <mergeCell ref="B61:D61"/>
    <mergeCell ref="D27:F27"/>
    <mergeCell ref="D28:F28"/>
    <mergeCell ref="D29:F29"/>
    <mergeCell ref="A32:F32"/>
    <mergeCell ref="E34:F34"/>
    <mergeCell ref="B58:D58"/>
    <mergeCell ref="A47:E47"/>
  </mergeCells>
  <pageMargins left="0.9" right="0.27" top="0.43" bottom="0" header="0.26" footer="0.5"/>
  <pageSetup scale="96" firstPageNumber="39" orientation="portrait"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AD138"/>
  <sheetViews>
    <sheetView showGridLines="0" zoomScaleNormal="100" workbookViewId="0">
      <pane xSplit="2" ySplit="10" topLeftCell="C57" activePane="bottomRight" state="frozen"/>
      <selection activeCell="T21" sqref="T21:W21"/>
      <selection pane="topRight" activeCell="T21" sqref="T21:W21"/>
      <selection pane="bottomLeft" activeCell="T21" sqref="T21:W21"/>
      <selection pane="bottomRight" activeCell="I79" sqref="I79"/>
    </sheetView>
  </sheetViews>
  <sheetFormatPr defaultColWidth="16.7109375" defaultRowHeight="15" x14ac:dyDescent="0.2"/>
  <cols>
    <col min="1" max="1" width="6.42578125" style="2159" customWidth="1"/>
    <col min="2" max="2" width="51.42578125" style="1989" customWidth="1"/>
    <col min="3" max="3" width="9.85546875" style="1989" customWidth="1"/>
    <col min="4" max="4" width="1.28515625" style="1989" customWidth="1"/>
    <col min="5" max="5" width="11" style="1989" customWidth="1"/>
    <col min="6" max="6" width="3" style="2169" customWidth="1"/>
    <col min="7" max="7" width="11.7109375" style="1989" customWidth="1"/>
    <col min="8" max="8" width="2.42578125" style="1989" customWidth="1"/>
    <col min="9" max="9" width="11.42578125" style="1989" customWidth="1"/>
    <col min="10" max="10" width="3.85546875" style="2169" customWidth="1"/>
    <col min="11" max="11" width="11.5703125" style="1989" customWidth="1"/>
    <col min="12" max="12" width="1.85546875" style="1989" customWidth="1"/>
    <col min="13" max="13" width="13.28515625" style="1989" customWidth="1"/>
    <col min="14" max="14" width="3.85546875" style="1989" customWidth="1"/>
    <col min="15" max="15" width="14.42578125" style="1989" customWidth="1"/>
    <col min="16" max="16" width="4" style="1989" customWidth="1"/>
    <col min="17" max="17" width="10.85546875" style="1989" customWidth="1"/>
    <col min="18" max="18" width="4.140625" style="2169" customWidth="1"/>
    <col min="19" max="19" width="11.85546875" style="1989" customWidth="1"/>
    <col min="20" max="20" width="1.85546875" style="1989" customWidth="1"/>
    <col min="21" max="21" width="10.7109375" style="1989" customWidth="1"/>
    <col min="22" max="22" width="10.7109375" style="1989" hidden="1" customWidth="1"/>
    <col min="23" max="23" width="12.42578125" style="1989" hidden="1" customWidth="1"/>
    <col min="24" max="24" width="14.28515625" style="1989" hidden="1" customWidth="1"/>
    <col min="25" max="25" width="14.42578125" style="1989" hidden="1" customWidth="1"/>
    <col min="26" max="26" width="15" style="1989" hidden="1" customWidth="1"/>
    <col min="27" max="27" width="16.28515625" style="1989" hidden="1" customWidth="1"/>
    <col min="28" max="28" width="12.42578125" style="1989" hidden="1" customWidth="1"/>
    <col min="29" max="30" width="0" style="1989" hidden="1" customWidth="1"/>
    <col min="31" max="251" width="16.7109375" style="1989"/>
    <col min="252" max="252" width="6.42578125" style="1989" customWidth="1"/>
    <col min="253" max="253" width="51.42578125" style="1989" customWidth="1"/>
    <col min="254" max="254" width="9.85546875" style="1989" customWidth="1"/>
    <col min="255" max="255" width="1.28515625" style="1989" customWidth="1"/>
    <col min="256" max="256" width="11" style="1989" customWidth="1"/>
    <col min="257" max="257" width="3" style="1989" customWidth="1"/>
    <col min="258" max="258" width="11.7109375" style="1989" customWidth="1"/>
    <col min="259" max="259" width="2.42578125" style="1989" customWidth="1"/>
    <col min="260" max="260" width="11.42578125" style="1989" customWidth="1"/>
    <col min="261" max="261" width="3.85546875" style="1989" customWidth="1"/>
    <col min="262" max="262" width="11.5703125" style="1989" customWidth="1"/>
    <col min="263" max="263" width="1.85546875" style="1989" customWidth="1"/>
    <col min="264" max="264" width="13.28515625" style="1989" customWidth="1"/>
    <col min="265" max="265" width="3.85546875" style="1989" customWidth="1"/>
    <col min="266" max="266" width="14.42578125" style="1989" customWidth="1"/>
    <col min="267" max="267" width="4" style="1989" customWidth="1"/>
    <col min="268" max="268" width="10.85546875" style="1989" customWidth="1"/>
    <col min="269" max="269" width="4.140625" style="1989" customWidth="1"/>
    <col min="270" max="270" width="11.85546875" style="1989" customWidth="1"/>
    <col min="271" max="271" width="1.85546875" style="1989" customWidth="1"/>
    <col min="272" max="272" width="10.7109375" style="1989" customWidth="1"/>
    <col min="273" max="281" width="0" style="1989" hidden="1" customWidth="1"/>
    <col min="282" max="285" width="16.7109375" style="1989"/>
    <col min="286" max="286" width="19.5703125" style="1989" customWidth="1"/>
    <col min="287" max="507" width="16.7109375" style="1989"/>
    <col min="508" max="508" width="6.42578125" style="1989" customWidth="1"/>
    <col min="509" max="509" width="51.42578125" style="1989" customWidth="1"/>
    <col min="510" max="510" width="9.85546875" style="1989" customWidth="1"/>
    <col min="511" max="511" width="1.28515625" style="1989" customWidth="1"/>
    <col min="512" max="512" width="11" style="1989" customWidth="1"/>
    <col min="513" max="513" width="3" style="1989" customWidth="1"/>
    <col min="514" max="514" width="11.7109375" style="1989" customWidth="1"/>
    <col min="515" max="515" width="2.42578125" style="1989" customWidth="1"/>
    <col min="516" max="516" width="11.42578125" style="1989" customWidth="1"/>
    <col min="517" max="517" width="3.85546875" style="1989" customWidth="1"/>
    <col min="518" max="518" width="11.5703125" style="1989" customWidth="1"/>
    <col min="519" max="519" width="1.85546875" style="1989" customWidth="1"/>
    <col min="520" max="520" width="13.28515625" style="1989" customWidth="1"/>
    <col min="521" max="521" width="3.85546875" style="1989" customWidth="1"/>
    <col min="522" max="522" width="14.42578125" style="1989" customWidth="1"/>
    <col min="523" max="523" width="4" style="1989" customWidth="1"/>
    <col min="524" max="524" width="10.85546875" style="1989" customWidth="1"/>
    <col min="525" max="525" width="4.140625" style="1989" customWidth="1"/>
    <col min="526" max="526" width="11.85546875" style="1989" customWidth="1"/>
    <col min="527" max="527" width="1.85546875" style="1989" customWidth="1"/>
    <col min="528" max="528" width="10.7109375" style="1989" customWidth="1"/>
    <col min="529" max="537" width="0" style="1989" hidden="1" customWidth="1"/>
    <col min="538" max="541" width="16.7109375" style="1989"/>
    <col min="542" max="542" width="19.5703125" style="1989" customWidth="1"/>
    <col min="543" max="763" width="16.7109375" style="1989"/>
    <col min="764" max="764" width="6.42578125" style="1989" customWidth="1"/>
    <col min="765" max="765" width="51.42578125" style="1989" customWidth="1"/>
    <col min="766" max="766" width="9.85546875" style="1989" customWidth="1"/>
    <col min="767" max="767" width="1.28515625" style="1989" customWidth="1"/>
    <col min="768" max="768" width="11" style="1989" customWidth="1"/>
    <col min="769" max="769" width="3" style="1989" customWidth="1"/>
    <col min="770" max="770" width="11.7109375" style="1989" customWidth="1"/>
    <col min="771" max="771" width="2.42578125" style="1989" customWidth="1"/>
    <col min="772" max="772" width="11.42578125" style="1989" customWidth="1"/>
    <col min="773" max="773" width="3.85546875" style="1989" customWidth="1"/>
    <col min="774" max="774" width="11.5703125" style="1989" customWidth="1"/>
    <col min="775" max="775" width="1.85546875" style="1989" customWidth="1"/>
    <col min="776" max="776" width="13.28515625" style="1989" customWidth="1"/>
    <col min="777" max="777" width="3.85546875" style="1989" customWidth="1"/>
    <col min="778" max="778" width="14.42578125" style="1989" customWidth="1"/>
    <col min="779" max="779" width="4" style="1989" customWidth="1"/>
    <col min="780" max="780" width="10.85546875" style="1989" customWidth="1"/>
    <col min="781" max="781" width="4.140625" style="1989" customWidth="1"/>
    <col min="782" max="782" width="11.85546875" style="1989" customWidth="1"/>
    <col min="783" max="783" width="1.85546875" style="1989" customWidth="1"/>
    <col min="784" max="784" width="10.7109375" style="1989" customWidth="1"/>
    <col min="785" max="793" width="0" style="1989" hidden="1" customWidth="1"/>
    <col min="794" max="797" width="16.7109375" style="1989"/>
    <col min="798" max="798" width="19.5703125" style="1989" customWidth="1"/>
    <col min="799" max="1019" width="16.7109375" style="1989"/>
    <col min="1020" max="1020" width="6.42578125" style="1989" customWidth="1"/>
    <col min="1021" max="1021" width="51.42578125" style="1989" customWidth="1"/>
    <col min="1022" max="1022" width="9.85546875" style="1989" customWidth="1"/>
    <col min="1023" max="1023" width="1.28515625" style="1989" customWidth="1"/>
    <col min="1024" max="1024" width="11" style="1989" customWidth="1"/>
    <col min="1025" max="1025" width="3" style="1989" customWidth="1"/>
    <col min="1026" max="1026" width="11.7109375" style="1989" customWidth="1"/>
    <col min="1027" max="1027" width="2.42578125" style="1989" customWidth="1"/>
    <col min="1028" max="1028" width="11.42578125" style="1989" customWidth="1"/>
    <col min="1029" max="1029" width="3.85546875" style="1989" customWidth="1"/>
    <col min="1030" max="1030" width="11.5703125" style="1989" customWidth="1"/>
    <col min="1031" max="1031" width="1.85546875" style="1989" customWidth="1"/>
    <col min="1032" max="1032" width="13.28515625" style="1989" customWidth="1"/>
    <col min="1033" max="1033" width="3.85546875" style="1989" customWidth="1"/>
    <col min="1034" max="1034" width="14.42578125" style="1989" customWidth="1"/>
    <col min="1035" max="1035" width="4" style="1989" customWidth="1"/>
    <col min="1036" max="1036" width="10.85546875" style="1989" customWidth="1"/>
    <col min="1037" max="1037" width="4.140625" style="1989" customWidth="1"/>
    <col min="1038" max="1038" width="11.85546875" style="1989" customWidth="1"/>
    <col min="1039" max="1039" width="1.85546875" style="1989" customWidth="1"/>
    <col min="1040" max="1040" width="10.7109375" style="1989" customWidth="1"/>
    <col min="1041" max="1049" width="0" style="1989" hidden="1" customWidth="1"/>
    <col min="1050" max="1053" width="16.7109375" style="1989"/>
    <col min="1054" max="1054" width="19.5703125" style="1989" customWidth="1"/>
    <col min="1055" max="1275" width="16.7109375" style="1989"/>
    <col min="1276" max="1276" width="6.42578125" style="1989" customWidth="1"/>
    <col min="1277" max="1277" width="51.42578125" style="1989" customWidth="1"/>
    <col min="1278" max="1278" width="9.85546875" style="1989" customWidth="1"/>
    <col min="1279" max="1279" width="1.28515625" style="1989" customWidth="1"/>
    <col min="1280" max="1280" width="11" style="1989" customWidth="1"/>
    <col min="1281" max="1281" width="3" style="1989" customWidth="1"/>
    <col min="1282" max="1282" width="11.7109375" style="1989" customWidth="1"/>
    <col min="1283" max="1283" width="2.42578125" style="1989" customWidth="1"/>
    <col min="1284" max="1284" width="11.42578125" style="1989" customWidth="1"/>
    <col min="1285" max="1285" width="3.85546875" style="1989" customWidth="1"/>
    <col min="1286" max="1286" width="11.5703125" style="1989" customWidth="1"/>
    <col min="1287" max="1287" width="1.85546875" style="1989" customWidth="1"/>
    <col min="1288" max="1288" width="13.28515625" style="1989" customWidth="1"/>
    <col min="1289" max="1289" width="3.85546875" style="1989" customWidth="1"/>
    <col min="1290" max="1290" width="14.42578125" style="1989" customWidth="1"/>
    <col min="1291" max="1291" width="4" style="1989" customWidth="1"/>
    <col min="1292" max="1292" width="10.85546875" style="1989" customWidth="1"/>
    <col min="1293" max="1293" width="4.140625" style="1989" customWidth="1"/>
    <col min="1294" max="1294" width="11.85546875" style="1989" customWidth="1"/>
    <col min="1295" max="1295" width="1.85546875" style="1989" customWidth="1"/>
    <col min="1296" max="1296" width="10.7109375" style="1989" customWidth="1"/>
    <col min="1297" max="1305" width="0" style="1989" hidden="1" customWidth="1"/>
    <col min="1306" max="1309" width="16.7109375" style="1989"/>
    <col min="1310" max="1310" width="19.5703125" style="1989" customWidth="1"/>
    <col min="1311" max="1531" width="16.7109375" style="1989"/>
    <col min="1532" max="1532" width="6.42578125" style="1989" customWidth="1"/>
    <col min="1533" max="1533" width="51.42578125" style="1989" customWidth="1"/>
    <col min="1534" max="1534" width="9.85546875" style="1989" customWidth="1"/>
    <col min="1535" max="1535" width="1.28515625" style="1989" customWidth="1"/>
    <col min="1536" max="1536" width="11" style="1989" customWidth="1"/>
    <col min="1537" max="1537" width="3" style="1989" customWidth="1"/>
    <col min="1538" max="1538" width="11.7109375" style="1989" customWidth="1"/>
    <col min="1539" max="1539" width="2.42578125" style="1989" customWidth="1"/>
    <col min="1540" max="1540" width="11.42578125" style="1989" customWidth="1"/>
    <col min="1541" max="1541" width="3.85546875" style="1989" customWidth="1"/>
    <col min="1542" max="1542" width="11.5703125" style="1989" customWidth="1"/>
    <col min="1543" max="1543" width="1.85546875" style="1989" customWidth="1"/>
    <col min="1544" max="1544" width="13.28515625" style="1989" customWidth="1"/>
    <col min="1545" max="1545" width="3.85546875" style="1989" customWidth="1"/>
    <col min="1546" max="1546" width="14.42578125" style="1989" customWidth="1"/>
    <col min="1547" max="1547" width="4" style="1989" customWidth="1"/>
    <col min="1548" max="1548" width="10.85546875" style="1989" customWidth="1"/>
    <col min="1549" max="1549" width="4.140625" style="1989" customWidth="1"/>
    <col min="1550" max="1550" width="11.85546875" style="1989" customWidth="1"/>
    <col min="1551" max="1551" width="1.85546875" style="1989" customWidth="1"/>
    <col min="1552" max="1552" width="10.7109375" style="1989" customWidth="1"/>
    <col min="1553" max="1561" width="0" style="1989" hidden="1" customWidth="1"/>
    <col min="1562" max="1565" width="16.7109375" style="1989"/>
    <col min="1566" max="1566" width="19.5703125" style="1989" customWidth="1"/>
    <col min="1567" max="1787" width="16.7109375" style="1989"/>
    <col min="1788" max="1788" width="6.42578125" style="1989" customWidth="1"/>
    <col min="1789" max="1789" width="51.42578125" style="1989" customWidth="1"/>
    <col min="1790" max="1790" width="9.85546875" style="1989" customWidth="1"/>
    <col min="1791" max="1791" width="1.28515625" style="1989" customWidth="1"/>
    <col min="1792" max="1792" width="11" style="1989" customWidth="1"/>
    <col min="1793" max="1793" width="3" style="1989" customWidth="1"/>
    <col min="1794" max="1794" width="11.7109375" style="1989" customWidth="1"/>
    <col min="1795" max="1795" width="2.42578125" style="1989" customWidth="1"/>
    <col min="1796" max="1796" width="11.42578125" style="1989" customWidth="1"/>
    <col min="1797" max="1797" width="3.85546875" style="1989" customWidth="1"/>
    <col min="1798" max="1798" width="11.5703125" style="1989" customWidth="1"/>
    <col min="1799" max="1799" width="1.85546875" style="1989" customWidth="1"/>
    <col min="1800" max="1800" width="13.28515625" style="1989" customWidth="1"/>
    <col min="1801" max="1801" width="3.85546875" style="1989" customWidth="1"/>
    <col min="1802" max="1802" width="14.42578125" style="1989" customWidth="1"/>
    <col min="1803" max="1803" width="4" style="1989" customWidth="1"/>
    <col min="1804" max="1804" width="10.85546875" style="1989" customWidth="1"/>
    <col min="1805" max="1805" width="4.140625" style="1989" customWidth="1"/>
    <col min="1806" max="1806" width="11.85546875" style="1989" customWidth="1"/>
    <col min="1807" max="1807" width="1.85546875" style="1989" customWidth="1"/>
    <col min="1808" max="1808" width="10.7109375" style="1989" customWidth="1"/>
    <col min="1809" max="1817" width="0" style="1989" hidden="1" customWidth="1"/>
    <col min="1818" max="1821" width="16.7109375" style="1989"/>
    <col min="1822" max="1822" width="19.5703125" style="1989" customWidth="1"/>
    <col min="1823" max="2043" width="16.7109375" style="1989"/>
    <col min="2044" max="2044" width="6.42578125" style="1989" customWidth="1"/>
    <col min="2045" max="2045" width="51.42578125" style="1989" customWidth="1"/>
    <col min="2046" max="2046" width="9.85546875" style="1989" customWidth="1"/>
    <col min="2047" max="2047" width="1.28515625" style="1989" customWidth="1"/>
    <col min="2048" max="2048" width="11" style="1989" customWidth="1"/>
    <col min="2049" max="2049" width="3" style="1989" customWidth="1"/>
    <col min="2050" max="2050" width="11.7109375" style="1989" customWidth="1"/>
    <col min="2051" max="2051" width="2.42578125" style="1989" customWidth="1"/>
    <col min="2052" max="2052" width="11.42578125" style="1989" customWidth="1"/>
    <col min="2053" max="2053" width="3.85546875" style="1989" customWidth="1"/>
    <col min="2054" max="2054" width="11.5703125" style="1989" customWidth="1"/>
    <col min="2055" max="2055" width="1.85546875" style="1989" customWidth="1"/>
    <col min="2056" max="2056" width="13.28515625" style="1989" customWidth="1"/>
    <col min="2057" max="2057" width="3.85546875" style="1989" customWidth="1"/>
    <col min="2058" max="2058" width="14.42578125" style="1989" customWidth="1"/>
    <col min="2059" max="2059" width="4" style="1989" customWidth="1"/>
    <col min="2060" max="2060" width="10.85546875" style="1989" customWidth="1"/>
    <col min="2061" max="2061" width="4.140625" style="1989" customWidth="1"/>
    <col min="2062" max="2062" width="11.85546875" style="1989" customWidth="1"/>
    <col min="2063" max="2063" width="1.85546875" style="1989" customWidth="1"/>
    <col min="2064" max="2064" width="10.7109375" style="1989" customWidth="1"/>
    <col min="2065" max="2073" width="0" style="1989" hidden="1" customWidth="1"/>
    <col min="2074" max="2077" width="16.7109375" style="1989"/>
    <col min="2078" max="2078" width="19.5703125" style="1989" customWidth="1"/>
    <col min="2079" max="2299" width="16.7109375" style="1989"/>
    <col min="2300" max="2300" width="6.42578125" style="1989" customWidth="1"/>
    <col min="2301" max="2301" width="51.42578125" style="1989" customWidth="1"/>
    <col min="2302" max="2302" width="9.85546875" style="1989" customWidth="1"/>
    <col min="2303" max="2303" width="1.28515625" style="1989" customWidth="1"/>
    <col min="2304" max="2304" width="11" style="1989" customWidth="1"/>
    <col min="2305" max="2305" width="3" style="1989" customWidth="1"/>
    <col min="2306" max="2306" width="11.7109375" style="1989" customWidth="1"/>
    <col min="2307" max="2307" width="2.42578125" style="1989" customWidth="1"/>
    <col min="2308" max="2308" width="11.42578125" style="1989" customWidth="1"/>
    <col min="2309" max="2309" width="3.85546875" style="1989" customWidth="1"/>
    <col min="2310" max="2310" width="11.5703125" style="1989" customWidth="1"/>
    <col min="2311" max="2311" width="1.85546875" style="1989" customWidth="1"/>
    <col min="2312" max="2312" width="13.28515625" style="1989" customWidth="1"/>
    <col min="2313" max="2313" width="3.85546875" style="1989" customWidth="1"/>
    <col min="2314" max="2314" width="14.42578125" style="1989" customWidth="1"/>
    <col min="2315" max="2315" width="4" style="1989" customWidth="1"/>
    <col min="2316" max="2316" width="10.85546875" style="1989" customWidth="1"/>
    <col min="2317" max="2317" width="4.140625" style="1989" customWidth="1"/>
    <col min="2318" max="2318" width="11.85546875" style="1989" customWidth="1"/>
    <col min="2319" max="2319" width="1.85546875" style="1989" customWidth="1"/>
    <col min="2320" max="2320" width="10.7109375" style="1989" customWidth="1"/>
    <col min="2321" max="2329" width="0" style="1989" hidden="1" customWidth="1"/>
    <col min="2330" max="2333" width="16.7109375" style="1989"/>
    <col min="2334" max="2334" width="19.5703125" style="1989" customWidth="1"/>
    <col min="2335" max="2555" width="16.7109375" style="1989"/>
    <col min="2556" max="2556" width="6.42578125" style="1989" customWidth="1"/>
    <col min="2557" max="2557" width="51.42578125" style="1989" customWidth="1"/>
    <col min="2558" max="2558" width="9.85546875" style="1989" customWidth="1"/>
    <col min="2559" max="2559" width="1.28515625" style="1989" customWidth="1"/>
    <col min="2560" max="2560" width="11" style="1989" customWidth="1"/>
    <col min="2561" max="2561" width="3" style="1989" customWidth="1"/>
    <col min="2562" max="2562" width="11.7109375" style="1989" customWidth="1"/>
    <col min="2563" max="2563" width="2.42578125" style="1989" customWidth="1"/>
    <col min="2564" max="2564" width="11.42578125" style="1989" customWidth="1"/>
    <col min="2565" max="2565" width="3.85546875" style="1989" customWidth="1"/>
    <col min="2566" max="2566" width="11.5703125" style="1989" customWidth="1"/>
    <col min="2567" max="2567" width="1.85546875" style="1989" customWidth="1"/>
    <col min="2568" max="2568" width="13.28515625" style="1989" customWidth="1"/>
    <col min="2569" max="2569" width="3.85546875" style="1989" customWidth="1"/>
    <col min="2570" max="2570" width="14.42578125" style="1989" customWidth="1"/>
    <col min="2571" max="2571" width="4" style="1989" customWidth="1"/>
    <col min="2572" max="2572" width="10.85546875" style="1989" customWidth="1"/>
    <col min="2573" max="2573" width="4.140625" style="1989" customWidth="1"/>
    <col min="2574" max="2574" width="11.85546875" style="1989" customWidth="1"/>
    <col min="2575" max="2575" width="1.85546875" style="1989" customWidth="1"/>
    <col min="2576" max="2576" width="10.7109375" style="1989" customWidth="1"/>
    <col min="2577" max="2585" width="0" style="1989" hidden="1" customWidth="1"/>
    <col min="2586" max="2589" width="16.7109375" style="1989"/>
    <col min="2590" max="2590" width="19.5703125" style="1989" customWidth="1"/>
    <col min="2591" max="2811" width="16.7109375" style="1989"/>
    <col min="2812" max="2812" width="6.42578125" style="1989" customWidth="1"/>
    <col min="2813" max="2813" width="51.42578125" style="1989" customWidth="1"/>
    <col min="2814" max="2814" width="9.85546875" style="1989" customWidth="1"/>
    <col min="2815" max="2815" width="1.28515625" style="1989" customWidth="1"/>
    <col min="2816" max="2816" width="11" style="1989" customWidth="1"/>
    <col min="2817" max="2817" width="3" style="1989" customWidth="1"/>
    <col min="2818" max="2818" width="11.7109375" style="1989" customWidth="1"/>
    <col min="2819" max="2819" width="2.42578125" style="1989" customWidth="1"/>
    <col min="2820" max="2820" width="11.42578125" style="1989" customWidth="1"/>
    <col min="2821" max="2821" width="3.85546875" style="1989" customWidth="1"/>
    <col min="2822" max="2822" width="11.5703125" style="1989" customWidth="1"/>
    <col min="2823" max="2823" width="1.85546875" style="1989" customWidth="1"/>
    <col min="2824" max="2824" width="13.28515625" style="1989" customWidth="1"/>
    <col min="2825" max="2825" width="3.85546875" style="1989" customWidth="1"/>
    <col min="2826" max="2826" width="14.42578125" style="1989" customWidth="1"/>
    <col min="2827" max="2827" width="4" style="1989" customWidth="1"/>
    <col min="2828" max="2828" width="10.85546875" style="1989" customWidth="1"/>
    <col min="2829" max="2829" width="4.140625" style="1989" customWidth="1"/>
    <col min="2830" max="2830" width="11.85546875" style="1989" customWidth="1"/>
    <col min="2831" max="2831" width="1.85546875" style="1989" customWidth="1"/>
    <col min="2832" max="2832" width="10.7109375" style="1989" customWidth="1"/>
    <col min="2833" max="2841" width="0" style="1989" hidden="1" customWidth="1"/>
    <col min="2842" max="2845" width="16.7109375" style="1989"/>
    <col min="2846" max="2846" width="19.5703125" style="1989" customWidth="1"/>
    <col min="2847" max="3067" width="16.7109375" style="1989"/>
    <col min="3068" max="3068" width="6.42578125" style="1989" customWidth="1"/>
    <col min="3069" max="3069" width="51.42578125" style="1989" customWidth="1"/>
    <col min="3070" max="3070" width="9.85546875" style="1989" customWidth="1"/>
    <col min="3071" max="3071" width="1.28515625" style="1989" customWidth="1"/>
    <col min="3072" max="3072" width="11" style="1989" customWidth="1"/>
    <col min="3073" max="3073" width="3" style="1989" customWidth="1"/>
    <col min="3074" max="3074" width="11.7109375" style="1989" customWidth="1"/>
    <col min="3075" max="3075" width="2.42578125" style="1989" customWidth="1"/>
    <col min="3076" max="3076" width="11.42578125" style="1989" customWidth="1"/>
    <col min="3077" max="3077" width="3.85546875" style="1989" customWidth="1"/>
    <col min="3078" max="3078" width="11.5703125" style="1989" customWidth="1"/>
    <col min="3079" max="3079" width="1.85546875" style="1989" customWidth="1"/>
    <col min="3080" max="3080" width="13.28515625" style="1989" customWidth="1"/>
    <col min="3081" max="3081" width="3.85546875" style="1989" customWidth="1"/>
    <col min="3082" max="3082" width="14.42578125" style="1989" customWidth="1"/>
    <col min="3083" max="3083" width="4" style="1989" customWidth="1"/>
    <col min="3084" max="3084" width="10.85546875" style="1989" customWidth="1"/>
    <col min="3085" max="3085" width="4.140625" style="1989" customWidth="1"/>
    <col min="3086" max="3086" width="11.85546875" style="1989" customWidth="1"/>
    <col min="3087" max="3087" width="1.85546875" style="1989" customWidth="1"/>
    <col min="3088" max="3088" width="10.7109375" style="1989" customWidth="1"/>
    <col min="3089" max="3097" width="0" style="1989" hidden="1" customWidth="1"/>
    <col min="3098" max="3101" width="16.7109375" style="1989"/>
    <col min="3102" max="3102" width="19.5703125" style="1989" customWidth="1"/>
    <col min="3103" max="3323" width="16.7109375" style="1989"/>
    <col min="3324" max="3324" width="6.42578125" style="1989" customWidth="1"/>
    <col min="3325" max="3325" width="51.42578125" style="1989" customWidth="1"/>
    <col min="3326" max="3326" width="9.85546875" style="1989" customWidth="1"/>
    <col min="3327" max="3327" width="1.28515625" style="1989" customWidth="1"/>
    <col min="3328" max="3328" width="11" style="1989" customWidth="1"/>
    <col min="3329" max="3329" width="3" style="1989" customWidth="1"/>
    <col min="3330" max="3330" width="11.7109375" style="1989" customWidth="1"/>
    <col min="3331" max="3331" width="2.42578125" style="1989" customWidth="1"/>
    <col min="3332" max="3332" width="11.42578125" style="1989" customWidth="1"/>
    <col min="3333" max="3333" width="3.85546875" style="1989" customWidth="1"/>
    <col min="3334" max="3334" width="11.5703125" style="1989" customWidth="1"/>
    <col min="3335" max="3335" width="1.85546875" style="1989" customWidth="1"/>
    <col min="3336" max="3336" width="13.28515625" style="1989" customWidth="1"/>
    <col min="3337" max="3337" width="3.85546875" style="1989" customWidth="1"/>
    <col min="3338" max="3338" width="14.42578125" style="1989" customWidth="1"/>
    <col min="3339" max="3339" width="4" style="1989" customWidth="1"/>
    <col min="3340" max="3340" width="10.85546875" style="1989" customWidth="1"/>
    <col min="3341" max="3341" width="4.140625" style="1989" customWidth="1"/>
    <col min="3342" max="3342" width="11.85546875" style="1989" customWidth="1"/>
    <col min="3343" max="3343" width="1.85546875" style="1989" customWidth="1"/>
    <col min="3344" max="3344" width="10.7109375" style="1989" customWidth="1"/>
    <col min="3345" max="3353" width="0" style="1989" hidden="1" customWidth="1"/>
    <col min="3354" max="3357" width="16.7109375" style="1989"/>
    <col min="3358" max="3358" width="19.5703125" style="1989" customWidth="1"/>
    <col min="3359" max="3579" width="16.7109375" style="1989"/>
    <col min="3580" max="3580" width="6.42578125" style="1989" customWidth="1"/>
    <col min="3581" max="3581" width="51.42578125" style="1989" customWidth="1"/>
    <col min="3582" max="3582" width="9.85546875" style="1989" customWidth="1"/>
    <col min="3583" max="3583" width="1.28515625" style="1989" customWidth="1"/>
    <col min="3584" max="3584" width="11" style="1989" customWidth="1"/>
    <col min="3585" max="3585" width="3" style="1989" customWidth="1"/>
    <col min="3586" max="3586" width="11.7109375" style="1989" customWidth="1"/>
    <col min="3587" max="3587" width="2.42578125" style="1989" customWidth="1"/>
    <col min="3588" max="3588" width="11.42578125" style="1989" customWidth="1"/>
    <col min="3589" max="3589" width="3.85546875" style="1989" customWidth="1"/>
    <col min="3590" max="3590" width="11.5703125" style="1989" customWidth="1"/>
    <col min="3591" max="3591" width="1.85546875" style="1989" customWidth="1"/>
    <col min="3592" max="3592" width="13.28515625" style="1989" customWidth="1"/>
    <col min="3593" max="3593" width="3.85546875" style="1989" customWidth="1"/>
    <col min="3594" max="3594" width="14.42578125" style="1989" customWidth="1"/>
    <col min="3595" max="3595" width="4" style="1989" customWidth="1"/>
    <col min="3596" max="3596" width="10.85546875" style="1989" customWidth="1"/>
    <col min="3597" max="3597" width="4.140625" style="1989" customWidth="1"/>
    <col min="3598" max="3598" width="11.85546875" style="1989" customWidth="1"/>
    <col min="3599" max="3599" width="1.85546875" style="1989" customWidth="1"/>
    <col min="3600" max="3600" width="10.7109375" style="1989" customWidth="1"/>
    <col min="3601" max="3609" width="0" style="1989" hidden="1" customWidth="1"/>
    <col min="3610" max="3613" width="16.7109375" style="1989"/>
    <col min="3614" max="3614" width="19.5703125" style="1989" customWidth="1"/>
    <col min="3615" max="3835" width="16.7109375" style="1989"/>
    <col min="3836" max="3836" width="6.42578125" style="1989" customWidth="1"/>
    <col min="3837" max="3837" width="51.42578125" style="1989" customWidth="1"/>
    <col min="3838" max="3838" width="9.85546875" style="1989" customWidth="1"/>
    <col min="3839" max="3839" width="1.28515625" style="1989" customWidth="1"/>
    <col min="3840" max="3840" width="11" style="1989" customWidth="1"/>
    <col min="3841" max="3841" width="3" style="1989" customWidth="1"/>
    <col min="3842" max="3842" width="11.7109375" style="1989" customWidth="1"/>
    <col min="3843" max="3843" width="2.42578125" style="1989" customWidth="1"/>
    <col min="3844" max="3844" width="11.42578125" style="1989" customWidth="1"/>
    <col min="3845" max="3845" width="3.85546875" style="1989" customWidth="1"/>
    <col min="3846" max="3846" width="11.5703125" style="1989" customWidth="1"/>
    <col min="3847" max="3847" width="1.85546875" style="1989" customWidth="1"/>
    <col min="3848" max="3848" width="13.28515625" style="1989" customWidth="1"/>
    <col min="3849" max="3849" width="3.85546875" style="1989" customWidth="1"/>
    <col min="3850" max="3850" width="14.42578125" style="1989" customWidth="1"/>
    <col min="3851" max="3851" width="4" style="1989" customWidth="1"/>
    <col min="3852" max="3852" width="10.85546875" style="1989" customWidth="1"/>
    <col min="3853" max="3853" width="4.140625" style="1989" customWidth="1"/>
    <col min="3854" max="3854" width="11.85546875" style="1989" customWidth="1"/>
    <col min="3855" max="3855" width="1.85546875" style="1989" customWidth="1"/>
    <col min="3856" max="3856" width="10.7109375" style="1989" customWidth="1"/>
    <col min="3857" max="3865" width="0" style="1989" hidden="1" customWidth="1"/>
    <col min="3866" max="3869" width="16.7109375" style="1989"/>
    <col min="3870" max="3870" width="19.5703125" style="1989" customWidth="1"/>
    <col min="3871" max="4091" width="16.7109375" style="1989"/>
    <col min="4092" max="4092" width="6.42578125" style="1989" customWidth="1"/>
    <col min="4093" max="4093" width="51.42578125" style="1989" customWidth="1"/>
    <col min="4094" max="4094" width="9.85546875" style="1989" customWidth="1"/>
    <col min="4095" max="4095" width="1.28515625" style="1989" customWidth="1"/>
    <col min="4096" max="4096" width="11" style="1989" customWidth="1"/>
    <col min="4097" max="4097" width="3" style="1989" customWidth="1"/>
    <col min="4098" max="4098" width="11.7109375" style="1989" customWidth="1"/>
    <col min="4099" max="4099" width="2.42578125" style="1989" customWidth="1"/>
    <col min="4100" max="4100" width="11.42578125" style="1989" customWidth="1"/>
    <col min="4101" max="4101" width="3.85546875" style="1989" customWidth="1"/>
    <col min="4102" max="4102" width="11.5703125" style="1989" customWidth="1"/>
    <col min="4103" max="4103" width="1.85546875" style="1989" customWidth="1"/>
    <col min="4104" max="4104" width="13.28515625" style="1989" customWidth="1"/>
    <col min="4105" max="4105" width="3.85546875" style="1989" customWidth="1"/>
    <col min="4106" max="4106" width="14.42578125" style="1989" customWidth="1"/>
    <col min="4107" max="4107" width="4" style="1989" customWidth="1"/>
    <col min="4108" max="4108" width="10.85546875" style="1989" customWidth="1"/>
    <col min="4109" max="4109" width="4.140625" style="1989" customWidth="1"/>
    <col min="4110" max="4110" width="11.85546875" style="1989" customWidth="1"/>
    <col min="4111" max="4111" width="1.85546875" style="1989" customWidth="1"/>
    <col min="4112" max="4112" width="10.7109375" style="1989" customWidth="1"/>
    <col min="4113" max="4121" width="0" style="1989" hidden="1" customWidth="1"/>
    <col min="4122" max="4125" width="16.7109375" style="1989"/>
    <col min="4126" max="4126" width="19.5703125" style="1989" customWidth="1"/>
    <col min="4127" max="4347" width="16.7109375" style="1989"/>
    <col min="4348" max="4348" width="6.42578125" style="1989" customWidth="1"/>
    <col min="4349" max="4349" width="51.42578125" style="1989" customWidth="1"/>
    <col min="4350" max="4350" width="9.85546875" style="1989" customWidth="1"/>
    <col min="4351" max="4351" width="1.28515625" style="1989" customWidth="1"/>
    <col min="4352" max="4352" width="11" style="1989" customWidth="1"/>
    <col min="4353" max="4353" width="3" style="1989" customWidth="1"/>
    <col min="4354" max="4354" width="11.7109375" style="1989" customWidth="1"/>
    <col min="4355" max="4355" width="2.42578125" style="1989" customWidth="1"/>
    <col min="4356" max="4356" width="11.42578125" style="1989" customWidth="1"/>
    <col min="4357" max="4357" width="3.85546875" style="1989" customWidth="1"/>
    <col min="4358" max="4358" width="11.5703125" style="1989" customWidth="1"/>
    <col min="4359" max="4359" width="1.85546875" style="1989" customWidth="1"/>
    <col min="4360" max="4360" width="13.28515625" style="1989" customWidth="1"/>
    <col min="4361" max="4361" width="3.85546875" style="1989" customWidth="1"/>
    <col min="4362" max="4362" width="14.42578125" style="1989" customWidth="1"/>
    <col min="4363" max="4363" width="4" style="1989" customWidth="1"/>
    <col min="4364" max="4364" width="10.85546875" style="1989" customWidth="1"/>
    <col min="4365" max="4365" width="4.140625" style="1989" customWidth="1"/>
    <col min="4366" max="4366" width="11.85546875" style="1989" customWidth="1"/>
    <col min="4367" max="4367" width="1.85546875" style="1989" customWidth="1"/>
    <col min="4368" max="4368" width="10.7109375" style="1989" customWidth="1"/>
    <col min="4369" max="4377" width="0" style="1989" hidden="1" customWidth="1"/>
    <col min="4378" max="4381" width="16.7109375" style="1989"/>
    <col min="4382" max="4382" width="19.5703125" style="1989" customWidth="1"/>
    <col min="4383" max="4603" width="16.7109375" style="1989"/>
    <col min="4604" max="4604" width="6.42578125" style="1989" customWidth="1"/>
    <col min="4605" max="4605" width="51.42578125" style="1989" customWidth="1"/>
    <col min="4606" max="4606" width="9.85546875" style="1989" customWidth="1"/>
    <col min="4607" max="4607" width="1.28515625" style="1989" customWidth="1"/>
    <col min="4608" max="4608" width="11" style="1989" customWidth="1"/>
    <col min="4609" max="4609" width="3" style="1989" customWidth="1"/>
    <col min="4610" max="4610" width="11.7109375" style="1989" customWidth="1"/>
    <col min="4611" max="4611" width="2.42578125" style="1989" customWidth="1"/>
    <col min="4612" max="4612" width="11.42578125" style="1989" customWidth="1"/>
    <col min="4613" max="4613" width="3.85546875" style="1989" customWidth="1"/>
    <col min="4614" max="4614" width="11.5703125" style="1989" customWidth="1"/>
    <col min="4615" max="4615" width="1.85546875" style="1989" customWidth="1"/>
    <col min="4616" max="4616" width="13.28515625" style="1989" customWidth="1"/>
    <col min="4617" max="4617" width="3.85546875" style="1989" customWidth="1"/>
    <col min="4618" max="4618" width="14.42578125" style="1989" customWidth="1"/>
    <col min="4619" max="4619" width="4" style="1989" customWidth="1"/>
    <col min="4620" max="4620" width="10.85546875" style="1989" customWidth="1"/>
    <col min="4621" max="4621" width="4.140625" style="1989" customWidth="1"/>
    <col min="4622" max="4622" width="11.85546875" style="1989" customWidth="1"/>
    <col min="4623" max="4623" width="1.85546875" style="1989" customWidth="1"/>
    <col min="4624" max="4624" width="10.7109375" style="1989" customWidth="1"/>
    <col min="4625" max="4633" width="0" style="1989" hidden="1" customWidth="1"/>
    <col min="4634" max="4637" width="16.7109375" style="1989"/>
    <col min="4638" max="4638" width="19.5703125" style="1989" customWidth="1"/>
    <col min="4639" max="4859" width="16.7109375" style="1989"/>
    <col min="4860" max="4860" width="6.42578125" style="1989" customWidth="1"/>
    <col min="4861" max="4861" width="51.42578125" style="1989" customWidth="1"/>
    <col min="4862" max="4862" width="9.85546875" style="1989" customWidth="1"/>
    <col min="4863" max="4863" width="1.28515625" style="1989" customWidth="1"/>
    <col min="4864" max="4864" width="11" style="1989" customWidth="1"/>
    <col min="4865" max="4865" width="3" style="1989" customWidth="1"/>
    <col min="4866" max="4866" width="11.7109375" style="1989" customWidth="1"/>
    <col min="4867" max="4867" width="2.42578125" style="1989" customWidth="1"/>
    <col min="4868" max="4868" width="11.42578125" style="1989" customWidth="1"/>
    <col min="4869" max="4869" width="3.85546875" style="1989" customWidth="1"/>
    <col min="4870" max="4870" width="11.5703125" style="1989" customWidth="1"/>
    <col min="4871" max="4871" width="1.85546875" style="1989" customWidth="1"/>
    <col min="4872" max="4872" width="13.28515625" style="1989" customWidth="1"/>
    <col min="4873" max="4873" width="3.85546875" style="1989" customWidth="1"/>
    <col min="4874" max="4874" width="14.42578125" style="1989" customWidth="1"/>
    <col min="4875" max="4875" width="4" style="1989" customWidth="1"/>
    <col min="4876" max="4876" width="10.85546875" style="1989" customWidth="1"/>
    <col min="4877" max="4877" width="4.140625" style="1989" customWidth="1"/>
    <col min="4878" max="4878" width="11.85546875" style="1989" customWidth="1"/>
    <col min="4879" max="4879" width="1.85546875" style="1989" customWidth="1"/>
    <col min="4880" max="4880" width="10.7109375" style="1989" customWidth="1"/>
    <col min="4881" max="4889" width="0" style="1989" hidden="1" customWidth="1"/>
    <col min="4890" max="4893" width="16.7109375" style="1989"/>
    <col min="4894" max="4894" width="19.5703125" style="1989" customWidth="1"/>
    <col min="4895" max="5115" width="16.7109375" style="1989"/>
    <col min="5116" max="5116" width="6.42578125" style="1989" customWidth="1"/>
    <col min="5117" max="5117" width="51.42578125" style="1989" customWidth="1"/>
    <col min="5118" max="5118" width="9.85546875" style="1989" customWidth="1"/>
    <col min="5119" max="5119" width="1.28515625" style="1989" customWidth="1"/>
    <col min="5120" max="5120" width="11" style="1989" customWidth="1"/>
    <col min="5121" max="5121" width="3" style="1989" customWidth="1"/>
    <col min="5122" max="5122" width="11.7109375" style="1989" customWidth="1"/>
    <col min="5123" max="5123" width="2.42578125" style="1989" customWidth="1"/>
    <col min="5124" max="5124" width="11.42578125" style="1989" customWidth="1"/>
    <col min="5125" max="5125" width="3.85546875" style="1989" customWidth="1"/>
    <col min="5126" max="5126" width="11.5703125" style="1989" customWidth="1"/>
    <col min="5127" max="5127" width="1.85546875" style="1989" customWidth="1"/>
    <col min="5128" max="5128" width="13.28515625" style="1989" customWidth="1"/>
    <col min="5129" max="5129" width="3.85546875" style="1989" customWidth="1"/>
    <col min="5130" max="5130" width="14.42578125" style="1989" customWidth="1"/>
    <col min="5131" max="5131" width="4" style="1989" customWidth="1"/>
    <col min="5132" max="5132" width="10.85546875" style="1989" customWidth="1"/>
    <col min="5133" max="5133" width="4.140625" style="1989" customWidth="1"/>
    <col min="5134" max="5134" width="11.85546875" style="1989" customWidth="1"/>
    <col min="5135" max="5135" width="1.85546875" style="1989" customWidth="1"/>
    <col min="5136" max="5136" width="10.7109375" style="1989" customWidth="1"/>
    <col min="5137" max="5145" width="0" style="1989" hidden="1" customWidth="1"/>
    <col min="5146" max="5149" width="16.7109375" style="1989"/>
    <col min="5150" max="5150" width="19.5703125" style="1989" customWidth="1"/>
    <col min="5151" max="5371" width="16.7109375" style="1989"/>
    <col min="5372" max="5372" width="6.42578125" style="1989" customWidth="1"/>
    <col min="5373" max="5373" width="51.42578125" style="1989" customWidth="1"/>
    <col min="5374" max="5374" width="9.85546875" style="1989" customWidth="1"/>
    <col min="5375" max="5375" width="1.28515625" style="1989" customWidth="1"/>
    <col min="5376" max="5376" width="11" style="1989" customWidth="1"/>
    <col min="5377" max="5377" width="3" style="1989" customWidth="1"/>
    <col min="5378" max="5378" width="11.7109375" style="1989" customWidth="1"/>
    <col min="5379" max="5379" width="2.42578125" style="1989" customWidth="1"/>
    <col min="5380" max="5380" width="11.42578125" style="1989" customWidth="1"/>
    <col min="5381" max="5381" width="3.85546875" style="1989" customWidth="1"/>
    <col min="5382" max="5382" width="11.5703125" style="1989" customWidth="1"/>
    <col min="5383" max="5383" width="1.85546875" style="1989" customWidth="1"/>
    <col min="5384" max="5384" width="13.28515625" style="1989" customWidth="1"/>
    <col min="5385" max="5385" width="3.85546875" style="1989" customWidth="1"/>
    <col min="5386" max="5386" width="14.42578125" style="1989" customWidth="1"/>
    <col min="5387" max="5387" width="4" style="1989" customWidth="1"/>
    <col min="5388" max="5388" width="10.85546875" style="1989" customWidth="1"/>
    <col min="5389" max="5389" width="4.140625" style="1989" customWidth="1"/>
    <col min="5390" max="5390" width="11.85546875" style="1989" customWidth="1"/>
    <col min="5391" max="5391" width="1.85546875" style="1989" customWidth="1"/>
    <col min="5392" max="5392" width="10.7109375" style="1989" customWidth="1"/>
    <col min="5393" max="5401" width="0" style="1989" hidden="1" customWidth="1"/>
    <col min="5402" max="5405" width="16.7109375" style="1989"/>
    <col min="5406" max="5406" width="19.5703125" style="1989" customWidth="1"/>
    <col min="5407" max="5627" width="16.7109375" style="1989"/>
    <col min="5628" max="5628" width="6.42578125" style="1989" customWidth="1"/>
    <col min="5629" max="5629" width="51.42578125" style="1989" customWidth="1"/>
    <col min="5630" max="5630" width="9.85546875" style="1989" customWidth="1"/>
    <col min="5631" max="5631" width="1.28515625" style="1989" customWidth="1"/>
    <col min="5632" max="5632" width="11" style="1989" customWidth="1"/>
    <col min="5633" max="5633" width="3" style="1989" customWidth="1"/>
    <col min="5634" max="5634" width="11.7109375" style="1989" customWidth="1"/>
    <col min="5635" max="5635" width="2.42578125" style="1989" customWidth="1"/>
    <col min="5636" max="5636" width="11.42578125" style="1989" customWidth="1"/>
    <col min="5637" max="5637" width="3.85546875" style="1989" customWidth="1"/>
    <col min="5638" max="5638" width="11.5703125" style="1989" customWidth="1"/>
    <col min="5639" max="5639" width="1.85546875" style="1989" customWidth="1"/>
    <col min="5640" max="5640" width="13.28515625" style="1989" customWidth="1"/>
    <col min="5641" max="5641" width="3.85546875" style="1989" customWidth="1"/>
    <col min="5642" max="5642" width="14.42578125" style="1989" customWidth="1"/>
    <col min="5643" max="5643" width="4" style="1989" customWidth="1"/>
    <col min="5644" max="5644" width="10.85546875" style="1989" customWidth="1"/>
    <col min="5645" max="5645" width="4.140625" style="1989" customWidth="1"/>
    <col min="5646" max="5646" width="11.85546875" style="1989" customWidth="1"/>
    <col min="5647" max="5647" width="1.85546875" style="1989" customWidth="1"/>
    <col min="5648" max="5648" width="10.7109375" style="1989" customWidth="1"/>
    <col min="5649" max="5657" width="0" style="1989" hidden="1" customWidth="1"/>
    <col min="5658" max="5661" width="16.7109375" style="1989"/>
    <col min="5662" max="5662" width="19.5703125" style="1989" customWidth="1"/>
    <col min="5663" max="5883" width="16.7109375" style="1989"/>
    <col min="5884" max="5884" width="6.42578125" style="1989" customWidth="1"/>
    <col min="5885" max="5885" width="51.42578125" style="1989" customWidth="1"/>
    <col min="5886" max="5886" width="9.85546875" style="1989" customWidth="1"/>
    <col min="5887" max="5887" width="1.28515625" style="1989" customWidth="1"/>
    <col min="5888" max="5888" width="11" style="1989" customWidth="1"/>
    <col min="5889" max="5889" width="3" style="1989" customWidth="1"/>
    <col min="5890" max="5890" width="11.7109375" style="1989" customWidth="1"/>
    <col min="5891" max="5891" width="2.42578125" style="1989" customWidth="1"/>
    <col min="5892" max="5892" width="11.42578125" style="1989" customWidth="1"/>
    <col min="5893" max="5893" width="3.85546875" style="1989" customWidth="1"/>
    <col min="5894" max="5894" width="11.5703125" style="1989" customWidth="1"/>
    <col min="5895" max="5895" width="1.85546875" style="1989" customWidth="1"/>
    <col min="5896" max="5896" width="13.28515625" style="1989" customWidth="1"/>
    <col min="5897" max="5897" width="3.85546875" style="1989" customWidth="1"/>
    <col min="5898" max="5898" width="14.42578125" style="1989" customWidth="1"/>
    <col min="5899" max="5899" width="4" style="1989" customWidth="1"/>
    <col min="5900" max="5900" width="10.85546875" style="1989" customWidth="1"/>
    <col min="5901" max="5901" width="4.140625" style="1989" customWidth="1"/>
    <col min="5902" max="5902" width="11.85546875" style="1989" customWidth="1"/>
    <col min="5903" max="5903" width="1.85546875" style="1989" customWidth="1"/>
    <col min="5904" max="5904" width="10.7109375" style="1989" customWidth="1"/>
    <col min="5905" max="5913" width="0" style="1989" hidden="1" customWidth="1"/>
    <col min="5914" max="5917" width="16.7109375" style="1989"/>
    <col min="5918" max="5918" width="19.5703125" style="1989" customWidth="1"/>
    <col min="5919" max="6139" width="16.7109375" style="1989"/>
    <col min="6140" max="6140" width="6.42578125" style="1989" customWidth="1"/>
    <col min="6141" max="6141" width="51.42578125" style="1989" customWidth="1"/>
    <col min="6142" max="6142" width="9.85546875" style="1989" customWidth="1"/>
    <col min="6143" max="6143" width="1.28515625" style="1989" customWidth="1"/>
    <col min="6144" max="6144" width="11" style="1989" customWidth="1"/>
    <col min="6145" max="6145" width="3" style="1989" customWidth="1"/>
    <col min="6146" max="6146" width="11.7109375" style="1989" customWidth="1"/>
    <col min="6147" max="6147" width="2.42578125" style="1989" customWidth="1"/>
    <col min="6148" max="6148" width="11.42578125" style="1989" customWidth="1"/>
    <col min="6149" max="6149" width="3.85546875" style="1989" customWidth="1"/>
    <col min="6150" max="6150" width="11.5703125" style="1989" customWidth="1"/>
    <col min="6151" max="6151" width="1.85546875" style="1989" customWidth="1"/>
    <col min="6152" max="6152" width="13.28515625" style="1989" customWidth="1"/>
    <col min="6153" max="6153" width="3.85546875" style="1989" customWidth="1"/>
    <col min="6154" max="6154" width="14.42578125" style="1989" customWidth="1"/>
    <col min="6155" max="6155" width="4" style="1989" customWidth="1"/>
    <col min="6156" max="6156" width="10.85546875" style="1989" customWidth="1"/>
    <col min="6157" max="6157" width="4.140625" style="1989" customWidth="1"/>
    <col min="6158" max="6158" width="11.85546875" style="1989" customWidth="1"/>
    <col min="6159" max="6159" width="1.85546875" style="1989" customWidth="1"/>
    <col min="6160" max="6160" width="10.7109375" style="1989" customWidth="1"/>
    <col min="6161" max="6169" width="0" style="1989" hidden="1" customWidth="1"/>
    <col min="6170" max="6173" width="16.7109375" style="1989"/>
    <col min="6174" max="6174" width="19.5703125" style="1989" customWidth="1"/>
    <col min="6175" max="6395" width="16.7109375" style="1989"/>
    <col min="6396" max="6396" width="6.42578125" style="1989" customWidth="1"/>
    <col min="6397" max="6397" width="51.42578125" style="1989" customWidth="1"/>
    <col min="6398" max="6398" width="9.85546875" style="1989" customWidth="1"/>
    <col min="6399" max="6399" width="1.28515625" style="1989" customWidth="1"/>
    <col min="6400" max="6400" width="11" style="1989" customWidth="1"/>
    <col min="6401" max="6401" width="3" style="1989" customWidth="1"/>
    <col min="6402" max="6402" width="11.7109375" style="1989" customWidth="1"/>
    <col min="6403" max="6403" width="2.42578125" style="1989" customWidth="1"/>
    <col min="6404" max="6404" width="11.42578125" style="1989" customWidth="1"/>
    <col min="6405" max="6405" width="3.85546875" style="1989" customWidth="1"/>
    <col min="6406" max="6406" width="11.5703125" style="1989" customWidth="1"/>
    <col min="6407" max="6407" width="1.85546875" style="1989" customWidth="1"/>
    <col min="6408" max="6408" width="13.28515625" style="1989" customWidth="1"/>
    <col min="6409" max="6409" width="3.85546875" style="1989" customWidth="1"/>
    <col min="6410" max="6410" width="14.42578125" style="1989" customWidth="1"/>
    <col min="6411" max="6411" width="4" style="1989" customWidth="1"/>
    <col min="6412" max="6412" width="10.85546875" style="1989" customWidth="1"/>
    <col min="6413" max="6413" width="4.140625" style="1989" customWidth="1"/>
    <col min="6414" max="6414" width="11.85546875" style="1989" customWidth="1"/>
    <col min="6415" max="6415" width="1.85546875" style="1989" customWidth="1"/>
    <col min="6416" max="6416" width="10.7109375" style="1989" customWidth="1"/>
    <col min="6417" max="6425" width="0" style="1989" hidden="1" customWidth="1"/>
    <col min="6426" max="6429" width="16.7109375" style="1989"/>
    <col min="6430" max="6430" width="19.5703125" style="1989" customWidth="1"/>
    <col min="6431" max="6651" width="16.7109375" style="1989"/>
    <col min="6652" max="6652" width="6.42578125" style="1989" customWidth="1"/>
    <col min="6653" max="6653" width="51.42578125" style="1989" customWidth="1"/>
    <col min="6654" max="6654" width="9.85546875" style="1989" customWidth="1"/>
    <col min="6655" max="6655" width="1.28515625" style="1989" customWidth="1"/>
    <col min="6656" max="6656" width="11" style="1989" customWidth="1"/>
    <col min="6657" max="6657" width="3" style="1989" customWidth="1"/>
    <col min="6658" max="6658" width="11.7109375" style="1989" customWidth="1"/>
    <col min="6659" max="6659" width="2.42578125" style="1989" customWidth="1"/>
    <col min="6660" max="6660" width="11.42578125" style="1989" customWidth="1"/>
    <col min="6661" max="6661" width="3.85546875" style="1989" customWidth="1"/>
    <col min="6662" max="6662" width="11.5703125" style="1989" customWidth="1"/>
    <col min="6663" max="6663" width="1.85546875" style="1989" customWidth="1"/>
    <col min="6664" max="6664" width="13.28515625" style="1989" customWidth="1"/>
    <col min="6665" max="6665" width="3.85546875" style="1989" customWidth="1"/>
    <col min="6666" max="6666" width="14.42578125" style="1989" customWidth="1"/>
    <col min="6667" max="6667" width="4" style="1989" customWidth="1"/>
    <col min="6668" max="6668" width="10.85546875" style="1989" customWidth="1"/>
    <col min="6669" max="6669" width="4.140625" style="1989" customWidth="1"/>
    <col min="6670" max="6670" width="11.85546875" style="1989" customWidth="1"/>
    <col min="6671" max="6671" width="1.85546875" style="1989" customWidth="1"/>
    <col min="6672" max="6672" width="10.7109375" style="1989" customWidth="1"/>
    <col min="6673" max="6681" width="0" style="1989" hidden="1" customWidth="1"/>
    <col min="6682" max="6685" width="16.7109375" style="1989"/>
    <col min="6686" max="6686" width="19.5703125" style="1989" customWidth="1"/>
    <col min="6687" max="6907" width="16.7109375" style="1989"/>
    <col min="6908" max="6908" width="6.42578125" style="1989" customWidth="1"/>
    <col min="6909" max="6909" width="51.42578125" style="1989" customWidth="1"/>
    <col min="6910" max="6910" width="9.85546875" style="1989" customWidth="1"/>
    <col min="6911" max="6911" width="1.28515625" style="1989" customWidth="1"/>
    <col min="6912" max="6912" width="11" style="1989" customWidth="1"/>
    <col min="6913" max="6913" width="3" style="1989" customWidth="1"/>
    <col min="6914" max="6914" width="11.7109375" style="1989" customWidth="1"/>
    <col min="6915" max="6915" width="2.42578125" style="1989" customWidth="1"/>
    <col min="6916" max="6916" width="11.42578125" style="1989" customWidth="1"/>
    <col min="6917" max="6917" width="3.85546875" style="1989" customWidth="1"/>
    <col min="6918" max="6918" width="11.5703125" style="1989" customWidth="1"/>
    <col min="6919" max="6919" width="1.85546875" style="1989" customWidth="1"/>
    <col min="6920" max="6920" width="13.28515625" style="1989" customWidth="1"/>
    <col min="6921" max="6921" width="3.85546875" style="1989" customWidth="1"/>
    <col min="6922" max="6922" width="14.42578125" style="1989" customWidth="1"/>
    <col min="6923" max="6923" width="4" style="1989" customWidth="1"/>
    <col min="6924" max="6924" width="10.85546875" style="1989" customWidth="1"/>
    <col min="6925" max="6925" width="4.140625" style="1989" customWidth="1"/>
    <col min="6926" max="6926" width="11.85546875" style="1989" customWidth="1"/>
    <col min="6927" max="6927" width="1.85546875" style="1989" customWidth="1"/>
    <col min="6928" max="6928" width="10.7109375" style="1989" customWidth="1"/>
    <col min="6929" max="6937" width="0" style="1989" hidden="1" customWidth="1"/>
    <col min="6938" max="6941" width="16.7109375" style="1989"/>
    <col min="6942" max="6942" width="19.5703125" style="1989" customWidth="1"/>
    <col min="6943" max="7163" width="16.7109375" style="1989"/>
    <col min="7164" max="7164" width="6.42578125" style="1989" customWidth="1"/>
    <col min="7165" max="7165" width="51.42578125" style="1989" customWidth="1"/>
    <col min="7166" max="7166" width="9.85546875" style="1989" customWidth="1"/>
    <col min="7167" max="7167" width="1.28515625" style="1989" customWidth="1"/>
    <col min="7168" max="7168" width="11" style="1989" customWidth="1"/>
    <col min="7169" max="7169" width="3" style="1989" customWidth="1"/>
    <col min="7170" max="7170" width="11.7109375" style="1989" customWidth="1"/>
    <col min="7171" max="7171" width="2.42578125" style="1989" customWidth="1"/>
    <col min="7172" max="7172" width="11.42578125" style="1989" customWidth="1"/>
    <col min="7173" max="7173" width="3.85546875" style="1989" customWidth="1"/>
    <col min="7174" max="7174" width="11.5703125" style="1989" customWidth="1"/>
    <col min="7175" max="7175" width="1.85546875" style="1989" customWidth="1"/>
    <col min="7176" max="7176" width="13.28515625" style="1989" customWidth="1"/>
    <col min="7177" max="7177" width="3.85546875" style="1989" customWidth="1"/>
    <col min="7178" max="7178" width="14.42578125" style="1989" customWidth="1"/>
    <col min="7179" max="7179" width="4" style="1989" customWidth="1"/>
    <col min="7180" max="7180" width="10.85546875" style="1989" customWidth="1"/>
    <col min="7181" max="7181" width="4.140625" style="1989" customWidth="1"/>
    <col min="7182" max="7182" width="11.85546875" style="1989" customWidth="1"/>
    <col min="7183" max="7183" width="1.85546875" style="1989" customWidth="1"/>
    <col min="7184" max="7184" width="10.7109375" style="1989" customWidth="1"/>
    <col min="7185" max="7193" width="0" style="1989" hidden="1" customWidth="1"/>
    <col min="7194" max="7197" width="16.7109375" style="1989"/>
    <col min="7198" max="7198" width="19.5703125" style="1989" customWidth="1"/>
    <col min="7199" max="7419" width="16.7109375" style="1989"/>
    <col min="7420" max="7420" width="6.42578125" style="1989" customWidth="1"/>
    <col min="7421" max="7421" width="51.42578125" style="1989" customWidth="1"/>
    <col min="7422" max="7422" width="9.85546875" style="1989" customWidth="1"/>
    <col min="7423" max="7423" width="1.28515625" style="1989" customWidth="1"/>
    <col min="7424" max="7424" width="11" style="1989" customWidth="1"/>
    <col min="7425" max="7425" width="3" style="1989" customWidth="1"/>
    <col min="7426" max="7426" width="11.7109375" style="1989" customWidth="1"/>
    <col min="7427" max="7427" width="2.42578125" style="1989" customWidth="1"/>
    <col min="7428" max="7428" width="11.42578125" style="1989" customWidth="1"/>
    <col min="7429" max="7429" width="3.85546875" style="1989" customWidth="1"/>
    <col min="7430" max="7430" width="11.5703125" style="1989" customWidth="1"/>
    <col min="7431" max="7431" width="1.85546875" style="1989" customWidth="1"/>
    <col min="7432" max="7432" width="13.28515625" style="1989" customWidth="1"/>
    <col min="7433" max="7433" width="3.85546875" style="1989" customWidth="1"/>
    <col min="7434" max="7434" width="14.42578125" style="1989" customWidth="1"/>
    <col min="7435" max="7435" width="4" style="1989" customWidth="1"/>
    <col min="7436" max="7436" width="10.85546875" style="1989" customWidth="1"/>
    <col min="7437" max="7437" width="4.140625" style="1989" customWidth="1"/>
    <col min="7438" max="7438" width="11.85546875" style="1989" customWidth="1"/>
    <col min="7439" max="7439" width="1.85546875" style="1989" customWidth="1"/>
    <col min="7440" max="7440" width="10.7109375" style="1989" customWidth="1"/>
    <col min="7441" max="7449" width="0" style="1989" hidden="1" customWidth="1"/>
    <col min="7450" max="7453" width="16.7109375" style="1989"/>
    <col min="7454" max="7454" width="19.5703125" style="1989" customWidth="1"/>
    <col min="7455" max="7675" width="16.7109375" style="1989"/>
    <col min="7676" max="7676" width="6.42578125" style="1989" customWidth="1"/>
    <col min="7677" max="7677" width="51.42578125" style="1989" customWidth="1"/>
    <col min="7678" max="7678" width="9.85546875" style="1989" customWidth="1"/>
    <col min="7679" max="7679" width="1.28515625" style="1989" customWidth="1"/>
    <col min="7680" max="7680" width="11" style="1989" customWidth="1"/>
    <col min="7681" max="7681" width="3" style="1989" customWidth="1"/>
    <col min="7682" max="7682" width="11.7109375" style="1989" customWidth="1"/>
    <col min="7683" max="7683" width="2.42578125" style="1989" customWidth="1"/>
    <col min="7684" max="7684" width="11.42578125" style="1989" customWidth="1"/>
    <col min="7685" max="7685" width="3.85546875" style="1989" customWidth="1"/>
    <col min="7686" max="7686" width="11.5703125" style="1989" customWidth="1"/>
    <col min="7687" max="7687" width="1.85546875" style="1989" customWidth="1"/>
    <col min="7688" max="7688" width="13.28515625" style="1989" customWidth="1"/>
    <col min="7689" max="7689" width="3.85546875" style="1989" customWidth="1"/>
    <col min="7690" max="7690" width="14.42578125" style="1989" customWidth="1"/>
    <col min="7691" max="7691" width="4" style="1989" customWidth="1"/>
    <col min="7692" max="7692" width="10.85546875" style="1989" customWidth="1"/>
    <col min="7693" max="7693" width="4.140625" style="1989" customWidth="1"/>
    <col min="7694" max="7694" width="11.85546875" style="1989" customWidth="1"/>
    <col min="7695" max="7695" width="1.85546875" style="1989" customWidth="1"/>
    <col min="7696" max="7696" width="10.7109375" style="1989" customWidth="1"/>
    <col min="7697" max="7705" width="0" style="1989" hidden="1" customWidth="1"/>
    <col min="7706" max="7709" width="16.7109375" style="1989"/>
    <col min="7710" max="7710" width="19.5703125" style="1989" customWidth="1"/>
    <col min="7711" max="7931" width="16.7109375" style="1989"/>
    <col min="7932" max="7932" width="6.42578125" style="1989" customWidth="1"/>
    <col min="7933" max="7933" width="51.42578125" style="1989" customWidth="1"/>
    <col min="7934" max="7934" width="9.85546875" style="1989" customWidth="1"/>
    <col min="7935" max="7935" width="1.28515625" style="1989" customWidth="1"/>
    <col min="7936" max="7936" width="11" style="1989" customWidth="1"/>
    <col min="7937" max="7937" width="3" style="1989" customWidth="1"/>
    <col min="7938" max="7938" width="11.7109375" style="1989" customWidth="1"/>
    <col min="7939" max="7939" width="2.42578125" style="1989" customWidth="1"/>
    <col min="7940" max="7940" width="11.42578125" style="1989" customWidth="1"/>
    <col min="7941" max="7941" width="3.85546875" style="1989" customWidth="1"/>
    <col min="7942" max="7942" width="11.5703125" style="1989" customWidth="1"/>
    <col min="7943" max="7943" width="1.85546875" style="1989" customWidth="1"/>
    <col min="7944" max="7944" width="13.28515625" style="1989" customWidth="1"/>
    <col min="7945" max="7945" width="3.85546875" style="1989" customWidth="1"/>
    <col min="7946" max="7946" width="14.42578125" style="1989" customWidth="1"/>
    <col min="7947" max="7947" width="4" style="1989" customWidth="1"/>
    <col min="7948" max="7948" width="10.85546875" style="1989" customWidth="1"/>
    <col min="7949" max="7949" width="4.140625" style="1989" customWidth="1"/>
    <col min="7950" max="7950" width="11.85546875" style="1989" customWidth="1"/>
    <col min="7951" max="7951" width="1.85546875" style="1989" customWidth="1"/>
    <col min="7952" max="7952" width="10.7109375" style="1989" customWidth="1"/>
    <col min="7953" max="7961" width="0" style="1989" hidden="1" customWidth="1"/>
    <col min="7962" max="7965" width="16.7109375" style="1989"/>
    <col min="7966" max="7966" width="19.5703125" style="1989" customWidth="1"/>
    <col min="7967" max="8187" width="16.7109375" style="1989"/>
    <col min="8188" max="8188" width="6.42578125" style="1989" customWidth="1"/>
    <col min="8189" max="8189" width="51.42578125" style="1989" customWidth="1"/>
    <col min="8190" max="8190" width="9.85546875" style="1989" customWidth="1"/>
    <col min="8191" max="8191" width="1.28515625" style="1989" customWidth="1"/>
    <col min="8192" max="8192" width="11" style="1989" customWidth="1"/>
    <col min="8193" max="8193" width="3" style="1989" customWidth="1"/>
    <col min="8194" max="8194" width="11.7109375" style="1989" customWidth="1"/>
    <col min="8195" max="8195" width="2.42578125" style="1989" customWidth="1"/>
    <col min="8196" max="8196" width="11.42578125" style="1989" customWidth="1"/>
    <col min="8197" max="8197" width="3.85546875" style="1989" customWidth="1"/>
    <col min="8198" max="8198" width="11.5703125" style="1989" customWidth="1"/>
    <col min="8199" max="8199" width="1.85546875" style="1989" customWidth="1"/>
    <col min="8200" max="8200" width="13.28515625" style="1989" customWidth="1"/>
    <col min="8201" max="8201" width="3.85546875" style="1989" customWidth="1"/>
    <col min="8202" max="8202" width="14.42578125" style="1989" customWidth="1"/>
    <col min="8203" max="8203" width="4" style="1989" customWidth="1"/>
    <col min="8204" max="8204" width="10.85546875" style="1989" customWidth="1"/>
    <col min="8205" max="8205" width="4.140625" style="1989" customWidth="1"/>
    <col min="8206" max="8206" width="11.85546875" style="1989" customWidth="1"/>
    <col min="8207" max="8207" width="1.85546875" style="1989" customWidth="1"/>
    <col min="8208" max="8208" width="10.7109375" style="1989" customWidth="1"/>
    <col min="8209" max="8217" width="0" style="1989" hidden="1" customWidth="1"/>
    <col min="8218" max="8221" width="16.7109375" style="1989"/>
    <col min="8222" max="8222" width="19.5703125" style="1989" customWidth="1"/>
    <col min="8223" max="8443" width="16.7109375" style="1989"/>
    <col min="8444" max="8444" width="6.42578125" style="1989" customWidth="1"/>
    <col min="8445" max="8445" width="51.42578125" style="1989" customWidth="1"/>
    <col min="8446" max="8446" width="9.85546875" style="1989" customWidth="1"/>
    <col min="8447" max="8447" width="1.28515625" style="1989" customWidth="1"/>
    <col min="8448" max="8448" width="11" style="1989" customWidth="1"/>
    <col min="8449" max="8449" width="3" style="1989" customWidth="1"/>
    <col min="8450" max="8450" width="11.7109375" style="1989" customWidth="1"/>
    <col min="8451" max="8451" width="2.42578125" style="1989" customWidth="1"/>
    <col min="8452" max="8452" width="11.42578125" style="1989" customWidth="1"/>
    <col min="8453" max="8453" width="3.85546875" style="1989" customWidth="1"/>
    <col min="8454" max="8454" width="11.5703125" style="1989" customWidth="1"/>
    <col min="8455" max="8455" width="1.85546875" style="1989" customWidth="1"/>
    <col min="8456" max="8456" width="13.28515625" style="1989" customWidth="1"/>
    <col min="8457" max="8457" width="3.85546875" style="1989" customWidth="1"/>
    <col min="8458" max="8458" width="14.42578125" style="1989" customWidth="1"/>
    <col min="8459" max="8459" width="4" style="1989" customWidth="1"/>
    <col min="8460" max="8460" width="10.85546875" style="1989" customWidth="1"/>
    <col min="8461" max="8461" width="4.140625" style="1989" customWidth="1"/>
    <col min="8462" max="8462" width="11.85546875" style="1989" customWidth="1"/>
    <col min="8463" max="8463" width="1.85546875" style="1989" customWidth="1"/>
    <col min="8464" max="8464" width="10.7109375" style="1989" customWidth="1"/>
    <col min="8465" max="8473" width="0" style="1989" hidden="1" customWidth="1"/>
    <col min="8474" max="8477" width="16.7109375" style="1989"/>
    <col min="8478" max="8478" width="19.5703125" style="1989" customWidth="1"/>
    <col min="8479" max="8699" width="16.7109375" style="1989"/>
    <col min="8700" max="8700" width="6.42578125" style="1989" customWidth="1"/>
    <col min="8701" max="8701" width="51.42578125" style="1989" customWidth="1"/>
    <col min="8702" max="8702" width="9.85546875" style="1989" customWidth="1"/>
    <col min="8703" max="8703" width="1.28515625" style="1989" customWidth="1"/>
    <col min="8704" max="8704" width="11" style="1989" customWidth="1"/>
    <col min="8705" max="8705" width="3" style="1989" customWidth="1"/>
    <col min="8706" max="8706" width="11.7109375" style="1989" customWidth="1"/>
    <col min="8707" max="8707" width="2.42578125" style="1989" customWidth="1"/>
    <col min="8708" max="8708" width="11.42578125" style="1989" customWidth="1"/>
    <col min="8709" max="8709" width="3.85546875" style="1989" customWidth="1"/>
    <col min="8710" max="8710" width="11.5703125" style="1989" customWidth="1"/>
    <col min="8711" max="8711" width="1.85546875" style="1989" customWidth="1"/>
    <col min="8712" max="8712" width="13.28515625" style="1989" customWidth="1"/>
    <col min="8713" max="8713" width="3.85546875" style="1989" customWidth="1"/>
    <col min="8714" max="8714" width="14.42578125" style="1989" customWidth="1"/>
    <col min="8715" max="8715" width="4" style="1989" customWidth="1"/>
    <col min="8716" max="8716" width="10.85546875" style="1989" customWidth="1"/>
    <col min="8717" max="8717" width="4.140625" style="1989" customWidth="1"/>
    <col min="8718" max="8718" width="11.85546875" style="1989" customWidth="1"/>
    <col min="8719" max="8719" width="1.85546875" style="1989" customWidth="1"/>
    <col min="8720" max="8720" width="10.7109375" style="1989" customWidth="1"/>
    <col min="8721" max="8729" width="0" style="1989" hidden="1" customWidth="1"/>
    <col min="8730" max="8733" width="16.7109375" style="1989"/>
    <col min="8734" max="8734" width="19.5703125" style="1989" customWidth="1"/>
    <col min="8735" max="8955" width="16.7109375" style="1989"/>
    <col min="8956" max="8956" width="6.42578125" style="1989" customWidth="1"/>
    <col min="8957" max="8957" width="51.42578125" style="1989" customWidth="1"/>
    <col min="8958" max="8958" width="9.85546875" style="1989" customWidth="1"/>
    <col min="8959" max="8959" width="1.28515625" style="1989" customWidth="1"/>
    <col min="8960" max="8960" width="11" style="1989" customWidth="1"/>
    <col min="8961" max="8961" width="3" style="1989" customWidth="1"/>
    <col min="8962" max="8962" width="11.7109375" style="1989" customWidth="1"/>
    <col min="8963" max="8963" width="2.42578125" style="1989" customWidth="1"/>
    <col min="8964" max="8964" width="11.42578125" style="1989" customWidth="1"/>
    <col min="8965" max="8965" width="3.85546875" style="1989" customWidth="1"/>
    <col min="8966" max="8966" width="11.5703125" style="1989" customWidth="1"/>
    <col min="8967" max="8967" width="1.85546875" style="1989" customWidth="1"/>
    <col min="8968" max="8968" width="13.28515625" style="1989" customWidth="1"/>
    <col min="8969" max="8969" width="3.85546875" style="1989" customWidth="1"/>
    <col min="8970" max="8970" width="14.42578125" style="1989" customWidth="1"/>
    <col min="8971" max="8971" width="4" style="1989" customWidth="1"/>
    <col min="8972" max="8972" width="10.85546875" style="1989" customWidth="1"/>
    <col min="8973" max="8973" width="4.140625" style="1989" customWidth="1"/>
    <col min="8974" max="8974" width="11.85546875" style="1989" customWidth="1"/>
    <col min="8975" max="8975" width="1.85546875" style="1989" customWidth="1"/>
    <col min="8976" max="8976" width="10.7109375" style="1989" customWidth="1"/>
    <col min="8977" max="8985" width="0" style="1989" hidden="1" customWidth="1"/>
    <col min="8986" max="8989" width="16.7109375" style="1989"/>
    <col min="8990" max="8990" width="19.5703125" style="1989" customWidth="1"/>
    <col min="8991" max="9211" width="16.7109375" style="1989"/>
    <col min="9212" max="9212" width="6.42578125" style="1989" customWidth="1"/>
    <col min="9213" max="9213" width="51.42578125" style="1989" customWidth="1"/>
    <col min="9214" max="9214" width="9.85546875" style="1989" customWidth="1"/>
    <col min="9215" max="9215" width="1.28515625" style="1989" customWidth="1"/>
    <col min="9216" max="9216" width="11" style="1989" customWidth="1"/>
    <col min="9217" max="9217" width="3" style="1989" customWidth="1"/>
    <col min="9218" max="9218" width="11.7109375" style="1989" customWidth="1"/>
    <col min="9219" max="9219" width="2.42578125" style="1989" customWidth="1"/>
    <col min="9220" max="9220" width="11.42578125" style="1989" customWidth="1"/>
    <col min="9221" max="9221" width="3.85546875" style="1989" customWidth="1"/>
    <col min="9222" max="9222" width="11.5703125" style="1989" customWidth="1"/>
    <col min="9223" max="9223" width="1.85546875" style="1989" customWidth="1"/>
    <col min="9224" max="9224" width="13.28515625" style="1989" customWidth="1"/>
    <col min="9225" max="9225" width="3.85546875" style="1989" customWidth="1"/>
    <col min="9226" max="9226" width="14.42578125" style="1989" customWidth="1"/>
    <col min="9227" max="9227" width="4" style="1989" customWidth="1"/>
    <col min="9228" max="9228" width="10.85546875" style="1989" customWidth="1"/>
    <col min="9229" max="9229" width="4.140625" style="1989" customWidth="1"/>
    <col min="9230" max="9230" width="11.85546875" style="1989" customWidth="1"/>
    <col min="9231" max="9231" width="1.85546875" style="1989" customWidth="1"/>
    <col min="9232" max="9232" width="10.7109375" style="1989" customWidth="1"/>
    <col min="9233" max="9241" width="0" style="1989" hidden="1" customWidth="1"/>
    <col min="9242" max="9245" width="16.7109375" style="1989"/>
    <col min="9246" max="9246" width="19.5703125" style="1989" customWidth="1"/>
    <col min="9247" max="9467" width="16.7109375" style="1989"/>
    <col min="9468" max="9468" width="6.42578125" style="1989" customWidth="1"/>
    <col min="9469" max="9469" width="51.42578125" style="1989" customWidth="1"/>
    <col min="9470" max="9470" width="9.85546875" style="1989" customWidth="1"/>
    <col min="9471" max="9471" width="1.28515625" style="1989" customWidth="1"/>
    <col min="9472" max="9472" width="11" style="1989" customWidth="1"/>
    <col min="9473" max="9473" width="3" style="1989" customWidth="1"/>
    <col min="9474" max="9474" width="11.7109375" style="1989" customWidth="1"/>
    <col min="9475" max="9475" width="2.42578125" style="1989" customWidth="1"/>
    <col min="9476" max="9476" width="11.42578125" style="1989" customWidth="1"/>
    <col min="9477" max="9477" width="3.85546875" style="1989" customWidth="1"/>
    <col min="9478" max="9478" width="11.5703125" style="1989" customWidth="1"/>
    <col min="9479" max="9479" width="1.85546875" style="1989" customWidth="1"/>
    <col min="9480" max="9480" width="13.28515625" style="1989" customWidth="1"/>
    <col min="9481" max="9481" width="3.85546875" style="1989" customWidth="1"/>
    <col min="9482" max="9482" width="14.42578125" style="1989" customWidth="1"/>
    <col min="9483" max="9483" width="4" style="1989" customWidth="1"/>
    <col min="9484" max="9484" width="10.85546875" style="1989" customWidth="1"/>
    <col min="9485" max="9485" width="4.140625" style="1989" customWidth="1"/>
    <col min="9486" max="9486" width="11.85546875" style="1989" customWidth="1"/>
    <col min="9487" max="9487" width="1.85546875" style="1989" customWidth="1"/>
    <col min="9488" max="9488" width="10.7109375" style="1989" customWidth="1"/>
    <col min="9489" max="9497" width="0" style="1989" hidden="1" customWidth="1"/>
    <col min="9498" max="9501" width="16.7109375" style="1989"/>
    <col min="9502" max="9502" width="19.5703125" style="1989" customWidth="1"/>
    <col min="9503" max="9723" width="16.7109375" style="1989"/>
    <col min="9724" max="9724" width="6.42578125" style="1989" customWidth="1"/>
    <col min="9725" max="9725" width="51.42578125" style="1989" customWidth="1"/>
    <col min="9726" max="9726" width="9.85546875" style="1989" customWidth="1"/>
    <col min="9727" max="9727" width="1.28515625" style="1989" customWidth="1"/>
    <col min="9728" max="9728" width="11" style="1989" customWidth="1"/>
    <col min="9729" max="9729" width="3" style="1989" customWidth="1"/>
    <col min="9730" max="9730" width="11.7109375" style="1989" customWidth="1"/>
    <col min="9731" max="9731" width="2.42578125" style="1989" customWidth="1"/>
    <col min="9732" max="9732" width="11.42578125" style="1989" customWidth="1"/>
    <col min="9733" max="9733" width="3.85546875" style="1989" customWidth="1"/>
    <col min="9734" max="9734" width="11.5703125" style="1989" customWidth="1"/>
    <col min="9735" max="9735" width="1.85546875" style="1989" customWidth="1"/>
    <col min="9736" max="9736" width="13.28515625" style="1989" customWidth="1"/>
    <col min="9737" max="9737" width="3.85546875" style="1989" customWidth="1"/>
    <col min="9738" max="9738" width="14.42578125" style="1989" customWidth="1"/>
    <col min="9739" max="9739" width="4" style="1989" customWidth="1"/>
    <col min="9740" max="9740" width="10.85546875" style="1989" customWidth="1"/>
    <col min="9741" max="9741" width="4.140625" style="1989" customWidth="1"/>
    <col min="9742" max="9742" width="11.85546875" style="1989" customWidth="1"/>
    <col min="9743" max="9743" width="1.85546875" style="1989" customWidth="1"/>
    <col min="9744" max="9744" width="10.7109375" style="1989" customWidth="1"/>
    <col min="9745" max="9753" width="0" style="1989" hidden="1" customWidth="1"/>
    <col min="9754" max="9757" width="16.7109375" style="1989"/>
    <col min="9758" max="9758" width="19.5703125" style="1989" customWidth="1"/>
    <col min="9759" max="9979" width="16.7109375" style="1989"/>
    <col min="9980" max="9980" width="6.42578125" style="1989" customWidth="1"/>
    <col min="9981" max="9981" width="51.42578125" style="1989" customWidth="1"/>
    <col min="9982" max="9982" width="9.85546875" style="1989" customWidth="1"/>
    <col min="9983" max="9983" width="1.28515625" style="1989" customWidth="1"/>
    <col min="9984" max="9984" width="11" style="1989" customWidth="1"/>
    <col min="9985" max="9985" width="3" style="1989" customWidth="1"/>
    <col min="9986" max="9986" width="11.7109375" style="1989" customWidth="1"/>
    <col min="9987" max="9987" width="2.42578125" style="1989" customWidth="1"/>
    <col min="9988" max="9988" width="11.42578125" style="1989" customWidth="1"/>
    <col min="9989" max="9989" width="3.85546875" style="1989" customWidth="1"/>
    <col min="9990" max="9990" width="11.5703125" style="1989" customWidth="1"/>
    <col min="9991" max="9991" width="1.85546875" style="1989" customWidth="1"/>
    <col min="9992" max="9992" width="13.28515625" style="1989" customWidth="1"/>
    <col min="9993" max="9993" width="3.85546875" style="1989" customWidth="1"/>
    <col min="9994" max="9994" width="14.42578125" style="1989" customWidth="1"/>
    <col min="9995" max="9995" width="4" style="1989" customWidth="1"/>
    <col min="9996" max="9996" width="10.85546875" style="1989" customWidth="1"/>
    <col min="9997" max="9997" width="4.140625" style="1989" customWidth="1"/>
    <col min="9998" max="9998" width="11.85546875" style="1989" customWidth="1"/>
    <col min="9999" max="9999" width="1.85546875" style="1989" customWidth="1"/>
    <col min="10000" max="10000" width="10.7109375" style="1989" customWidth="1"/>
    <col min="10001" max="10009" width="0" style="1989" hidden="1" customWidth="1"/>
    <col min="10010" max="10013" width="16.7109375" style="1989"/>
    <col min="10014" max="10014" width="19.5703125" style="1989" customWidth="1"/>
    <col min="10015" max="10235" width="16.7109375" style="1989"/>
    <col min="10236" max="10236" width="6.42578125" style="1989" customWidth="1"/>
    <col min="10237" max="10237" width="51.42578125" style="1989" customWidth="1"/>
    <col min="10238" max="10238" width="9.85546875" style="1989" customWidth="1"/>
    <col min="10239" max="10239" width="1.28515625" style="1989" customWidth="1"/>
    <col min="10240" max="10240" width="11" style="1989" customWidth="1"/>
    <col min="10241" max="10241" width="3" style="1989" customWidth="1"/>
    <col min="10242" max="10242" width="11.7109375" style="1989" customWidth="1"/>
    <col min="10243" max="10243" width="2.42578125" style="1989" customWidth="1"/>
    <col min="10244" max="10244" width="11.42578125" style="1989" customWidth="1"/>
    <col min="10245" max="10245" width="3.85546875" style="1989" customWidth="1"/>
    <col min="10246" max="10246" width="11.5703125" style="1989" customWidth="1"/>
    <col min="10247" max="10247" width="1.85546875" style="1989" customWidth="1"/>
    <col min="10248" max="10248" width="13.28515625" style="1989" customWidth="1"/>
    <col min="10249" max="10249" width="3.85546875" style="1989" customWidth="1"/>
    <col min="10250" max="10250" width="14.42578125" style="1989" customWidth="1"/>
    <col min="10251" max="10251" width="4" style="1989" customWidth="1"/>
    <col min="10252" max="10252" width="10.85546875" style="1989" customWidth="1"/>
    <col min="10253" max="10253" width="4.140625" style="1989" customWidth="1"/>
    <col min="10254" max="10254" width="11.85546875" style="1989" customWidth="1"/>
    <col min="10255" max="10255" width="1.85546875" style="1989" customWidth="1"/>
    <col min="10256" max="10256" width="10.7109375" style="1989" customWidth="1"/>
    <col min="10257" max="10265" width="0" style="1989" hidden="1" customWidth="1"/>
    <col min="10266" max="10269" width="16.7109375" style="1989"/>
    <col min="10270" max="10270" width="19.5703125" style="1989" customWidth="1"/>
    <col min="10271" max="10491" width="16.7109375" style="1989"/>
    <col min="10492" max="10492" width="6.42578125" style="1989" customWidth="1"/>
    <col min="10493" max="10493" width="51.42578125" style="1989" customWidth="1"/>
    <col min="10494" max="10494" width="9.85546875" style="1989" customWidth="1"/>
    <col min="10495" max="10495" width="1.28515625" style="1989" customWidth="1"/>
    <col min="10496" max="10496" width="11" style="1989" customWidth="1"/>
    <col min="10497" max="10497" width="3" style="1989" customWidth="1"/>
    <col min="10498" max="10498" width="11.7109375" style="1989" customWidth="1"/>
    <col min="10499" max="10499" width="2.42578125" style="1989" customWidth="1"/>
    <col min="10500" max="10500" width="11.42578125" style="1989" customWidth="1"/>
    <col min="10501" max="10501" width="3.85546875" style="1989" customWidth="1"/>
    <col min="10502" max="10502" width="11.5703125" style="1989" customWidth="1"/>
    <col min="10503" max="10503" width="1.85546875" style="1989" customWidth="1"/>
    <col min="10504" max="10504" width="13.28515625" style="1989" customWidth="1"/>
    <col min="10505" max="10505" width="3.85546875" style="1989" customWidth="1"/>
    <col min="10506" max="10506" width="14.42578125" style="1989" customWidth="1"/>
    <col min="10507" max="10507" width="4" style="1989" customWidth="1"/>
    <col min="10508" max="10508" width="10.85546875" style="1989" customWidth="1"/>
    <col min="10509" max="10509" width="4.140625" style="1989" customWidth="1"/>
    <col min="10510" max="10510" width="11.85546875" style="1989" customWidth="1"/>
    <col min="10511" max="10511" width="1.85546875" style="1989" customWidth="1"/>
    <col min="10512" max="10512" width="10.7109375" style="1989" customWidth="1"/>
    <col min="10513" max="10521" width="0" style="1989" hidden="1" customWidth="1"/>
    <col min="10522" max="10525" width="16.7109375" style="1989"/>
    <col min="10526" max="10526" width="19.5703125" style="1989" customWidth="1"/>
    <col min="10527" max="10747" width="16.7109375" style="1989"/>
    <col min="10748" max="10748" width="6.42578125" style="1989" customWidth="1"/>
    <col min="10749" max="10749" width="51.42578125" style="1989" customWidth="1"/>
    <col min="10750" max="10750" width="9.85546875" style="1989" customWidth="1"/>
    <col min="10751" max="10751" width="1.28515625" style="1989" customWidth="1"/>
    <col min="10752" max="10752" width="11" style="1989" customWidth="1"/>
    <col min="10753" max="10753" width="3" style="1989" customWidth="1"/>
    <col min="10754" max="10754" width="11.7109375" style="1989" customWidth="1"/>
    <col min="10755" max="10755" width="2.42578125" style="1989" customWidth="1"/>
    <col min="10756" max="10756" width="11.42578125" style="1989" customWidth="1"/>
    <col min="10757" max="10757" width="3.85546875" style="1989" customWidth="1"/>
    <col min="10758" max="10758" width="11.5703125" style="1989" customWidth="1"/>
    <col min="10759" max="10759" width="1.85546875" style="1989" customWidth="1"/>
    <col min="10760" max="10760" width="13.28515625" style="1989" customWidth="1"/>
    <col min="10761" max="10761" width="3.85546875" style="1989" customWidth="1"/>
    <col min="10762" max="10762" width="14.42578125" style="1989" customWidth="1"/>
    <col min="10763" max="10763" width="4" style="1989" customWidth="1"/>
    <col min="10764" max="10764" width="10.85546875" style="1989" customWidth="1"/>
    <col min="10765" max="10765" width="4.140625" style="1989" customWidth="1"/>
    <col min="10766" max="10766" width="11.85546875" style="1989" customWidth="1"/>
    <col min="10767" max="10767" width="1.85546875" style="1989" customWidth="1"/>
    <col min="10768" max="10768" width="10.7109375" style="1989" customWidth="1"/>
    <col min="10769" max="10777" width="0" style="1989" hidden="1" customWidth="1"/>
    <col min="10778" max="10781" width="16.7109375" style="1989"/>
    <col min="10782" max="10782" width="19.5703125" style="1989" customWidth="1"/>
    <col min="10783" max="11003" width="16.7109375" style="1989"/>
    <col min="11004" max="11004" width="6.42578125" style="1989" customWidth="1"/>
    <col min="11005" max="11005" width="51.42578125" style="1989" customWidth="1"/>
    <col min="11006" max="11006" width="9.85546875" style="1989" customWidth="1"/>
    <col min="11007" max="11007" width="1.28515625" style="1989" customWidth="1"/>
    <col min="11008" max="11008" width="11" style="1989" customWidth="1"/>
    <col min="11009" max="11009" width="3" style="1989" customWidth="1"/>
    <col min="11010" max="11010" width="11.7109375" style="1989" customWidth="1"/>
    <col min="11011" max="11011" width="2.42578125" style="1989" customWidth="1"/>
    <col min="11012" max="11012" width="11.42578125" style="1989" customWidth="1"/>
    <col min="11013" max="11013" width="3.85546875" style="1989" customWidth="1"/>
    <col min="11014" max="11014" width="11.5703125" style="1989" customWidth="1"/>
    <col min="11015" max="11015" width="1.85546875" style="1989" customWidth="1"/>
    <col min="11016" max="11016" width="13.28515625" style="1989" customWidth="1"/>
    <col min="11017" max="11017" width="3.85546875" style="1989" customWidth="1"/>
    <col min="11018" max="11018" width="14.42578125" style="1989" customWidth="1"/>
    <col min="11019" max="11019" width="4" style="1989" customWidth="1"/>
    <col min="11020" max="11020" width="10.85546875" style="1989" customWidth="1"/>
    <col min="11021" max="11021" width="4.140625" style="1989" customWidth="1"/>
    <col min="11022" max="11022" width="11.85546875" style="1989" customWidth="1"/>
    <col min="11023" max="11023" width="1.85546875" style="1989" customWidth="1"/>
    <col min="11024" max="11024" width="10.7109375" style="1989" customWidth="1"/>
    <col min="11025" max="11033" width="0" style="1989" hidden="1" customWidth="1"/>
    <col min="11034" max="11037" width="16.7109375" style="1989"/>
    <col min="11038" max="11038" width="19.5703125" style="1989" customWidth="1"/>
    <col min="11039" max="11259" width="16.7109375" style="1989"/>
    <col min="11260" max="11260" width="6.42578125" style="1989" customWidth="1"/>
    <col min="11261" max="11261" width="51.42578125" style="1989" customWidth="1"/>
    <col min="11262" max="11262" width="9.85546875" style="1989" customWidth="1"/>
    <col min="11263" max="11263" width="1.28515625" style="1989" customWidth="1"/>
    <col min="11264" max="11264" width="11" style="1989" customWidth="1"/>
    <col min="11265" max="11265" width="3" style="1989" customWidth="1"/>
    <col min="11266" max="11266" width="11.7109375" style="1989" customWidth="1"/>
    <col min="11267" max="11267" width="2.42578125" style="1989" customWidth="1"/>
    <col min="11268" max="11268" width="11.42578125" style="1989" customWidth="1"/>
    <col min="11269" max="11269" width="3.85546875" style="1989" customWidth="1"/>
    <col min="11270" max="11270" width="11.5703125" style="1989" customWidth="1"/>
    <col min="11271" max="11271" width="1.85546875" style="1989" customWidth="1"/>
    <col min="11272" max="11272" width="13.28515625" style="1989" customWidth="1"/>
    <col min="11273" max="11273" width="3.85546875" style="1989" customWidth="1"/>
    <col min="11274" max="11274" width="14.42578125" style="1989" customWidth="1"/>
    <col min="11275" max="11275" width="4" style="1989" customWidth="1"/>
    <col min="11276" max="11276" width="10.85546875" style="1989" customWidth="1"/>
    <col min="11277" max="11277" width="4.140625" style="1989" customWidth="1"/>
    <col min="11278" max="11278" width="11.85546875" style="1989" customWidth="1"/>
    <col min="11279" max="11279" width="1.85546875" style="1989" customWidth="1"/>
    <col min="11280" max="11280" width="10.7109375" style="1989" customWidth="1"/>
    <col min="11281" max="11289" width="0" style="1989" hidden="1" customWidth="1"/>
    <col min="11290" max="11293" width="16.7109375" style="1989"/>
    <col min="11294" max="11294" width="19.5703125" style="1989" customWidth="1"/>
    <col min="11295" max="11515" width="16.7109375" style="1989"/>
    <col min="11516" max="11516" width="6.42578125" style="1989" customWidth="1"/>
    <col min="11517" max="11517" width="51.42578125" style="1989" customWidth="1"/>
    <col min="11518" max="11518" width="9.85546875" style="1989" customWidth="1"/>
    <col min="11519" max="11519" width="1.28515625" style="1989" customWidth="1"/>
    <col min="11520" max="11520" width="11" style="1989" customWidth="1"/>
    <col min="11521" max="11521" width="3" style="1989" customWidth="1"/>
    <col min="11522" max="11522" width="11.7109375" style="1989" customWidth="1"/>
    <col min="11523" max="11523" width="2.42578125" style="1989" customWidth="1"/>
    <col min="11524" max="11524" width="11.42578125" style="1989" customWidth="1"/>
    <col min="11525" max="11525" width="3.85546875" style="1989" customWidth="1"/>
    <col min="11526" max="11526" width="11.5703125" style="1989" customWidth="1"/>
    <col min="11527" max="11527" width="1.85546875" style="1989" customWidth="1"/>
    <col min="11528" max="11528" width="13.28515625" style="1989" customWidth="1"/>
    <col min="11529" max="11529" width="3.85546875" style="1989" customWidth="1"/>
    <col min="11530" max="11530" width="14.42578125" style="1989" customWidth="1"/>
    <col min="11531" max="11531" width="4" style="1989" customWidth="1"/>
    <col min="11532" max="11532" width="10.85546875" style="1989" customWidth="1"/>
    <col min="11533" max="11533" width="4.140625" style="1989" customWidth="1"/>
    <col min="11534" max="11534" width="11.85546875" style="1989" customWidth="1"/>
    <col min="11535" max="11535" width="1.85546875" style="1989" customWidth="1"/>
    <col min="11536" max="11536" width="10.7109375" style="1989" customWidth="1"/>
    <col min="11537" max="11545" width="0" style="1989" hidden="1" customWidth="1"/>
    <col min="11546" max="11549" width="16.7109375" style="1989"/>
    <col min="11550" max="11550" width="19.5703125" style="1989" customWidth="1"/>
    <col min="11551" max="11771" width="16.7109375" style="1989"/>
    <col min="11772" max="11772" width="6.42578125" style="1989" customWidth="1"/>
    <col min="11773" max="11773" width="51.42578125" style="1989" customWidth="1"/>
    <col min="11774" max="11774" width="9.85546875" style="1989" customWidth="1"/>
    <col min="11775" max="11775" width="1.28515625" style="1989" customWidth="1"/>
    <col min="11776" max="11776" width="11" style="1989" customWidth="1"/>
    <col min="11777" max="11777" width="3" style="1989" customWidth="1"/>
    <col min="11778" max="11778" width="11.7109375" style="1989" customWidth="1"/>
    <col min="11779" max="11779" width="2.42578125" style="1989" customWidth="1"/>
    <col min="11780" max="11780" width="11.42578125" style="1989" customWidth="1"/>
    <col min="11781" max="11781" width="3.85546875" style="1989" customWidth="1"/>
    <col min="11782" max="11782" width="11.5703125" style="1989" customWidth="1"/>
    <col min="11783" max="11783" width="1.85546875" style="1989" customWidth="1"/>
    <col min="11784" max="11784" width="13.28515625" style="1989" customWidth="1"/>
    <col min="11785" max="11785" width="3.85546875" style="1989" customWidth="1"/>
    <col min="11786" max="11786" width="14.42578125" style="1989" customWidth="1"/>
    <col min="11787" max="11787" width="4" style="1989" customWidth="1"/>
    <col min="11788" max="11788" width="10.85546875" style="1989" customWidth="1"/>
    <col min="11789" max="11789" width="4.140625" style="1989" customWidth="1"/>
    <col min="11790" max="11790" width="11.85546875" style="1989" customWidth="1"/>
    <col min="11791" max="11791" width="1.85546875" style="1989" customWidth="1"/>
    <col min="11792" max="11792" width="10.7109375" style="1989" customWidth="1"/>
    <col min="11793" max="11801" width="0" style="1989" hidden="1" customWidth="1"/>
    <col min="11802" max="11805" width="16.7109375" style="1989"/>
    <col min="11806" max="11806" width="19.5703125" style="1989" customWidth="1"/>
    <col min="11807" max="12027" width="16.7109375" style="1989"/>
    <col min="12028" max="12028" width="6.42578125" style="1989" customWidth="1"/>
    <col min="12029" max="12029" width="51.42578125" style="1989" customWidth="1"/>
    <col min="12030" max="12030" width="9.85546875" style="1989" customWidth="1"/>
    <col min="12031" max="12031" width="1.28515625" style="1989" customWidth="1"/>
    <col min="12032" max="12032" width="11" style="1989" customWidth="1"/>
    <col min="12033" max="12033" width="3" style="1989" customWidth="1"/>
    <col min="12034" max="12034" width="11.7109375" style="1989" customWidth="1"/>
    <col min="12035" max="12035" width="2.42578125" style="1989" customWidth="1"/>
    <col min="12036" max="12036" width="11.42578125" style="1989" customWidth="1"/>
    <col min="12037" max="12037" width="3.85546875" style="1989" customWidth="1"/>
    <col min="12038" max="12038" width="11.5703125" style="1989" customWidth="1"/>
    <col min="12039" max="12039" width="1.85546875" style="1989" customWidth="1"/>
    <col min="12040" max="12040" width="13.28515625" style="1989" customWidth="1"/>
    <col min="12041" max="12041" width="3.85546875" style="1989" customWidth="1"/>
    <col min="12042" max="12042" width="14.42578125" style="1989" customWidth="1"/>
    <col min="12043" max="12043" width="4" style="1989" customWidth="1"/>
    <col min="12044" max="12044" width="10.85546875" style="1989" customWidth="1"/>
    <col min="12045" max="12045" width="4.140625" style="1989" customWidth="1"/>
    <col min="12046" max="12046" width="11.85546875" style="1989" customWidth="1"/>
    <col min="12047" max="12047" width="1.85546875" style="1989" customWidth="1"/>
    <col min="12048" max="12048" width="10.7109375" style="1989" customWidth="1"/>
    <col min="12049" max="12057" width="0" style="1989" hidden="1" customWidth="1"/>
    <col min="12058" max="12061" width="16.7109375" style="1989"/>
    <col min="12062" max="12062" width="19.5703125" style="1989" customWidth="1"/>
    <col min="12063" max="12283" width="16.7109375" style="1989"/>
    <col min="12284" max="12284" width="6.42578125" style="1989" customWidth="1"/>
    <col min="12285" max="12285" width="51.42578125" style="1989" customWidth="1"/>
    <col min="12286" max="12286" width="9.85546875" style="1989" customWidth="1"/>
    <col min="12287" max="12287" width="1.28515625" style="1989" customWidth="1"/>
    <col min="12288" max="12288" width="11" style="1989" customWidth="1"/>
    <col min="12289" max="12289" width="3" style="1989" customWidth="1"/>
    <col min="12290" max="12290" width="11.7109375" style="1989" customWidth="1"/>
    <col min="12291" max="12291" width="2.42578125" style="1989" customWidth="1"/>
    <col min="12292" max="12292" width="11.42578125" style="1989" customWidth="1"/>
    <col min="12293" max="12293" width="3.85546875" style="1989" customWidth="1"/>
    <col min="12294" max="12294" width="11.5703125" style="1989" customWidth="1"/>
    <col min="12295" max="12295" width="1.85546875" style="1989" customWidth="1"/>
    <col min="12296" max="12296" width="13.28515625" style="1989" customWidth="1"/>
    <col min="12297" max="12297" width="3.85546875" style="1989" customWidth="1"/>
    <col min="12298" max="12298" width="14.42578125" style="1989" customWidth="1"/>
    <col min="12299" max="12299" width="4" style="1989" customWidth="1"/>
    <col min="12300" max="12300" width="10.85546875" style="1989" customWidth="1"/>
    <col min="12301" max="12301" width="4.140625" style="1989" customWidth="1"/>
    <col min="12302" max="12302" width="11.85546875" style="1989" customWidth="1"/>
    <col min="12303" max="12303" width="1.85546875" style="1989" customWidth="1"/>
    <col min="12304" max="12304" width="10.7109375" style="1989" customWidth="1"/>
    <col min="12305" max="12313" width="0" style="1989" hidden="1" customWidth="1"/>
    <col min="12314" max="12317" width="16.7109375" style="1989"/>
    <col min="12318" max="12318" width="19.5703125" style="1989" customWidth="1"/>
    <col min="12319" max="12539" width="16.7109375" style="1989"/>
    <col min="12540" max="12540" width="6.42578125" style="1989" customWidth="1"/>
    <col min="12541" max="12541" width="51.42578125" style="1989" customWidth="1"/>
    <col min="12542" max="12542" width="9.85546875" style="1989" customWidth="1"/>
    <col min="12543" max="12543" width="1.28515625" style="1989" customWidth="1"/>
    <col min="12544" max="12544" width="11" style="1989" customWidth="1"/>
    <col min="12545" max="12545" width="3" style="1989" customWidth="1"/>
    <col min="12546" max="12546" width="11.7109375" style="1989" customWidth="1"/>
    <col min="12547" max="12547" width="2.42578125" style="1989" customWidth="1"/>
    <col min="12548" max="12548" width="11.42578125" style="1989" customWidth="1"/>
    <col min="12549" max="12549" width="3.85546875" style="1989" customWidth="1"/>
    <col min="12550" max="12550" width="11.5703125" style="1989" customWidth="1"/>
    <col min="12551" max="12551" width="1.85546875" style="1989" customWidth="1"/>
    <col min="12552" max="12552" width="13.28515625" style="1989" customWidth="1"/>
    <col min="12553" max="12553" width="3.85546875" style="1989" customWidth="1"/>
    <col min="12554" max="12554" width="14.42578125" style="1989" customWidth="1"/>
    <col min="12555" max="12555" width="4" style="1989" customWidth="1"/>
    <col min="12556" max="12556" width="10.85546875" style="1989" customWidth="1"/>
    <col min="12557" max="12557" width="4.140625" style="1989" customWidth="1"/>
    <col min="12558" max="12558" width="11.85546875" style="1989" customWidth="1"/>
    <col min="12559" max="12559" width="1.85546875" style="1989" customWidth="1"/>
    <col min="12560" max="12560" width="10.7109375" style="1989" customWidth="1"/>
    <col min="12561" max="12569" width="0" style="1989" hidden="1" customWidth="1"/>
    <col min="12570" max="12573" width="16.7109375" style="1989"/>
    <col min="12574" max="12574" width="19.5703125" style="1989" customWidth="1"/>
    <col min="12575" max="12795" width="16.7109375" style="1989"/>
    <col min="12796" max="12796" width="6.42578125" style="1989" customWidth="1"/>
    <col min="12797" max="12797" width="51.42578125" style="1989" customWidth="1"/>
    <col min="12798" max="12798" width="9.85546875" style="1989" customWidth="1"/>
    <col min="12799" max="12799" width="1.28515625" style="1989" customWidth="1"/>
    <col min="12800" max="12800" width="11" style="1989" customWidth="1"/>
    <col min="12801" max="12801" width="3" style="1989" customWidth="1"/>
    <col min="12802" max="12802" width="11.7109375" style="1989" customWidth="1"/>
    <col min="12803" max="12803" width="2.42578125" style="1989" customWidth="1"/>
    <col min="12804" max="12804" width="11.42578125" style="1989" customWidth="1"/>
    <col min="12805" max="12805" width="3.85546875" style="1989" customWidth="1"/>
    <col min="12806" max="12806" width="11.5703125" style="1989" customWidth="1"/>
    <col min="12807" max="12807" width="1.85546875" style="1989" customWidth="1"/>
    <col min="12808" max="12808" width="13.28515625" style="1989" customWidth="1"/>
    <col min="12809" max="12809" width="3.85546875" style="1989" customWidth="1"/>
    <col min="12810" max="12810" width="14.42578125" style="1989" customWidth="1"/>
    <col min="12811" max="12811" width="4" style="1989" customWidth="1"/>
    <col min="12812" max="12812" width="10.85546875" style="1989" customWidth="1"/>
    <col min="12813" max="12813" width="4.140625" style="1989" customWidth="1"/>
    <col min="12814" max="12814" width="11.85546875" style="1989" customWidth="1"/>
    <col min="12815" max="12815" width="1.85546875" style="1989" customWidth="1"/>
    <col min="12816" max="12816" width="10.7109375" style="1989" customWidth="1"/>
    <col min="12817" max="12825" width="0" style="1989" hidden="1" customWidth="1"/>
    <col min="12826" max="12829" width="16.7109375" style="1989"/>
    <col min="12830" max="12830" width="19.5703125" style="1989" customWidth="1"/>
    <col min="12831" max="13051" width="16.7109375" style="1989"/>
    <col min="13052" max="13052" width="6.42578125" style="1989" customWidth="1"/>
    <col min="13053" max="13053" width="51.42578125" style="1989" customWidth="1"/>
    <col min="13054" max="13054" width="9.85546875" style="1989" customWidth="1"/>
    <col min="13055" max="13055" width="1.28515625" style="1989" customWidth="1"/>
    <col min="13056" max="13056" width="11" style="1989" customWidth="1"/>
    <col min="13057" max="13057" width="3" style="1989" customWidth="1"/>
    <col min="13058" max="13058" width="11.7109375" style="1989" customWidth="1"/>
    <col min="13059" max="13059" width="2.42578125" style="1989" customWidth="1"/>
    <col min="13060" max="13060" width="11.42578125" style="1989" customWidth="1"/>
    <col min="13061" max="13061" width="3.85546875" style="1989" customWidth="1"/>
    <col min="13062" max="13062" width="11.5703125" style="1989" customWidth="1"/>
    <col min="13063" max="13063" width="1.85546875" style="1989" customWidth="1"/>
    <col min="13064" max="13064" width="13.28515625" style="1989" customWidth="1"/>
    <col min="13065" max="13065" width="3.85546875" style="1989" customWidth="1"/>
    <col min="13066" max="13066" width="14.42578125" style="1989" customWidth="1"/>
    <col min="13067" max="13067" width="4" style="1989" customWidth="1"/>
    <col min="13068" max="13068" width="10.85546875" style="1989" customWidth="1"/>
    <col min="13069" max="13069" width="4.140625" style="1989" customWidth="1"/>
    <col min="13070" max="13070" width="11.85546875" style="1989" customWidth="1"/>
    <col min="13071" max="13071" width="1.85546875" style="1989" customWidth="1"/>
    <col min="13072" max="13072" width="10.7109375" style="1989" customWidth="1"/>
    <col min="13073" max="13081" width="0" style="1989" hidden="1" customWidth="1"/>
    <col min="13082" max="13085" width="16.7109375" style="1989"/>
    <col min="13086" max="13086" width="19.5703125" style="1989" customWidth="1"/>
    <col min="13087" max="13307" width="16.7109375" style="1989"/>
    <col min="13308" max="13308" width="6.42578125" style="1989" customWidth="1"/>
    <col min="13309" max="13309" width="51.42578125" style="1989" customWidth="1"/>
    <col min="13310" max="13310" width="9.85546875" style="1989" customWidth="1"/>
    <col min="13311" max="13311" width="1.28515625" style="1989" customWidth="1"/>
    <col min="13312" max="13312" width="11" style="1989" customWidth="1"/>
    <col min="13313" max="13313" width="3" style="1989" customWidth="1"/>
    <col min="13314" max="13314" width="11.7109375" style="1989" customWidth="1"/>
    <col min="13315" max="13315" width="2.42578125" style="1989" customWidth="1"/>
    <col min="13316" max="13316" width="11.42578125" style="1989" customWidth="1"/>
    <col min="13317" max="13317" width="3.85546875" style="1989" customWidth="1"/>
    <col min="13318" max="13318" width="11.5703125" style="1989" customWidth="1"/>
    <col min="13319" max="13319" width="1.85546875" style="1989" customWidth="1"/>
    <col min="13320" max="13320" width="13.28515625" style="1989" customWidth="1"/>
    <col min="13321" max="13321" width="3.85546875" style="1989" customWidth="1"/>
    <col min="13322" max="13322" width="14.42578125" style="1989" customWidth="1"/>
    <col min="13323" max="13323" width="4" style="1989" customWidth="1"/>
    <col min="13324" max="13324" width="10.85546875" style="1989" customWidth="1"/>
    <col min="13325" max="13325" width="4.140625" style="1989" customWidth="1"/>
    <col min="13326" max="13326" width="11.85546875" style="1989" customWidth="1"/>
    <col min="13327" max="13327" width="1.85546875" style="1989" customWidth="1"/>
    <col min="13328" max="13328" width="10.7109375" style="1989" customWidth="1"/>
    <col min="13329" max="13337" width="0" style="1989" hidden="1" customWidth="1"/>
    <col min="13338" max="13341" width="16.7109375" style="1989"/>
    <col min="13342" max="13342" width="19.5703125" style="1989" customWidth="1"/>
    <col min="13343" max="13563" width="16.7109375" style="1989"/>
    <col min="13564" max="13564" width="6.42578125" style="1989" customWidth="1"/>
    <col min="13565" max="13565" width="51.42578125" style="1989" customWidth="1"/>
    <col min="13566" max="13566" width="9.85546875" style="1989" customWidth="1"/>
    <col min="13567" max="13567" width="1.28515625" style="1989" customWidth="1"/>
    <col min="13568" max="13568" width="11" style="1989" customWidth="1"/>
    <col min="13569" max="13569" width="3" style="1989" customWidth="1"/>
    <col min="13570" max="13570" width="11.7109375" style="1989" customWidth="1"/>
    <col min="13571" max="13571" width="2.42578125" style="1989" customWidth="1"/>
    <col min="13572" max="13572" width="11.42578125" style="1989" customWidth="1"/>
    <col min="13573" max="13573" width="3.85546875" style="1989" customWidth="1"/>
    <col min="13574" max="13574" width="11.5703125" style="1989" customWidth="1"/>
    <col min="13575" max="13575" width="1.85546875" style="1989" customWidth="1"/>
    <col min="13576" max="13576" width="13.28515625" style="1989" customWidth="1"/>
    <col min="13577" max="13577" width="3.85546875" style="1989" customWidth="1"/>
    <col min="13578" max="13578" width="14.42578125" style="1989" customWidth="1"/>
    <col min="13579" max="13579" width="4" style="1989" customWidth="1"/>
    <col min="13580" max="13580" width="10.85546875" style="1989" customWidth="1"/>
    <col min="13581" max="13581" width="4.140625" style="1989" customWidth="1"/>
    <col min="13582" max="13582" width="11.85546875" style="1989" customWidth="1"/>
    <col min="13583" max="13583" width="1.85546875" style="1989" customWidth="1"/>
    <col min="13584" max="13584" width="10.7109375" style="1989" customWidth="1"/>
    <col min="13585" max="13593" width="0" style="1989" hidden="1" customWidth="1"/>
    <col min="13594" max="13597" width="16.7109375" style="1989"/>
    <col min="13598" max="13598" width="19.5703125" style="1989" customWidth="1"/>
    <col min="13599" max="13819" width="16.7109375" style="1989"/>
    <col min="13820" max="13820" width="6.42578125" style="1989" customWidth="1"/>
    <col min="13821" max="13821" width="51.42578125" style="1989" customWidth="1"/>
    <col min="13822" max="13822" width="9.85546875" style="1989" customWidth="1"/>
    <col min="13823" max="13823" width="1.28515625" style="1989" customWidth="1"/>
    <col min="13824" max="13824" width="11" style="1989" customWidth="1"/>
    <col min="13825" max="13825" width="3" style="1989" customWidth="1"/>
    <col min="13826" max="13826" width="11.7109375" style="1989" customWidth="1"/>
    <col min="13827" max="13827" width="2.42578125" style="1989" customWidth="1"/>
    <col min="13828" max="13828" width="11.42578125" style="1989" customWidth="1"/>
    <col min="13829" max="13829" width="3.85546875" style="1989" customWidth="1"/>
    <col min="13830" max="13830" width="11.5703125" style="1989" customWidth="1"/>
    <col min="13831" max="13831" width="1.85546875" style="1989" customWidth="1"/>
    <col min="13832" max="13832" width="13.28515625" style="1989" customWidth="1"/>
    <col min="13833" max="13833" width="3.85546875" style="1989" customWidth="1"/>
    <col min="13834" max="13834" width="14.42578125" style="1989" customWidth="1"/>
    <col min="13835" max="13835" width="4" style="1989" customWidth="1"/>
    <col min="13836" max="13836" width="10.85546875" style="1989" customWidth="1"/>
    <col min="13837" max="13837" width="4.140625" style="1989" customWidth="1"/>
    <col min="13838" max="13838" width="11.85546875" style="1989" customWidth="1"/>
    <col min="13839" max="13839" width="1.85546875" style="1989" customWidth="1"/>
    <col min="13840" max="13840" width="10.7109375" style="1989" customWidth="1"/>
    <col min="13841" max="13849" width="0" style="1989" hidden="1" customWidth="1"/>
    <col min="13850" max="13853" width="16.7109375" style="1989"/>
    <col min="13854" max="13854" width="19.5703125" style="1989" customWidth="1"/>
    <col min="13855" max="14075" width="16.7109375" style="1989"/>
    <col min="14076" max="14076" width="6.42578125" style="1989" customWidth="1"/>
    <col min="14077" max="14077" width="51.42578125" style="1989" customWidth="1"/>
    <col min="14078" max="14078" width="9.85546875" style="1989" customWidth="1"/>
    <col min="14079" max="14079" width="1.28515625" style="1989" customWidth="1"/>
    <col min="14080" max="14080" width="11" style="1989" customWidth="1"/>
    <col min="14081" max="14081" width="3" style="1989" customWidth="1"/>
    <col min="14082" max="14082" width="11.7109375" style="1989" customWidth="1"/>
    <col min="14083" max="14083" width="2.42578125" style="1989" customWidth="1"/>
    <col min="14084" max="14084" width="11.42578125" style="1989" customWidth="1"/>
    <col min="14085" max="14085" width="3.85546875" style="1989" customWidth="1"/>
    <col min="14086" max="14086" width="11.5703125" style="1989" customWidth="1"/>
    <col min="14087" max="14087" width="1.85546875" style="1989" customWidth="1"/>
    <col min="14088" max="14088" width="13.28515625" style="1989" customWidth="1"/>
    <col min="14089" max="14089" width="3.85546875" style="1989" customWidth="1"/>
    <col min="14090" max="14090" width="14.42578125" style="1989" customWidth="1"/>
    <col min="14091" max="14091" width="4" style="1989" customWidth="1"/>
    <col min="14092" max="14092" width="10.85546875" style="1989" customWidth="1"/>
    <col min="14093" max="14093" width="4.140625" style="1989" customWidth="1"/>
    <col min="14094" max="14094" width="11.85546875" style="1989" customWidth="1"/>
    <col min="14095" max="14095" width="1.85546875" style="1989" customWidth="1"/>
    <col min="14096" max="14096" width="10.7109375" style="1989" customWidth="1"/>
    <col min="14097" max="14105" width="0" style="1989" hidden="1" customWidth="1"/>
    <col min="14106" max="14109" width="16.7109375" style="1989"/>
    <col min="14110" max="14110" width="19.5703125" style="1989" customWidth="1"/>
    <col min="14111" max="14331" width="16.7109375" style="1989"/>
    <col min="14332" max="14332" width="6.42578125" style="1989" customWidth="1"/>
    <col min="14333" max="14333" width="51.42578125" style="1989" customWidth="1"/>
    <col min="14334" max="14334" width="9.85546875" style="1989" customWidth="1"/>
    <col min="14335" max="14335" width="1.28515625" style="1989" customWidth="1"/>
    <col min="14336" max="14336" width="11" style="1989" customWidth="1"/>
    <col min="14337" max="14337" width="3" style="1989" customWidth="1"/>
    <col min="14338" max="14338" width="11.7109375" style="1989" customWidth="1"/>
    <col min="14339" max="14339" width="2.42578125" style="1989" customWidth="1"/>
    <col min="14340" max="14340" width="11.42578125" style="1989" customWidth="1"/>
    <col min="14341" max="14341" width="3.85546875" style="1989" customWidth="1"/>
    <col min="14342" max="14342" width="11.5703125" style="1989" customWidth="1"/>
    <col min="14343" max="14343" width="1.85546875" style="1989" customWidth="1"/>
    <col min="14344" max="14344" width="13.28515625" style="1989" customWidth="1"/>
    <col min="14345" max="14345" width="3.85546875" style="1989" customWidth="1"/>
    <col min="14346" max="14346" width="14.42578125" style="1989" customWidth="1"/>
    <col min="14347" max="14347" width="4" style="1989" customWidth="1"/>
    <col min="14348" max="14348" width="10.85546875" style="1989" customWidth="1"/>
    <col min="14349" max="14349" width="4.140625" style="1989" customWidth="1"/>
    <col min="14350" max="14350" width="11.85546875" style="1989" customWidth="1"/>
    <col min="14351" max="14351" width="1.85546875" style="1989" customWidth="1"/>
    <col min="14352" max="14352" width="10.7109375" style="1989" customWidth="1"/>
    <col min="14353" max="14361" width="0" style="1989" hidden="1" customWidth="1"/>
    <col min="14362" max="14365" width="16.7109375" style="1989"/>
    <col min="14366" max="14366" width="19.5703125" style="1989" customWidth="1"/>
    <col min="14367" max="14587" width="16.7109375" style="1989"/>
    <col min="14588" max="14588" width="6.42578125" style="1989" customWidth="1"/>
    <col min="14589" max="14589" width="51.42578125" style="1989" customWidth="1"/>
    <col min="14590" max="14590" width="9.85546875" style="1989" customWidth="1"/>
    <col min="14591" max="14591" width="1.28515625" style="1989" customWidth="1"/>
    <col min="14592" max="14592" width="11" style="1989" customWidth="1"/>
    <col min="14593" max="14593" width="3" style="1989" customWidth="1"/>
    <col min="14594" max="14594" width="11.7109375" style="1989" customWidth="1"/>
    <col min="14595" max="14595" width="2.42578125" style="1989" customWidth="1"/>
    <col min="14596" max="14596" width="11.42578125" style="1989" customWidth="1"/>
    <col min="14597" max="14597" width="3.85546875" style="1989" customWidth="1"/>
    <col min="14598" max="14598" width="11.5703125" style="1989" customWidth="1"/>
    <col min="14599" max="14599" width="1.85546875" style="1989" customWidth="1"/>
    <col min="14600" max="14600" width="13.28515625" style="1989" customWidth="1"/>
    <col min="14601" max="14601" width="3.85546875" style="1989" customWidth="1"/>
    <col min="14602" max="14602" width="14.42578125" style="1989" customWidth="1"/>
    <col min="14603" max="14603" width="4" style="1989" customWidth="1"/>
    <col min="14604" max="14604" width="10.85546875" style="1989" customWidth="1"/>
    <col min="14605" max="14605" width="4.140625" style="1989" customWidth="1"/>
    <col min="14606" max="14606" width="11.85546875" style="1989" customWidth="1"/>
    <col min="14607" max="14607" width="1.85546875" style="1989" customWidth="1"/>
    <col min="14608" max="14608" width="10.7109375" style="1989" customWidth="1"/>
    <col min="14609" max="14617" width="0" style="1989" hidden="1" customWidth="1"/>
    <col min="14618" max="14621" width="16.7109375" style="1989"/>
    <col min="14622" max="14622" width="19.5703125" style="1989" customWidth="1"/>
    <col min="14623" max="14843" width="16.7109375" style="1989"/>
    <col min="14844" max="14844" width="6.42578125" style="1989" customWidth="1"/>
    <col min="14845" max="14845" width="51.42578125" style="1989" customWidth="1"/>
    <col min="14846" max="14846" width="9.85546875" style="1989" customWidth="1"/>
    <col min="14847" max="14847" width="1.28515625" style="1989" customWidth="1"/>
    <col min="14848" max="14848" width="11" style="1989" customWidth="1"/>
    <col min="14849" max="14849" width="3" style="1989" customWidth="1"/>
    <col min="14850" max="14850" width="11.7109375" style="1989" customWidth="1"/>
    <col min="14851" max="14851" width="2.42578125" style="1989" customWidth="1"/>
    <col min="14852" max="14852" width="11.42578125" style="1989" customWidth="1"/>
    <col min="14853" max="14853" width="3.85546875" style="1989" customWidth="1"/>
    <col min="14854" max="14854" width="11.5703125" style="1989" customWidth="1"/>
    <col min="14855" max="14855" width="1.85546875" style="1989" customWidth="1"/>
    <col min="14856" max="14856" width="13.28515625" style="1989" customWidth="1"/>
    <col min="14857" max="14857" width="3.85546875" style="1989" customWidth="1"/>
    <col min="14858" max="14858" width="14.42578125" style="1989" customWidth="1"/>
    <col min="14859" max="14859" width="4" style="1989" customWidth="1"/>
    <col min="14860" max="14860" width="10.85546875" style="1989" customWidth="1"/>
    <col min="14861" max="14861" width="4.140625" style="1989" customWidth="1"/>
    <col min="14862" max="14862" width="11.85546875" style="1989" customWidth="1"/>
    <col min="14863" max="14863" width="1.85546875" style="1989" customWidth="1"/>
    <col min="14864" max="14864" width="10.7109375" style="1989" customWidth="1"/>
    <col min="14865" max="14873" width="0" style="1989" hidden="1" customWidth="1"/>
    <col min="14874" max="14877" width="16.7109375" style="1989"/>
    <col min="14878" max="14878" width="19.5703125" style="1989" customWidth="1"/>
    <col min="14879" max="15099" width="16.7109375" style="1989"/>
    <col min="15100" max="15100" width="6.42578125" style="1989" customWidth="1"/>
    <col min="15101" max="15101" width="51.42578125" style="1989" customWidth="1"/>
    <col min="15102" max="15102" width="9.85546875" style="1989" customWidth="1"/>
    <col min="15103" max="15103" width="1.28515625" style="1989" customWidth="1"/>
    <col min="15104" max="15104" width="11" style="1989" customWidth="1"/>
    <col min="15105" max="15105" width="3" style="1989" customWidth="1"/>
    <col min="15106" max="15106" width="11.7109375" style="1989" customWidth="1"/>
    <col min="15107" max="15107" width="2.42578125" style="1989" customWidth="1"/>
    <col min="15108" max="15108" width="11.42578125" style="1989" customWidth="1"/>
    <col min="15109" max="15109" width="3.85546875" style="1989" customWidth="1"/>
    <col min="15110" max="15110" width="11.5703125" style="1989" customWidth="1"/>
    <col min="15111" max="15111" width="1.85546875" style="1989" customWidth="1"/>
    <col min="15112" max="15112" width="13.28515625" style="1989" customWidth="1"/>
    <col min="15113" max="15113" width="3.85546875" style="1989" customWidth="1"/>
    <col min="15114" max="15114" width="14.42578125" style="1989" customWidth="1"/>
    <col min="15115" max="15115" width="4" style="1989" customWidth="1"/>
    <col min="15116" max="15116" width="10.85546875" style="1989" customWidth="1"/>
    <col min="15117" max="15117" width="4.140625" style="1989" customWidth="1"/>
    <col min="15118" max="15118" width="11.85546875" style="1989" customWidth="1"/>
    <col min="15119" max="15119" width="1.85546875" style="1989" customWidth="1"/>
    <col min="15120" max="15120" width="10.7109375" style="1989" customWidth="1"/>
    <col min="15121" max="15129" width="0" style="1989" hidden="1" customWidth="1"/>
    <col min="15130" max="15133" width="16.7109375" style="1989"/>
    <col min="15134" max="15134" width="19.5703125" style="1989" customWidth="1"/>
    <col min="15135" max="15355" width="16.7109375" style="1989"/>
    <col min="15356" max="15356" width="6.42578125" style="1989" customWidth="1"/>
    <col min="15357" max="15357" width="51.42578125" style="1989" customWidth="1"/>
    <col min="15358" max="15358" width="9.85546875" style="1989" customWidth="1"/>
    <col min="15359" max="15359" width="1.28515625" style="1989" customWidth="1"/>
    <col min="15360" max="15360" width="11" style="1989" customWidth="1"/>
    <col min="15361" max="15361" width="3" style="1989" customWidth="1"/>
    <col min="15362" max="15362" width="11.7109375" style="1989" customWidth="1"/>
    <col min="15363" max="15363" width="2.42578125" style="1989" customWidth="1"/>
    <col min="15364" max="15364" width="11.42578125" style="1989" customWidth="1"/>
    <col min="15365" max="15365" width="3.85546875" style="1989" customWidth="1"/>
    <col min="15366" max="15366" width="11.5703125" style="1989" customWidth="1"/>
    <col min="15367" max="15367" width="1.85546875" style="1989" customWidth="1"/>
    <col min="15368" max="15368" width="13.28515625" style="1989" customWidth="1"/>
    <col min="15369" max="15369" width="3.85546875" style="1989" customWidth="1"/>
    <col min="15370" max="15370" width="14.42578125" style="1989" customWidth="1"/>
    <col min="15371" max="15371" width="4" style="1989" customWidth="1"/>
    <col min="15372" max="15372" width="10.85546875" style="1989" customWidth="1"/>
    <col min="15373" max="15373" width="4.140625" style="1989" customWidth="1"/>
    <col min="15374" max="15374" width="11.85546875" style="1989" customWidth="1"/>
    <col min="15375" max="15375" width="1.85546875" style="1989" customWidth="1"/>
    <col min="15376" max="15376" width="10.7109375" style="1989" customWidth="1"/>
    <col min="15377" max="15385" width="0" style="1989" hidden="1" customWidth="1"/>
    <col min="15386" max="15389" width="16.7109375" style="1989"/>
    <col min="15390" max="15390" width="19.5703125" style="1989" customWidth="1"/>
    <col min="15391" max="15611" width="16.7109375" style="1989"/>
    <col min="15612" max="15612" width="6.42578125" style="1989" customWidth="1"/>
    <col min="15613" max="15613" width="51.42578125" style="1989" customWidth="1"/>
    <col min="15614" max="15614" width="9.85546875" style="1989" customWidth="1"/>
    <col min="15615" max="15615" width="1.28515625" style="1989" customWidth="1"/>
    <col min="15616" max="15616" width="11" style="1989" customWidth="1"/>
    <col min="15617" max="15617" width="3" style="1989" customWidth="1"/>
    <col min="15618" max="15618" width="11.7109375" style="1989" customWidth="1"/>
    <col min="15619" max="15619" width="2.42578125" style="1989" customWidth="1"/>
    <col min="15620" max="15620" width="11.42578125" style="1989" customWidth="1"/>
    <col min="15621" max="15621" width="3.85546875" style="1989" customWidth="1"/>
    <col min="15622" max="15622" width="11.5703125" style="1989" customWidth="1"/>
    <col min="15623" max="15623" width="1.85546875" style="1989" customWidth="1"/>
    <col min="15624" max="15624" width="13.28515625" style="1989" customWidth="1"/>
    <col min="15625" max="15625" width="3.85546875" style="1989" customWidth="1"/>
    <col min="15626" max="15626" width="14.42578125" style="1989" customWidth="1"/>
    <col min="15627" max="15627" width="4" style="1989" customWidth="1"/>
    <col min="15628" max="15628" width="10.85546875" style="1989" customWidth="1"/>
    <col min="15629" max="15629" width="4.140625" style="1989" customWidth="1"/>
    <col min="15630" max="15630" width="11.85546875" style="1989" customWidth="1"/>
    <col min="15631" max="15631" width="1.85546875" style="1989" customWidth="1"/>
    <col min="15632" max="15632" width="10.7109375" style="1989" customWidth="1"/>
    <col min="15633" max="15641" width="0" style="1989" hidden="1" customWidth="1"/>
    <col min="15642" max="15645" width="16.7109375" style="1989"/>
    <col min="15646" max="15646" width="19.5703125" style="1989" customWidth="1"/>
    <col min="15647" max="15867" width="16.7109375" style="1989"/>
    <col min="15868" max="15868" width="6.42578125" style="1989" customWidth="1"/>
    <col min="15869" max="15869" width="51.42578125" style="1989" customWidth="1"/>
    <col min="15870" max="15870" width="9.85546875" style="1989" customWidth="1"/>
    <col min="15871" max="15871" width="1.28515625" style="1989" customWidth="1"/>
    <col min="15872" max="15872" width="11" style="1989" customWidth="1"/>
    <col min="15873" max="15873" width="3" style="1989" customWidth="1"/>
    <col min="15874" max="15874" width="11.7109375" style="1989" customWidth="1"/>
    <col min="15875" max="15875" width="2.42578125" style="1989" customWidth="1"/>
    <col min="15876" max="15876" width="11.42578125" style="1989" customWidth="1"/>
    <col min="15877" max="15877" width="3.85546875" style="1989" customWidth="1"/>
    <col min="15878" max="15878" width="11.5703125" style="1989" customWidth="1"/>
    <col min="15879" max="15879" width="1.85546875" style="1989" customWidth="1"/>
    <col min="15880" max="15880" width="13.28515625" style="1989" customWidth="1"/>
    <col min="15881" max="15881" width="3.85546875" style="1989" customWidth="1"/>
    <col min="15882" max="15882" width="14.42578125" style="1989" customWidth="1"/>
    <col min="15883" max="15883" width="4" style="1989" customWidth="1"/>
    <col min="15884" max="15884" width="10.85546875" style="1989" customWidth="1"/>
    <col min="15885" max="15885" width="4.140625" style="1989" customWidth="1"/>
    <col min="15886" max="15886" width="11.85546875" style="1989" customWidth="1"/>
    <col min="15887" max="15887" width="1.85546875" style="1989" customWidth="1"/>
    <col min="15888" max="15888" width="10.7109375" style="1989" customWidth="1"/>
    <col min="15889" max="15897" width="0" style="1989" hidden="1" customWidth="1"/>
    <col min="15898" max="15901" width="16.7109375" style="1989"/>
    <col min="15902" max="15902" width="19.5703125" style="1989" customWidth="1"/>
    <col min="15903" max="16123" width="16.7109375" style="1989"/>
    <col min="16124" max="16124" width="6.42578125" style="1989" customWidth="1"/>
    <col min="16125" max="16125" width="51.42578125" style="1989" customWidth="1"/>
    <col min="16126" max="16126" width="9.85546875" style="1989" customWidth="1"/>
    <col min="16127" max="16127" width="1.28515625" style="1989" customWidth="1"/>
    <col min="16128" max="16128" width="11" style="1989" customWidth="1"/>
    <col min="16129" max="16129" width="3" style="1989" customWidth="1"/>
    <col min="16130" max="16130" width="11.7109375" style="1989" customWidth="1"/>
    <col min="16131" max="16131" width="2.42578125" style="1989" customWidth="1"/>
    <col min="16132" max="16132" width="11.42578125" style="1989" customWidth="1"/>
    <col min="16133" max="16133" width="3.85546875" style="1989" customWidth="1"/>
    <col min="16134" max="16134" width="11.5703125" style="1989" customWidth="1"/>
    <col min="16135" max="16135" width="1.85546875" style="1989" customWidth="1"/>
    <col min="16136" max="16136" width="13.28515625" style="1989" customWidth="1"/>
    <col min="16137" max="16137" width="3.85546875" style="1989" customWidth="1"/>
    <col min="16138" max="16138" width="14.42578125" style="1989" customWidth="1"/>
    <col min="16139" max="16139" width="4" style="1989" customWidth="1"/>
    <col min="16140" max="16140" width="10.85546875" style="1989" customWidth="1"/>
    <col min="16141" max="16141" width="4.140625" style="1989" customWidth="1"/>
    <col min="16142" max="16142" width="11.85546875" style="1989" customWidth="1"/>
    <col min="16143" max="16143" width="1.85546875" style="1989" customWidth="1"/>
    <col min="16144" max="16144" width="10.7109375" style="1989" customWidth="1"/>
    <col min="16145" max="16153" width="0" style="1989" hidden="1" customWidth="1"/>
    <col min="16154" max="16157" width="16.7109375" style="1989"/>
    <col min="16158" max="16158" width="19.5703125" style="1989" customWidth="1"/>
    <col min="16159" max="16384" width="16.7109375" style="1989"/>
  </cols>
  <sheetData>
    <row r="1" spans="1:30" x14ac:dyDescent="0.25">
      <c r="A1" s="2704" t="s">
        <v>2140</v>
      </c>
      <c r="B1" s="2704"/>
      <c r="C1" s="2704"/>
      <c r="D1" s="2704"/>
      <c r="E1" s="2704"/>
      <c r="F1" s="2704"/>
      <c r="G1" s="2704"/>
      <c r="H1" s="2704"/>
      <c r="I1" s="2704"/>
      <c r="J1" s="2704"/>
      <c r="K1" s="2704"/>
      <c r="L1" s="2704"/>
      <c r="M1" s="2704"/>
      <c r="N1" s="2704"/>
      <c r="O1" s="2704"/>
      <c r="P1" s="2704"/>
      <c r="Q1" s="2704"/>
      <c r="R1" s="2704"/>
      <c r="S1" s="2704"/>
      <c r="T1" s="2704"/>
      <c r="U1" s="2704"/>
      <c r="V1" s="1987"/>
      <c r="W1" s="1987"/>
      <c r="X1" s="1988"/>
      <c r="Y1" s="1988"/>
      <c r="Z1" s="1988"/>
      <c r="AB1" s="1990"/>
      <c r="AC1" s="1991"/>
      <c r="AD1" s="1991"/>
    </row>
    <row r="2" spans="1:30" x14ac:dyDescent="0.25">
      <c r="A2" s="2704" t="s">
        <v>2082</v>
      </c>
      <c r="B2" s="2704"/>
      <c r="C2" s="2704"/>
      <c r="D2" s="2704"/>
      <c r="E2" s="2704"/>
      <c r="F2" s="2704"/>
      <c r="G2" s="2704"/>
      <c r="H2" s="2704"/>
      <c r="I2" s="2704"/>
      <c r="J2" s="2704"/>
      <c r="K2" s="2704"/>
      <c r="L2" s="2704"/>
      <c r="M2" s="2704"/>
      <c r="N2" s="2704"/>
      <c r="O2" s="2704"/>
      <c r="P2" s="2704"/>
      <c r="Q2" s="2704"/>
      <c r="R2" s="2704"/>
      <c r="S2" s="2704"/>
      <c r="T2" s="2704"/>
      <c r="U2" s="2704"/>
      <c r="V2" s="1987"/>
      <c r="W2" s="1987"/>
      <c r="X2" s="1988"/>
      <c r="Y2" s="1988"/>
      <c r="Z2" s="1988"/>
      <c r="AB2" s="1990"/>
      <c r="AC2" s="1991"/>
      <c r="AD2" s="1991"/>
    </row>
    <row r="3" spans="1:30" x14ac:dyDescent="0.25">
      <c r="A3" s="2704" t="s">
        <v>1281</v>
      </c>
      <c r="B3" s="2704"/>
      <c r="C3" s="2704"/>
      <c r="D3" s="2704"/>
      <c r="E3" s="2704"/>
      <c r="F3" s="2704"/>
      <c r="G3" s="2704"/>
      <c r="H3" s="2704"/>
      <c r="I3" s="2704"/>
      <c r="J3" s="2704"/>
      <c r="K3" s="2704"/>
      <c r="L3" s="2704"/>
      <c r="M3" s="2704"/>
      <c r="N3" s="2704"/>
      <c r="O3" s="2704"/>
      <c r="P3" s="2704"/>
      <c r="Q3" s="2704"/>
      <c r="R3" s="2704"/>
      <c r="S3" s="2704"/>
      <c r="T3" s="2704"/>
      <c r="U3" s="2704"/>
      <c r="V3" s="1987"/>
      <c r="W3" s="1987"/>
      <c r="X3" s="1988"/>
      <c r="Y3" s="1988"/>
      <c r="Z3" s="1988"/>
      <c r="AB3" s="1990"/>
      <c r="AC3" s="1991"/>
      <c r="AD3" s="1991"/>
    </row>
    <row r="4" spans="1:30" x14ac:dyDescent="0.25">
      <c r="A4" s="2705" t="s">
        <v>2141</v>
      </c>
      <c r="B4" s="2705"/>
      <c r="C4" s="2705"/>
      <c r="D4" s="2705"/>
      <c r="E4" s="2705"/>
      <c r="F4" s="2705"/>
      <c r="G4" s="2705"/>
      <c r="H4" s="2705"/>
      <c r="I4" s="2705"/>
      <c r="J4" s="2705"/>
      <c r="K4" s="2705"/>
      <c r="L4" s="2705"/>
      <c r="M4" s="2705"/>
      <c r="N4" s="2705"/>
      <c r="O4" s="2705"/>
      <c r="P4" s="2705"/>
      <c r="Q4" s="2705"/>
      <c r="R4" s="2705"/>
      <c r="S4" s="2705"/>
      <c r="T4" s="2705"/>
      <c r="U4" s="2705"/>
      <c r="V4" s="1987"/>
      <c r="W4" s="1987"/>
      <c r="X4" s="1992"/>
      <c r="Y4" s="1992"/>
      <c r="Z4" s="1992"/>
      <c r="AB4" s="1990"/>
      <c r="AC4" s="1991"/>
      <c r="AD4" s="1991"/>
    </row>
    <row r="5" spans="1:30" x14ac:dyDescent="0.25">
      <c r="A5" s="1993"/>
      <c r="B5" s="1993"/>
      <c r="C5" s="1993"/>
      <c r="D5" s="1993"/>
      <c r="E5" s="1993"/>
      <c r="F5" s="1993"/>
      <c r="G5" s="1994"/>
      <c r="H5" s="1995"/>
      <c r="I5" s="1994"/>
      <c r="J5" s="1996"/>
      <c r="K5" s="1994"/>
      <c r="L5" s="1995"/>
      <c r="M5" s="1995"/>
      <c r="N5" s="1995"/>
      <c r="O5" s="1995"/>
      <c r="P5" s="1995"/>
      <c r="Q5" s="1995"/>
      <c r="R5" s="1996"/>
      <c r="S5" s="1995"/>
      <c r="T5" s="1995"/>
      <c r="U5" s="1995"/>
      <c r="V5" s="1997"/>
      <c r="W5" s="1997"/>
      <c r="X5" s="1988"/>
      <c r="Y5" s="1988"/>
      <c r="Z5" s="1988"/>
      <c r="AB5" s="1991"/>
      <c r="AC5" s="1991"/>
      <c r="AD5" s="1991"/>
    </row>
    <row r="6" spans="1:30" ht="15.6" customHeight="1" x14ac:dyDescent="0.25">
      <c r="A6" s="1993"/>
      <c r="B6" s="1993"/>
      <c r="C6" s="1993"/>
      <c r="D6" s="1993"/>
      <c r="E6" s="1993"/>
      <c r="F6" s="1993"/>
      <c r="G6" s="1994"/>
      <c r="H6" s="1995"/>
      <c r="I6" s="1994"/>
      <c r="J6" s="1996"/>
      <c r="K6" s="1994"/>
      <c r="L6" s="1995"/>
      <c r="M6" s="1995"/>
      <c r="N6" s="1995"/>
      <c r="O6" s="1995"/>
      <c r="P6" s="1995"/>
      <c r="Q6" s="1995"/>
      <c r="R6" s="1996"/>
      <c r="S6" s="1995"/>
      <c r="T6" s="1995"/>
      <c r="U6" s="1995"/>
      <c r="V6" s="1987"/>
      <c r="W6" s="1987"/>
      <c r="X6" s="1998"/>
      <c r="Y6" s="1998"/>
      <c r="Z6" s="1998"/>
      <c r="AA6" s="1999" t="s">
        <v>2142</v>
      </c>
      <c r="AB6" s="2000"/>
      <c r="AC6" s="2001"/>
      <c r="AD6" s="2001" t="s">
        <v>1231</v>
      </c>
    </row>
    <row r="7" spans="1:30" ht="19.149999999999999" customHeight="1" x14ac:dyDescent="0.4">
      <c r="A7" s="1996"/>
      <c r="B7" s="1994"/>
      <c r="C7" s="1995"/>
      <c r="D7" s="1995"/>
      <c r="E7" s="1996" t="s">
        <v>2143</v>
      </c>
      <c r="F7" s="1996"/>
      <c r="G7" s="2706" t="s">
        <v>2144</v>
      </c>
      <c r="H7" s="2706"/>
      <c r="I7" s="2706"/>
      <c r="J7" s="1996"/>
      <c r="K7" s="2706" t="s">
        <v>2145</v>
      </c>
      <c r="L7" s="2706"/>
      <c r="M7" s="2706"/>
      <c r="N7" s="2706"/>
      <c r="O7" s="2706"/>
      <c r="P7" s="1995"/>
      <c r="Q7" s="1995"/>
      <c r="R7" s="1996"/>
      <c r="S7" s="1995"/>
      <c r="T7" s="1995"/>
      <c r="U7" s="1995"/>
      <c r="V7" s="2708" t="s">
        <v>2146</v>
      </c>
      <c r="W7" s="2708"/>
      <c r="X7" s="2708"/>
      <c r="Y7" s="2708"/>
      <c r="Z7" s="2708"/>
      <c r="AA7" s="2002" t="s">
        <v>2147</v>
      </c>
      <c r="AB7" s="2000"/>
      <c r="AC7" s="2001"/>
      <c r="AD7" s="2001" t="s">
        <v>1231</v>
      </c>
    </row>
    <row r="8" spans="1:30" ht="16.5" customHeight="1" x14ac:dyDescent="0.4">
      <c r="A8" s="2003"/>
      <c r="B8" s="2004"/>
      <c r="C8" s="2003" t="s">
        <v>1326</v>
      </c>
      <c r="D8" s="2003"/>
      <c r="E8" s="2003" t="s">
        <v>2148</v>
      </c>
      <c r="F8" s="2003"/>
      <c r="G8" s="2003" t="s">
        <v>2149</v>
      </c>
      <c r="H8" s="1991"/>
      <c r="I8" s="2005" t="s">
        <v>2150</v>
      </c>
      <c r="J8" s="2003"/>
      <c r="K8" s="2003" t="s">
        <v>2149</v>
      </c>
      <c r="L8" s="1991"/>
      <c r="M8" s="2003" t="str">
        <f>+I8</f>
        <v>7/01/17 -</v>
      </c>
      <c r="N8" s="2003"/>
      <c r="O8" s="2003" t="s">
        <v>2151</v>
      </c>
      <c r="P8" s="1991"/>
      <c r="Q8" s="2003" t="s">
        <v>1323</v>
      </c>
      <c r="R8" s="2003"/>
      <c r="S8" s="2003" t="s">
        <v>2152</v>
      </c>
      <c r="T8" s="1991"/>
      <c r="U8" s="2004" t="s">
        <v>1231</v>
      </c>
      <c r="V8" s="2709">
        <v>41455</v>
      </c>
      <c r="W8" s="2709"/>
      <c r="X8" s="2709"/>
      <c r="Y8" s="2006">
        <v>41090</v>
      </c>
      <c r="Z8" s="2006">
        <v>40724</v>
      </c>
      <c r="AA8" s="2007"/>
      <c r="AB8" s="2008"/>
      <c r="AC8" s="2001"/>
      <c r="AD8" s="2001"/>
    </row>
    <row r="9" spans="1:30" ht="14.25" customHeight="1" x14ac:dyDescent="0.25">
      <c r="A9" s="2004" t="s">
        <v>2153</v>
      </c>
      <c r="B9" s="2004"/>
      <c r="C9" s="2003" t="s">
        <v>2154</v>
      </c>
      <c r="D9" s="2003"/>
      <c r="E9" s="2003" t="s">
        <v>2154</v>
      </c>
      <c r="F9" s="2003"/>
      <c r="G9" s="2009" t="s">
        <v>2155</v>
      </c>
      <c r="H9" s="1991"/>
      <c r="I9" s="2009" t="s">
        <v>2156</v>
      </c>
      <c r="J9" s="2003"/>
      <c r="K9" s="2010" t="str">
        <f>+G9</f>
        <v>6/30/17</v>
      </c>
      <c r="L9" s="1991"/>
      <c r="M9" s="2010" t="str">
        <f>+I9</f>
        <v>6/30/18</v>
      </c>
      <c r="N9" s="2010"/>
      <c r="O9" s="2010" t="s">
        <v>2157</v>
      </c>
      <c r="P9" s="1991"/>
      <c r="Q9" s="2003" t="s">
        <v>2158</v>
      </c>
      <c r="R9" s="2003"/>
      <c r="S9" s="2003" t="s">
        <v>1319</v>
      </c>
      <c r="T9" s="1991"/>
      <c r="U9" s="2003" t="s">
        <v>30</v>
      </c>
      <c r="V9" s="2011" t="s">
        <v>2159</v>
      </c>
      <c r="W9" s="2012" t="s">
        <v>2160</v>
      </c>
      <c r="X9" s="2013" t="s">
        <v>2161</v>
      </c>
      <c r="Y9" s="2014" t="s">
        <v>2161</v>
      </c>
      <c r="Z9" s="2014" t="s">
        <v>2161</v>
      </c>
      <c r="AA9" s="1999"/>
      <c r="AB9" s="2015"/>
      <c r="AC9" s="2016" t="s">
        <v>1231</v>
      </c>
      <c r="AD9" s="2001"/>
    </row>
    <row r="10" spans="1:30" ht="16.5" customHeight="1" x14ac:dyDescent="0.4">
      <c r="A10" s="2018" t="s">
        <v>2162</v>
      </c>
      <c r="B10" s="1991"/>
      <c r="C10" s="2019" t="s">
        <v>1317</v>
      </c>
      <c r="D10" s="2019"/>
      <c r="E10" s="2019" t="s">
        <v>1316</v>
      </c>
      <c r="F10" s="2020"/>
      <c r="G10" s="2019" t="s">
        <v>1315</v>
      </c>
      <c r="H10" s="2019"/>
      <c r="I10" s="2019" t="s">
        <v>1314</v>
      </c>
      <c r="J10" s="2019"/>
      <c r="K10" s="2019" t="s">
        <v>1313</v>
      </c>
      <c r="L10" s="2019"/>
      <c r="M10" s="2019" t="s">
        <v>1312</v>
      </c>
      <c r="N10" s="2019"/>
      <c r="O10" s="2019" t="s">
        <v>1328</v>
      </c>
      <c r="P10" s="2019"/>
      <c r="Q10" s="2019" t="s">
        <v>1311</v>
      </c>
      <c r="R10" s="2019"/>
      <c r="S10" s="2019" t="s">
        <v>1310</v>
      </c>
      <c r="T10" s="2019"/>
      <c r="U10" s="2019" t="s">
        <v>1309</v>
      </c>
      <c r="V10" s="2021" t="s">
        <v>2163</v>
      </c>
      <c r="W10" s="2022" t="s">
        <v>2164</v>
      </c>
      <c r="X10" s="2023" t="s">
        <v>2165</v>
      </c>
      <c r="Y10" s="2024" t="s">
        <v>2165</v>
      </c>
      <c r="Z10" s="2024" t="s">
        <v>2165</v>
      </c>
      <c r="AA10" s="2025">
        <v>41455</v>
      </c>
      <c r="AB10" s="2026"/>
      <c r="AC10" s="2001"/>
      <c r="AD10" s="2001"/>
    </row>
    <row r="11" spans="1:30" x14ac:dyDescent="0.25">
      <c r="A11" s="2018"/>
      <c r="B11" s="1991"/>
      <c r="C11" s="2028"/>
      <c r="D11" s="2003"/>
      <c r="E11" s="2028"/>
      <c r="F11" s="2003"/>
      <c r="G11" s="2029"/>
      <c r="H11" s="2030"/>
      <c r="I11" s="2029"/>
      <c r="J11" s="2031"/>
      <c r="K11" s="2029"/>
      <c r="L11" s="2030"/>
      <c r="M11" s="2029"/>
      <c r="N11" s="2029"/>
      <c r="O11" s="2029"/>
      <c r="P11" s="2030"/>
      <c r="Q11" s="2029"/>
      <c r="R11" s="2031"/>
      <c r="S11" s="2029"/>
      <c r="T11" s="2030"/>
      <c r="U11" s="2029"/>
      <c r="V11" s="2027"/>
      <c r="W11" s="2027"/>
      <c r="X11" s="1998"/>
      <c r="Y11" s="1998"/>
      <c r="Z11" s="1998"/>
      <c r="AA11" s="1998"/>
      <c r="AB11" s="2026"/>
      <c r="AC11" s="2001"/>
      <c r="AD11" s="2001"/>
    </row>
    <row r="12" spans="1:30" x14ac:dyDescent="0.25">
      <c r="A12" s="2032" t="s">
        <v>2166</v>
      </c>
      <c r="B12" s="1988"/>
      <c r="C12" s="2033"/>
      <c r="D12" s="2033"/>
      <c r="E12" s="2034"/>
      <c r="F12" s="2033"/>
      <c r="G12" s="2035" t="s">
        <v>1231</v>
      </c>
      <c r="H12" s="2035"/>
      <c r="I12" s="2035"/>
      <c r="J12" s="2036"/>
      <c r="K12" s="2035"/>
      <c r="L12" s="2035"/>
      <c r="M12" s="2037"/>
      <c r="N12" s="2037"/>
      <c r="O12" s="2037"/>
      <c r="P12" s="2035"/>
      <c r="Q12" s="2035"/>
      <c r="R12" s="2036"/>
      <c r="S12" s="2035"/>
      <c r="T12" s="2035"/>
      <c r="U12" s="2035" t="s">
        <v>1231</v>
      </c>
      <c r="V12" s="2027"/>
      <c r="W12" s="2027"/>
      <c r="X12" s="1998"/>
      <c r="Y12" s="2038"/>
      <c r="Z12" s="2038"/>
      <c r="AA12" s="1998"/>
      <c r="AB12" s="2039"/>
      <c r="AC12" s="2001"/>
      <c r="AD12" s="2001"/>
    </row>
    <row r="13" spans="1:30" x14ac:dyDescent="0.25">
      <c r="A13" s="2032" t="s">
        <v>2167</v>
      </c>
      <c r="B13" s="1988"/>
      <c r="C13" s="2033"/>
      <c r="D13" s="2033"/>
      <c r="E13" s="2034"/>
      <c r="F13" s="2033"/>
      <c r="G13" s="2035"/>
      <c r="H13" s="2035"/>
      <c r="I13" s="2035"/>
      <c r="J13" s="2036"/>
      <c r="K13" s="2035"/>
      <c r="L13" s="2035"/>
      <c r="M13" s="2035"/>
      <c r="N13" s="2035"/>
      <c r="O13" s="2035"/>
      <c r="P13" s="2035"/>
      <c r="Q13" s="2035"/>
      <c r="R13" s="2036"/>
      <c r="S13" s="2035"/>
      <c r="T13" s="2035"/>
      <c r="U13" s="2035" t="s">
        <v>1231</v>
      </c>
      <c r="V13" s="2027"/>
      <c r="W13" s="2027"/>
      <c r="X13" s="1998"/>
      <c r="Y13" s="2038"/>
      <c r="Z13" s="2038"/>
      <c r="AA13" s="1998"/>
      <c r="AB13" s="2039"/>
      <c r="AC13" s="2001"/>
      <c r="AD13" s="2001"/>
    </row>
    <row r="14" spans="1:30" x14ac:dyDescent="0.25">
      <c r="A14" s="2040" t="s">
        <v>2168</v>
      </c>
      <c r="B14" s="1988"/>
      <c r="C14" s="2033"/>
      <c r="D14" s="2033"/>
      <c r="E14" s="2034"/>
      <c r="F14" s="2033"/>
      <c r="G14" s="2035" t="s">
        <v>1231</v>
      </c>
      <c r="H14" s="2035"/>
      <c r="I14" s="2035" t="s">
        <v>1231</v>
      </c>
      <c r="J14" s="2036"/>
      <c r="K14" s="2035"/>
      <c r="L14" s="2035"/>
      <c r="M14" s="2035"/>
      <c r="N14" s="2035"/>
      <c r="O14" s="2035"/>
      <c r="P14" s="2035"/>
      <c r="Q14" s="2035"/>
      <c r="R14" s="2036"/>
      <c r="S14" s="2035"/>
      <c r="T14" s="2035"/>
      <c r="U14" s="2035"/>
      <c r="V14" s="2041"/>
      <c r="W14" s="2041"/>
      <c r="X14" s="1998"/>
      <c r="Y14" s="2038"/>
      <c r="Z14" s="2038"/>
      <c r="AA14" s="1998"/>
      <c r="AB14" s="2042"/>
      <c r="AC14" s="2001" t="s">
        <v>1231</v>
      </c>
      <c r="AD14" s="2001"/>
    </row>
    <row r="15" spans="1:30" x14ac:dyDescent="0.25">
      <c r="A15" s="2043"/>
      <c r="B15" s="2034"/>
      <c r="C15" s="2033"/>
      <c r="D15" s="2033"/>
      <c r="E15" s="2034"/>
      <c r="F15" s="2033"/>
      <c r="G15" s="2035"/>
      <c r="H15" s="2035"/>
      <c r="I15" s="2035"/>
      <c r="J15" s="2036"/>
      <c r="K15" s="2035"/>
      <c r="L15" s="2035"/>
      <c r="M15" s="2035"/>
      <c r="N15" s="2035"/>
      <c r="O15" s="2035"/>
      <c r="P15" s="2035"/>
      <c r="Q15" s="2035"/>
      <c r="R15" s="2036"/>
      <c r="S15" s="2035"/>
      <c r="T15" s="2035"/>
      <c r="U15" s="2035"/>
      <c r="V15" s="2041"/>
      <c r="W15" s="2041"/>
      <c r="X15" s="1998"/>
      <c r="Y15" s="2038"/>
      <c r="Z15" s="2038"/>
      <c r="AA15" s="1998"/>
      <c r="AB15" s="2042"/>
      <c r="AC15" s="2001"/>
      <c r="AD15" s="2001"/>
    </row>
    <row r="16" spans="1:30" x14ac:dyDescent="0.25">
      <c r="A16" s="2043"/>
      <c r="B16" s="2034" t="s">
        <v>2169</v>
      </c>
      <c r="C16" s="2044">
        <v>10.555</v>
      </c>
      <c r="D16" s="2033"/>
      <c r="E16" s="2045" t="s">
        <v>2170</v>
      </c>
      <c r="F16" s="2045"/>
      <c r="G16" s="2037">
        <v>17247</v>
      </c>
      <c r="H16" s="2037"/>
      <c r="I16" s="2037">
        <f>21377-17247</f>
        <v>4130</v>
      </c>
      <c r="J16" s="2046"/>
      <c r="K16" s="2037">
        <v>17247</v>
      </c>
      <c r="L16" s="2037"/>
      <c r="M16" s="2037">
        <f>21377-17247</f>
        <v>4130</v>
      </c>
      <c r="N16" s="2047" t="s">
        <v>2171</v>
      </c>
      <c r="O16" s="2037"/>
      <c r="P16" s="2047"/>
      <c r="Q16" s="2048"/>
      <c r="R16" s="2046"/>
      <c r="S16" s="2049">
        <f>K16+M16+Q16</f>
        <v>21377</v>
      </c>
      <c r="T16" s="2037"/>
      <c r="U16" s="2050" t="s">
        <v>2172</v>
      </c>
      <c r="V16" s="2017" t="s">
        <v>2173</v>
      </c>
      <c r="W16" s="2041" t="s">
        <v>2174</v>
      </c>
      <c r="X16" s="1998"/>
      <c r="Y16" s="2038" t="s">
        <v>2175</v>
      </c>
      <c r="Z16" s="2038" t="s">
        <v>2175</v>
      </c>
      <c r="AA16" s="1998"/>
      <c r="AB16" s="2042"/>
      <c r="AC16" s="2001"/>
      <c r="AD16" s="2001"/>
    </row>
    <row r="17" spans="1:30" x14ac:dyDescent="0.25">
      <c r="A17" s="2052" t="s">
        <v>1231</v>
      </c>
      <c r="B17" s="2034" t="s">
        <v>2169</v>
      </c>
      <c r="C17" s="2044">
        <v>10.555</v>
      </c>
      <c r="D17" s="2034"/>
      <c r="E17" s="2045" t="s">
        <v>2176</v>
      </c>
      <c r="F17" s="2045"/>
      <c r="G17" s="2053" t="s">
        <v>1231</v>
      </c>
      <c r="H17" s="2054"/>
      <c r="I17" s="2053">
        <v>16613</v>
      </c>
      <c r="J17" s="2053"/>
      <c r="K17" s="2053" t="s">
        <v>1231</v>
      </c>
      <c r="L17" s="2053"/>
      <c r="M17" s="2053">
        <v>16613</v>
      </c>
      <c r="N17" s="2047" t="s">
        <v>2171</v>
      </c>
      <c r="O17" s="2053"/>
      <c r="P17" s="2047"/>
      <c r="Q17" s="2053"/>
      <c r="R17" s="2047" t="s">
        <v>2177</v>
      </c>
      <c r="S17" s="2053">
        <f>K17+M17+Q17</f>
        <v>16613</v>
      </c>
      <c r="T17" s="2054"/>
      <c r="U17" s="2050" t="s">
        <v>2172</v>
      </c>
      <c r="V17" s="2017" t="s">
        <v>2173</v>
      </c>
      <c r="W17" s="2041" t="s">
        <v>2174</v>
      </c>
      <c r="X17" s="1998"/>
      <c r="Y17" s="2038" t="s">
        <v>2175</v>
      </c>
      <c r="Z17" s="2038" t="s">
        <v>2175</v>
      </c>
      <c r="AA17" s="1998"/>
      <c r="AB17" s="2042"/>
      <c r="AC17" s="2001"/>
      <c r="AD17" s="2001"/>
    </row>
    <row r="18" spans="1:30" x14ac:dyDescent="0.25">
      <c r="A18" s="2052"/>
      <c r="B18" s="2055" t="s">
        <v>2178</v>
      </c>
      <c r="C18" s="2044"/>
      <c r="D18" s="2034"/>
      <c r="E18" s="2045"/>
      <c r="F18" s="2045"/>
      <c r="G18" s="2053"/>
      <c r="H18" s="2054"/>
      <c r="I18" s="2053"/>
      <c r="J18" s="2053"/>
      <c r="K18" s="2053"/>
      <c r="L18" s="2053"/>
      <c r="M18" s="2053"/>
      <c r="N18" s="2047"/>
      <c r="O18" s="2053">
        <f>SUM(M16:M17)</f>
        <v>20743</v>
      </c>
      <c r="P18" s="2047"/>
      <c r="Q18" s="2053"/>
      <c r="R18" s="2047"/>
      <c r="S18" s="2053"/>
      <c r="T18" s="2054"/>
      <c r="U18" s="2050"/>
      <c r="V18" s="2017"/>
      <c r="W18" s="2041"/>
      <c r="X18" s="1998"/>
      <c r="Y18" s="2038"/>
      <c r="Z18" s="2038"/>
      <c r="AA18" s="1998"/>
      <c r="AB18" s="2042"/>
      <c r="AC18" s="2001"/>
      <c r="AD18" s="2001"/>
    </row>
    <row r="19" spans="1:30" ht="17.25" x14ac:dyDescent="0.25">
      <c r="A19" s="2052"/>
      <c r="B19" s="2056"/>
      <c r="C19" s="2057"/>
      <c r="D19" s="2034"/>
      <c r="E19" s="2045"/>
      <c r="F19" s="2045"/>
      <c r="G19" s="2058"/>
      <c r="H19" s="2054"/>
      <c r="I19" s="2058"/>
      <c r="J19" s="2058"/>
      <c r="K19" s="2059"/>
      <c r="L19" s="2058"/>
      <c r="M19" s="2058"/>
      <c r="N19" s="2054"/>
      <c r="O19" s="2058"/>
      <c r="P19" s="2054"/>
      <c r="Q19" s="2058"/>
      <c r="R19" s="2054"/>
      <c r="S19" s="2058"/>
      <c r="T19" s="2054"/>
      <c r="U19" s="2050"/>
      <c r="V19" s="2041"/>
      <c r="W19" s="2041"/>
      <c r="X19" s="1998"/>
      <c r="Y19" s="2038"/>
      <c r="Z19" s="2038"/>
      <c r="AA19" s="1998"/>
      <c r="AB19" s="2042"/>
      <c r="AC19" s="2001"/>
      <c r="AD19" s="2001"/>
    </row>
    <row r="20" spans="1:30" ht="17.25" x14ac:dyDescent="0.25">
      <c r="A20" s="2052"/>
      <c r="B20" s="2062" t="s">
        <v>2179</v>
      </c>
      <c r="C20" s="2063">
        <v>10.553000000000001</v>
      </c>
      <c r="D20" s="2034"/>
      <c r="E20" s="2045" t="s">
        <v>2180</v>
      </c>
      <c r="F20" s="2045"/>
      <c r="G20" s="2053">
        <v>10659</v>
      </c>
      <c r="H20" s="2054"/>
      <c r="I20" s="2053">
        <v>2335</v>
      </c>
      <c r="J20" s="2053"/>
      <c r="K20" s="2059">
        <v>10659</v>
      </c>
      <c r="L20" s="2053"/>
      <c r="M20" s="2053">
        <f>12994-10659</f>
        <v>2335</v>
      </c>
      <c r="N20" s="2047" t="s">
        <v>2171</v>
      </c>
      <c r="O20" s="2053"/>
      <c r="P20" s="2047"/>
      <c r="Q20" s="2058"/>
      <c r="R20" s="2054"/>
      <c r="S20" s="2053">
        <f>K20+M20+Q20</f>
        <v>12994</v>
      </c>
      <c r="T20" s="2054"/>
      <c r="U20" s="2050" t="s">
        <v>2172</v>
      </c>
      <c r="V20" s="2017" t="s">
        <v>2173</v>
      </c>
      <c r="W20" s="2041" t="s">
        <v>2174</v>
      </c>
      <c r="X20" s="1998"/>
      <c r="Y20" s="2038" t="s">
        <v>2175</v>
      </c>
      <c r="Z20" s="2038" t="s">
        <v>2175</v>
      </c>
      <c r="AA20" s="1998"/>
      <c r="AB20" s="2042"/>
      <c r="AC20" s="2001"/>
      <c r="AD20" s="2001"/>
    </row>
    <row r="21" spans="1:30" ht="17.25" x14ac:dyDescent="0.25">
      <c r="A21" s="2052"/>
      <c r="B21" s="2062" t="s">
        <v>2179</v>
      </c>
      <c r="C21" s="2063">
        <v>10.553000000000001</v>
      </c>
      <c r="D21" s="2034"/>
      <c r="E21" s="2045" t="s">
        <v>2181</v>
      </c>
      <c r="F21" s="2045"/>
      <c r="G21" s="2058"/>
      <c r="H21" s="2054"/>
      <c r="I21" s="2053">
        <v>10262</v>
      </c>
      <c r="J21" s="2053"/>
      <c r="K21" s="2064"/>
      <c r="L21" s="2053"/>
      <c r="M21" s="2053">
        <v>10262</v>
      </c>
      <c r="N21" s="2047" t="s">
        <v>2171</v>
      </c>
      <c r="O21" s="2053"/>
      <c r="P21" s="2047"/>
      <c r="Q21" s="2058"/>
      <c r="R21" s="2047" t="s">
        <v>2177</v>
      </c>
      <c r="S21" s="2053">
        <f>K21+M21+Q21</f>
        <v>10262</v>
      </c>
      <c r="T21" s="2054"/>
      <c r="U21" s="2050" t="s">
        <v>2172</v>
      </c>
      <c r="V21" s="2017" t="s">
        <v>2173</v>
      </c>
      <c r="W21" s="2041" t="s">
        <v>2174</v>
      </c>
      <c r="X21" s="1998"/>
      <c r="Y21" s="2038" t="s">
        <v>2175</v>
      </c>
      <c r="Z21" s="2038" t="s">
        <v>2175</v>
      </c>
      <c r="AA21" s="1998"/>
      <c r="AB21" s="2042"/>
      <c r="AC21" s="2001"/>
      <c r="AD21" s="2001"/>
    </row>
    <row r="22" spans="1:30" ht="17.25" x14ac:dyDescent="0.25">
      <c r="A22" s="2052"/>
      <c r="B22" s="2055" t="s">
        <v>2178</v>
      </c>
      <c r="C22" s="2063"/>
      <c r="D22" s="2034"/>
      <c r="E22" s="2045"/>
      <c r="F22" s="2045"/>
      <c r="G22" s="2058"/>
      <c r="H22" s="2054"/>
      <c r="I22" s="2053"/>
      <c r="J22" s="2053"/>
      <c r="K22" s="2064"/>
      <c r="L22" s="2053"/>
      <c r="M22" s="2053"/>
      <c r="N22" s="2047"/>
      <c r="O22" s="2053">
        <f>SUM(M20:M21)</f>
        <v>12597</v>
      </c>
      <c r="P22" s="2047"/>
      <c r="Q22" s="2058"/>
      <c r="R22" s="2047"/>
      <c r="S22" s="2053"/>
      <c r="T22" s="2054"/>
      <c r="U22" s="2050"/>
      <c r="V22" s="2017"/>
      <c r="W22" s="2041"/>
      <c r="X22" s="1998"/>
      <c r="Y22" s="2038"/>
      <c r="Z22" s="2038"/>
      <c r="AA22" s="1998"/>
      <c r="AB22" s="2042"/>
      <c r="AC22" s="2001"/>
      <c r="AD22" s="2001"/>
    </row>
    <row r="23" spans="1:30" ht="17.25" x14ac:dyDescent="0.25">
      <c r="A23" s="2052"/>
      <c r="B23" s="2056"/>
      <c r="C23" s="2057"/>
      <c r="D23" s="2034"/>
      <c r="E23" s="2045"/>
      <c r="F23" s="2045"/>
      <c r="G23" s="2058"/>
      <c r="H23" s="2054"/>
      <c r="I23" s="2058"/>
      <c r="J23" s="2058"/>
      <c r="K23" s="2059"/>
      <c r="L23" s="2058"/>
      <c r="M23" s="2058"/>
      <c r="N23" s="2054"/>
      <c r="O23" s="2058"/>
      <c r="P23" s="2054"/>
      <c r="Q23" s="2058"/>
      <c r="R23" s="2054"/>
      <c r="S23" s="2058"/>
      <c r="T23" s="2054"/>
      <c r="U23" s="2050"/>
      <c r="V23" s="2041"/>
      <c r="W23" s="2041"/>
      <c r="X23" s="1998"/>
      <c r="Y23" s="2038"/>
      <c r="Z23" s="2038"/>
      <c r="AA23" s="1998"/>
      <c r="AB23" s="2042"/>
      <c r="AC23" s="2001"/>
      <c r="AD23" s="2001"/>
    </row>
    <row r="24" spans="1:30" ht="17.25" hidden="1" x14ac:dyDescent="0.25">
      <c r="A24" s="2052"/>
      <c r="B24" s="2056" t="s">
        <v>2182</v>
      </c>
      <c r="C24" s="2044">
        <v>10.555</v>
      </c>
      <c r="D24" s="2034"/>
      <c r="E24" s="2045" t="s">
        <v>2183</v>
      </c>
      <c r="F24" s="2045"/>
      <c r="G24" s="2058"/>
      <c r="H24" s="2054"/>
      <c r="I24" s="2058"/>
      <c r="J24" s="2058"/>
      <c r="K24" s="2064">
        <v>0</v>
      </c>
      <c r="L24" s="2058"/>
      <c r="M24" s="2053"/>
      <c r="N24" s="2047"/>
      <c r="O24" s="2053"/>
      <c r="P24" s="2047"/>
      <c r="Q24" s="2058"/>
      <c r="R24" s="2054"/>
      <c r="S24" s="2053">
        <f>K24+M24+Q24</f>
        <v>0</v>
      </c>
      <c r="T24" s="2054"/>
      <c r="U24" s="2065" t="s">
        <v>2172</v>
      </c>
      <c r="V24" s="2041"/>
      <c r="W24" s="2041" t="s">
        <v>2174</v>
      </c>
      <c r="X24" s="1998"/>
      <c r="Y24" s="2038" t="s">
        <v>2175</v>
      </c>
      <c r="Z24" s="2038" t="s">
        <v>2175</v>
      </c>
      <c r="AA24" s="1998"/>
      <c r="AB24" s="2042"/>
      <c r="AC24" s="2001"/>
      <c r="AD24" s="2001"/>
    </row>
    <row r="25" spans="1:30" x14ac:dyDescent="0.25">
      <c r="A25" s="2052"/>
      <c r="B25" s="2056" t="s">
        <v>2182</v>
      </c>
      <c r="C25" s="2044">
        <v>10.555</v>
      </c>
      <c r="D25" s="2034"/>
      <c r="E25" s="2045" t="s">
        <v>2184</v>
      </c>
      <c r="F25" s="2045"/>
      <c r="G25" s="2066"/>
      <c r="H25" s="2054"/>
      <c r="I25" s="2066"/>
      <c r="J25" s="2053"/>
      <c r="K25" s="2066"/>
      <c r="L25" s="2053"/>
      <c r="M25" s="2066">
        <v>2237</v>
      </c>
      <c r="N25" s="2047" t="s">
        <v>2171</v>
      </c>
      <c r="O25" s="2053"/>
      <c r="P25" s="2047"/>
      <c r="Q25" s="2066">
        <v>0</v>
      </c>
      <c r="R25" s="2054"/>
      <c r="S25" s="2053">
        <f>K25+M25+Q25</f>
        <v>2237</v>
      </c>
      <c r="T25" s="2054"/>
      <c r="U25" s="2065" t="s">
        <v>2172</v>
      </c>
      <c r="V25" s="2041"/>
      <c r="W25" s="2041" t="s">
        <v>2174</v>
      </c>
      <c r="X25" s="1998"/>
      <c r="Y25" s="2038" t="s">
        <v>2175</v>
      </c>
      <c r="Z25" s="2038" t="s">
        <v>2175</v>
      </c>
      <c r="AA25" s="1998"/>
      <c r="AB25" s="2042"/>
      <c r="AC25" s="2001"/>
      <c r="AD25" s="2001"/>
    </row>
    <row r="26" spans="1:30" ht="17.25" x14ac:dyDescent="0.25">
      <c r="A26" s="2052"/>
      <c r="B26" s="2055" t="s">
        <v>2178</v>
      </c>
      <c r="C26" s="2057"/>
      <c r="D26" s="2034"/>
      <c r="E26" s="2045"/>
      <c r="F26" s="2045"/>
      <c r="G26" s="2067">
        <v>0</v>
      </c>
      <c r="H26" s="2054"/>
      <c r="I26" s="2067">
        <v>0</v>
      </c>
      <c r="J26" s="2058"/>
      <c r="K26" s="2067">
        <v>0</v>
      </c>
      <c r="L26" s="2058"/>
      <c r="M26" s="2067">
        <v>0</v>
      </c>
      <c r="N26" s="2047"/>
      <c r="O26" s="2058">
        <v>2237</v>
      </c>
      <c r="P26" s="2047"/>
      <c r="Q26" s="2067">
        <v>0</v>
      </c>
      <c r="R26" s="2054"/>
      <c r="S26" s="2067">
        <v>0</v>
      </c>
      <c r="T26" s="2054"/>
      <c r="U26" s="2050"/>
      <c r="V26" s="2041"/>
      <c r="W26" s="2041"/>
      <c r="X26" s="1998"/>
      <c r="Y26" s="2038"/>
      <c r="Z26" s="2038"/>
      <c r="AA26" s="1998"/>
      <c r="AB26" s="2042"/>
      <c r="AC26" s="2001"/>
      <c r="AD26" s="2001"/>
    </row>
    <row r="27" spans="1:30" hidden="1" x14ac:dyDescent="0.25">
      <c r="A27" s="2052"/>
      <c r="B27" s="2056" t="s">
        <v>2185</v>
      </c>
      <c r="C27" s="2044">
        <v>10.555</v>
      </c>
      <c r="D27" s="2034"/>
      <c r="E27" s="2045" t="s">
        <v>2186</v>
      </c>
      <c r="F27" s="2068"/>
      <c r="G27" s="2069"/>
      <c r="H27" s="2069"/>
      <c r="I27" s="2069">
        <v>0</v>
      </c>
      <c r="J27" s="2070"/>
      <c r="K27" s="2059"/>
      <c r="L27" s="2069"/>
      <c r="M27" s="2069"/>
      <c r="N27" s="2069"/>
      <c r="O27" s="2069"/>
      <c r="P27" s="2069"/>
      <c r="Q27" s="2069"/>
      <c r="R27" s="2070"/>
      <c r="S27" s="2049">
        <f>K27+M27+Q27</f>
        <v>0</v>
      </c>
      <c r="T27" s="2071"/>
      <c r="U27" s="2065" t="s">
        <v>2172</v>
      </c>
      <c r="V27" s="2041"/>
      <c r="W27" s="2041" t="s">
        <v>2174</v>
      </c>
      <c r="X27" s="1998"/>
      <c r="Y27" s="2038" t="s">
        <v>2175</v>
      </c>
      <c r="Z27" s="2038" t="s">
        <v>2175</v>
      </c>
      <c r="AA27" s="1998"/>
      <c r="AB27" s="2042"/>
      <c r="AC27" s="2001"/>
      <c r="AD27" s="2001"/>
    </row>
    <row r="28" spans="1:30" ht="17.25" hidden="1" x14ac:dyDescent="0.25">
      <c r="A28" s="2052"/>
      <c r="B28" s="2056" t="s">
        <v>2185</v>
      </c>
      <c r="C28" s="2044">
        <v>10.555</v>
      </c>
      <c r="D28" s="2034"/>
      <c r="E28" s="2045" t="s">
        <v>2187</v>
      </c>
      <c r="F28" s="2068"/>
      <c r="G28" s="2073">
        <v>0</v>
      </c>
      <c r="H28" s="2074"/>
      <c r="I28" s="2073">
        <v>0</v>
      </c>
      <c r="J28" s="2075"/>
      <c r="K28" s="2067">
        <v>0</v>
      </c>
      <c r="L28" s="2076"/>
      <c r="M28" s="2067">
        <v>0</v>
      </c>
      <c r="N28" s="2067"/>
      <c r="O28" s="2067">
        <v>0</v>
      </c>
      <c r="P28" s="2047"/>
      <c r="Q28" s="2067">
        <v>0</v>
      </c>
      <c r="R28" s="2077"/>
      <c r="S28" s="2078">
        <f>K28+M28+Q28</f>
        <v>0</v>
      </c>
      <c r="T28" s="2071"/>
      <c r="U28" s="2065" t="s">
        <v>2172</v>
      </c>
      <c r="V28" s="2041"/>
      <c r="W28" s="2041" t="s">
        <v>2174</v>
      </c>
      <c r="X28" s="1998"/>
      <c r="Y28" s="2038" t="s">
        <v>2175</v>
      </c>
      <c r="Z28" s="2038" t="s">
        <v>2175</v>
      </c>
      <c r="AA28" s="1998"/>
      <c r="AB28" s="2042"/>
      <c r="AC28" s="2001"/>
      <c r="AD28" s="2001"/>
    </row>
    <row r="29" spans="1:30" ht="17.25" hidden="1" x14ac:dyDescent="0.25">
      <c r="A29" s="2052"/>
      <c r="B29" s="2079"/>
      <c r="C29" s="2044"/>
      <c r="D29" s="2080"/>
      <c r="E29" s="2068"/>
      <c r="F29" s="2068"/>
      <c r="G29" s="2073"/>
      <c r="H29" s="2074"/>
      <c r="I29" s="2073"/>
      <c r="J29" s="2075"/>
      <c r="K29" s="2073"/>
      <c r="L29" s="2076"/>
      <c r="M29" s="2067"/>
      <c r="N29" s="2067"/>
      <c r="O29" s="2067"/>
      <c r="P29" s="2076"/>
      <c r="Q29" s="2067"/>
      <c r="R29" s="2077"/>
      <c r="S29" s="2067"/>
      <c r="T29" s="2071"/>
      <c r="U29" s="2065"/>
      <c r="V29" s="2041"/>
      <c r="W29" s="2041"/>
      <c r="X29" s="1998"/>
      <c r="Y29" s="2038"/>
      <c r="Z29" s="2038"/>
      <c r="AA29" s="1998"/>
      <c r="AB29" s="2042"/>
      <c r="AC29" s="2001"/>
      <c r="AD29" s="2001"/>
    </row>
    <row r="30" spans="1:30" ht="17.25" x14ac:dyDescent="0.25">
      <c r="A30" s="2052"/>
      <c r="B30" s="2056"/>
      <c r="C30" s="2057"/>
      <c r="D30" s="2034"/>
      <c r="E30" s="2045"/>
      <c r="F30" s="2045"/>
      <c r="G30" s="2081"/>
      <c r="H30" s="2082"/>
      <c r="I30" s="2081"/>
      <c r="J30" s="2083"/>
      <c r="K30" s="2081"/>
      <c r="L30" s="2054"/>
      <c r="M30" s="2058"/>
      <c r="N30" s="2058"/>
      <c r="O30" s="2058"/>
      <c r="P30" s="2054"/>
      <c r="Q30" s="2084"/>
      <c r="R30" s="2054"/>
      <c r="S30" s="2078"/>
      <c r="T30" s="2054"/>
      <c r="U30" s="2050"/>
      <c r="V30" s="2041"/>
      <c r="W30" s="2041"/>
      <c r="X30" s="1998"/>
      <c r="Y30" s="2038"/>
      <c r="Z30" s="2038"/>
      <c r="AA30" s="1998"/>
      <c r="AB30" s="2042"/>
      <c r="AC30" s="2001"/>
      <c r="AD30" s="2001"/>
    </row>
    <row r="31" spans="1:30" ht="17.25" x14ac:dyDescent="0.25">
      <c r="A31" s="2032" t="s">
        <v>2188</v>
      </c>
      <c r="B31" s="2085"/>
      <c r="C31" s="2086"/>
      <c r="D31" s="2087"/>
      <c r="E31" s="2088"/>
      <c r="F31" s="2088"/>
      <c r="G31" s="2081">
        <f>SUM(G16:G30)</f>
        <v>27906</v>
      </c>
      <c r="H31" s="2081">
        <f>SUM(H16:H17)</f>
        <v>0</v>
      </c>
      <c r="I31" s="2081">
        <f>SUM(I16:I30)</f>
        <v>33340</v>
      </c>
      <c r="J31" s="2081"/>
      <c r="K31" s="2081">
        <f>SUM(K16:K30)</f>
        <v>27906</v>
      </c>
      <c r="L31" s="2089"/>
      <c r="M31" s="2081">
        <f>SUM(M16:M30)</f>
        <v>35577</v>
      </c>
      <c r="N31" s="2081"/>
      <c r="O31" s="2081">
        <f>SUM(O16:O30)</f>
        <v>35577</v>
      </c>
      <c r="P31" s="2089"/>
      <c r="Q31" s="2081">
        <f>SUM(Q16:Q30)</f>
        <v>0</v>
      </c>
      <c r="R31" s="2081"/>
      <c r="S31" s="2081">
        <f>SUM(S16:S30)</f>
        <v>63483</v>
      </c>
      <c r="T31" s="2090"/>
      <c r="U31" s="2091"/>
      <c r="V31" s="2051"/>
      <c r="W31" s="2051"/>
      <c r="X31" s="1998"/>
      <c r="Y31" s="2038" t="s">
        <v>1231</v>
      </c>
      <c r="Z31" s="2038" t="s">
        <v>1231</v>
      </c>
      <c r="AA31" s="1998">
        <v>0</v>
      </c>
      <c r="AB31" s="2042"/>
      <c r="AC31" s="2001">
        <v>0</v>
      </c>
      <c r="AD31" s="2001"/>
    </row>
    <row r="32" spans="1:30" ht="17.25" x14ac:dyDescent="0.25">
      <c r="A32" s="2032"/>
      <c r="B32" s="2085"/>
      <c r="C32" s="2086"/>
      <c r="D32" s="2087"/>
      <c r="E32" s="2088"/>
      <c r="F32" s="2088"/>
      <c r="G32" s="2081"/>
      <c r="H32" s="2081"/>
      <c r="I32" s="2081"/>
      <c r="J32" s="2081"/>
      <c r="K32" s="2081"/>
      <c r="L32" s="2089"/>
      <c r="M32" s="2081"/>
      <c r="N32" s="2081"/>
      <c r="O32" s="2081"/>
      <c r="P32" s="2089"/>
      <c r="Q32" s="2081"/>
      <c r="R32" s="2081"/>
      <c r="S32" s="2081"/>
      <c r="T32" s="2090"/>
      <c r="U32" s="2091"/>
      <c r="V32" s="2061" t="s">
        <v>1231</v>
      </c>
      <c r="W32" s="2061"/>
      <c r="X32" s="1998" t="s">
        <v>1231</v>
      </c>
      <c r="Y32" s="2038"/>
      <c r="Z32" s="2038"/>
      <c r="AA32" s="1998">
        <f>+G32+I32-S32</f>
        <v>0</v>
      </c>
      <c r="AB32" s="2039"/>
      <c r="AC32" s="2001">
        <f t="shared" ref="AC32:AC72" si="0">+G32+I32-K32-M32</f>
        <v>0</v>
      </c>
      <c r="AD32" s="2001"/>
    </row>
    <row r="33" spans="1:30" ht="17.25" x14ac:dyDescent="0.25">
      <c r="A33" s="2043" t="s">
        <v>2189</v>
      </c>
      <c r="B33" s="2034"/>
      <c r="C33" s="2092"/>
      <c r="D33" s="2087"/>
      <c r="E33" s="2088"/>
      <c r="F33" s="2088"/>
      <c r="G33" s="2081"/>
      <c r="H33" s="2081"/>
      <c r="I33" s="2081"/>
      <c r="J33" s="2081"/>
      <c r="K33" s="2081"/>
      <c r="L33" s="2089"/>
      <c r="M33" s="2081"/>
      <c r="N33" s="2081"/>
      <c r="O33" s="2081"/>
      <c r="P33" s="2089"/>
      <c r="Q33" s="2081"/>
      <c r="R33" s="2081"/>
      <c r="S33" s="2081"/>
      <c r="T33" s="2090"/>
      <c r="U33" s="2091"/>
      <c r="V33" s="2061"/>
      <c r="W33" s="2061"/>
      <c r="X33" s="1998"/>
      <c r="Y33" s="2038"/>
      <c r="Z33" s="2038"/>
      <c r="AA33" s="1998"/>
      <c r="AB33" s="2039"/>
      <c r="AC33" s="2001" t="s">
        <v>1231</v>
      </c>
      <c r="AD33" s="2001"/>
    </row>
    <row r="34" spans="1:30" ht="17.25" x14ac:dyDescent="0.25">
      <c r="A34" s="2043" t="s">
        <v>2167</v>
      </c>
      <c r="B34" s="2034"/>
      <c r="C34" s="2092"/>
      <c r="D34" s="2087"/>
      <c r="E34" s="2088"/>
      <c r="F34" s="2088"/>
      <c r="G34" s="2081"/>
      <c r="H34" s="2081"/>
      <c r="I34" s="2081"/>
      <c r="J34" s="2081"/>
      <c r="K34" s="2081"/>
      <c r="L34" s="2089"/>
      <c r="M34" s="2081"/>
      <c r="N34" s="2081"/>
      <c r="O34" s="2081"/>
      <c r="P34" s="2089"/>
      <c r="Q34" s="2081"/>
      <c r="R34" s="2081"/>
      <c r="S34" s="2081"/>
      <c r="T34" s="2090"/>
      <c r="U34" s="2091"/>
      <c r="V34" s="2061"/>
      <c r="W34" s="2061"/>
      <c r="X34" s="1998"/>
      <c r="Y34" s="2038"/>
      <c r="Z34" s="2038"/>
      <c r="AA34" s="1998"/>
      <c r="AB34" s="2039"/>
      <c r="AC34" s="2001">
        <f t="shared" si="0"/>
        <v>0</v>
      </c>
      <c r="AD34" s="2001"/>
    </row>
    <row r="35" spans="1:30" ht="17.25" x14ac:dyDescent="0.25">
      <c r="A35" s="2043" t="s">
        <v>2168</v>
      </c>
      <c r="B35" s="2034"/>
      <c r="C35" s="2092"/>
      <c r="D35" s="2087"/>
      <c r="E35" s="2088"/>
      <c r="F35" s="2088"/>
      <c r="G35" s="2081"/>
      <c r="H35" s="2089"/>
      <c r="I35" s="2081"/>
      <c r="J35" s="2093"/>
      <c r="K35" s="2081"/>
      <c r="L35" s="2089"/>
      <c r="M35" s="2081"/>
      <c r="N35" s="2081"/>
      <c r="O35" s="2081"/>
      <c r="P35" s="2089"/>
      <c r="Q35" s="2094"/>
      <c r="R35" s="2089"/>
      <c r="S35" s="2095"/>
      <c r="T35" s="2090"/>
      <c r="U35" s="2091"/>
      <c r="V35" s="2061"/>
      <c r="W35" s="2061"/>
      <c r="X35" s="1998"/>
      <c r="Y35" s="2038" t="s">
        <v>1231</v>
      </c>
      <c r="Z35" s="2038" t="s">
        <v>1231</v>
      </c>
      <c r="AA35" s="1998"/>
      <c r="AB35" s="2042"/>
      <c r="AC35" s="2001">
        <v>0</v>
      </c>
      <c r="AD35" s="2001"/>
    </row>
    <row r="36" spans="1:30" x14ac:dyDescent="0.25">
      <c r="A36" s="2043"/>
      <c r="B36" s="2034"/>
      <c r="C36" s="2033"/>
      <c r="D36" s="2033"/>
      <c r="E36" s="2034"/>
      <c r="F36" s="2033"/>
      <c r="G36" s="2048"/>
      <c r="H36" s="2048"/>
      <c r="I36" s="2048" t="s">
        <v>1231</v>
      </c>
      <c r="J36" s="2046"/>
      <c r="K36" s="2048"/>
      <c r="L36" s="2048"/>
      <c r="M36" s="2048"/>
      <c r="N36" s="2048"/>
      <c r="O36" s="2048"/>
      <c r="P36" s="2048"/>
      <c r="Q36" s="2048"/>
      <c r="R36" s="2046"/>
      <c r="S36" s="2048"/>
      <c r="T36" s="2037"/>
      <c r="U36" s="2037"/>
      <c r="W36" s="2061"/>
      <c r="X36" s="1998" t="s">
        <v>1231</v>
      </c>
      <c r="Y36" s="2038"/>
      <c r="Z36" s="2038"/>
      <c r="AA36" s="1998">
        <f>+G36+I36-S36</f>
        <v>0</v>
      </c>
      <c r="AB36" s="2042"/>
      <c r="AC36" s="2001">
        <f t="shared" si="0"/>
        <v>0</v>
      </c>
      <c r="AD36" s="2001"/>
    </row>
    <row r="37" spans="1:30" x14ac:dyDescent="0.25">
      <c r="A37" s="2096"/>
      <c r="B37" s="2056" t="s">
        <v>2190</v>
      </c>
      <c r="C37" s="2097" t="s">
        <v>2191</v>
      </c>
      <c r="D37" s="2033"/>
      <c r="E37" s="2045" t="s">
        <v>2192</v>
      </c>
      <c r="F37" s="2098"/>
      <c r="G37" s="2053">
        <v>2345771</v>
      </c>
      <c r="H37" s="2099"/>
      <c r="I37" s="2053">
        <f>2388156-2365401</f>
        <v>22755</v>
      </c>
      <c r="J37" s="2100"/>
      <c r="K37" s="2053">
        <v>2368526</v>
      </c>
      <c r="L37" s="2099"/>
      <c r="M37" s="2099"/>
      <c r="N37" s="2099"/>
      <c r="O37" s="2099"/>
      <c r="P37" s="2099"/>
      <c r="Q37" s="2099"/>
      <c r="R37" s="2100"/>
      <c r="S37" s="2101">
        <f>K37+M37+Q37</f>
        <v>2368526</v>
      </c>
      <c r="T37" s="2053"/>
      <c r="U37" s="2102">
        <f>2546739-U38</f>
        <v>2517515</v>
      </c>
      <c r="V37" s="2061" t="s">
        <v>2193</v>
      </c>
      <c r="W37" s="2061"/>
      <c r="X37" s="1998"/>
      <c r="Y37" s="2038" t="s">
        <v>2194</v>
      </c>
      <c r="Z37" s="2038" t="s">
        <v>2194</v>
      </c>
      <c r="AA37" s="1998"/>
      <c r="AB37" s="2042"/>
      <c r="AC37" s="2001" t="s">
        <v>1231</v>
      </c>
      <c r="AD37" s="2001"/>
    </row>
    <row r="38" spans="1:30" x14ac:dyDescent="0.25">
      <c r="A38" s="2096"/>
      <c r="B38" s="2056" t="s">
        <v>2195</v>
      </c>
      <c r="C38" s="2097" t="s">
        <v>2191</v>
      </c>
      <c r="D38" s="2033"/>
      <c r="E38" s="2045" t="s">
        <v>2192</v>
      </c>
      <c r="F38" s="2098"/>
      <c r="G38" s="2053">
        <v>19630</v>
      </c>
      <c r="H38" s="2099"/>
      <c r="I38" s="2099"/>
      <c r="J38" s="2100"/>
      <c r="K38" s="2053">
        <v>19630</v>
      </c>
      <c r="L38" s="2099">
        <v>-3</v>
      </c>
      <c r="M38" s="2099"/>
      <c r="N38" s="2047">
        <v>-3</v>
      </c>
      <c r="O38" s="2099"/>
      <c r="P38" s="2047"/>
      <c r="Q38" s="2099"/>
      <c r="R38" s="2100"/>
      <c r="S38" s="2049">
        <f>K38+M38+Q38</f>
        <v>19630</v>
      </c>
      <c r="T38" s="2053"/>
      <c r="U38" s="2102">
        <v>29224</v>
      </c>
      <c r="V38" s="2061"/>
      <c r="W38" s="2061"/>
      <c r="X38" s="1998"/>
      <c r="Y38" s="2038"/>
      <c r="Z38" s="2038"/>
      <c r="AA38" s="1998"/>
      <c r="AB38" s="2042"/>
      <c r="AC38" s="2001"/>
      <c r="AD38" s="2001"/>
    </row>
    <row r="39" spans="1:30" x14ac:dyDescent="0.25">
      <c r="A39" s="2096" t="s">
        <v>2196</v>
      </c>
      <c r="B39" s="2056" t="s">
        <v>2190</v>
      </c>
      <c r="C39" s="2104" t="s">
        <v>2191</v>
      </c>
      <c r="D39" s="2045"/>
      <c r="E39" s="2045" t="s">
        <v>2197</v>
      </c>
      <c r="F39" s="2045"/>
      <c r="G39" s="2105">
        <v>0</v>
      </c>
      <c r="H39" s="2053"/>
      <c r="I39" s="2053">
        <f>2215593-I40</f>
        <v>2204037</v>
      </c>
      <c r="J39" s="2106"/>
      <c r="K39" s="2053" t="s">
        <v>1231</v>
      </c>
      <c r="L39" s="2053"/>
      <c r="M39" s="2053">
        <f>2294432-M40</f>
        <v>2282876</v>
      </c>
      <c r="N39" s="2053"/>
      <c r="O39" s="2053"/>
      <c r="P39" s="2053"/>
      <c r="Q39" s="2105">
        <v>0</v>
      </c>
      <c r="R39" s="2106"/>
      <c r="S39" s="2049">
        <f>K39+M39+Q39</f>
        <v>2282876</v>
      </c>
      <c r="T39" s="2053"/>
      <c r="U39" s="2102">
        <f>2452972-U40</f>
        <v>2434420</v>
      </c>
      <c r="V39" s="2061"/>
      <c r="W39" s="2061" t="s">
        <v>2174</v>
      </c>
      <c r="X39" s="1998">
        <v>2467482</v>
      </c>
      <c r="Y39" s="2038"/>
      <c r="Z39" s="2038"/>
      <c r="AA39" s="1998"/>
      <c r="AB39" s="2042"/>
      <c r="AC39" s="2001"/>
      <c r="AD39" s="2001"/>
    </row>
    <row r="40" spans="1:30" ht="17.25" x14ac:dyDescent="0.25">
      <c r="A40" s="2096"/>
      <c r="B40" s="2056" t="s">
        <v>2195</v>
      </c>
      <c r="C40" s="2104" t="s">
        <v>2191</v>
      </c>
      <c r="D40" s="2045"/>
      <c r="E40" s="2045" t="s">
        <v>2197</v>
      </c>
      <c r="F40" s="2045"/>
      <c r="G40" s="2105">
        <v>0</v>
      </c>
      <c r="H40" s="2058"/>
      <c r="I40" s="2053">
        <v>11556</v>
      </c>
      <c r="J40" s="2107"/>
      <c r="K40" s="2053" t="s">
        <v>1231</v>
      </c>
      <c r="L40" s="2053"/>
      <c r="M40" s="2053">
        <v>11556</v>
      </c>
      <c r="N40" s="2047">
        <v>-3</v>
      </c>
      <c r="O40" s="2053" t="s">
        <v>1231</v>
      </c>
      <c r="P40" s="2047"/>
      <c r="Q40" s="2105">
        <v>0</v>
      </c>
      <c r="R40" s="2106"/>
      <c r="S40" s="2049">
        <f>K40+M40+Q40</f>
        <v>11556</v>
      </c>
      <c r="T40" s="2053"/>
      <c r="U40" s="2102">
        <v>18552</v>
      </c>
      <c r="V40" s="2061"/>
      <c r="W40" s="2061"/>
      <c r="X40" s="1998"/>
      <c r="Y40" s="2038"/>
      <c r="Z40" s="2038"/>
      <c r="AA40" s="1998"/>
      <c r="AB40" s="2042"/>
      <c r="AC40" s="2001"/>
      <c r="AD40" s="2001"/>
    </row>
    <row r="41" spans="1:30" ht="17.25" hidden="1" x14ac:dyDescent="0.25">
      <c r="A41" s="2096"/>
      <c r="B41" s="2055" t="s">
        <v>2198</v>
      </c>
      <c r="C41" s="2104"/>
      <c r="D41" s="2045"/>
      <c r="E41" s="2045"/>
      <c r="F41" s="2045"/>
      <c r="G41" s="2105"/>
      <c r="H41" s="2058"/>
      <c r="I41" s="2053"/>
      <c r="J41" s="2107"/>
      <c r="K41" s="2053"/>
      <c r="L41" s="2053"/>
      <c r="M41" s="2053"/>
      <c r="N41" s="2047"/>
      <c r="O41" s="2053">
        <v>0</v>
      </c>
      <c r="P41" s="2047"/>
      <c r="Q41" s="2105"/>
      <c r="R41" s="2106"/>
      <c r="S41" s="2049">
        <v>0</v>
      </c>
      <c r="T41" s="2053"/>
      <c r="U41" s="2102"/>
      <c r="V41" s="2061"/>
      <c r="W41" s="2061"/>
      <c r="X41" s="1998"/>
      <c r="Y41" s="2038"/>
      <c r="Z41" s="2038"/>
      <c r="AA41" s="1998"/>
      <c r="AB41" s="2042"/>
      <c r="AC41" s="2001"/>
      <c r="AD41" s="2001"/>
    </row>
    <row r="42" spans="1:30" ht="17.25" x14ac:dyDescent="0.25">
      <c r="A42" s="2096"/>
      <c r="B42" s="2055" t="s">
        <v>2199</v>
      </c>
      <c r="C42" s="2104"/>
      <c r="D42" s="2045"/>
      <c r="E42" s="2045"/>
      <c r="F42" s="2045"/>
      <c r="G42" s="2084">
        <v>0</v>
      </c>
      <c r="H42" s="2058"/>
      <c r="I42" s="2084">
        <v>0</v>
      </c>
      <c r="J42" s="2107"/>
      <c r="K42" s="2058" t="s">
        <v>1231</v>
      </c>
      <c r="L42" s="2058"/>
      <c r="M42" s="2084">
        <v>0</v>
      </c>
      <c r="N42" s="2047"/>
      <c r="O42" s="2058">
        <v>11556</v>
      </c>
      <c r="P42" s="2047"/>
      <c r="Q42" s="2084">
        <v>0</v>
      </c>
      <c r="R42" s="2107"/>
      <c r="S42" s="2078">
        <f>K42+M42+Q42</f>
        <v>0</v>
      </c>
      <c r="T42" s="2053"/>
      <c r="U42" s="2102"/>
      <c r="V42" s="2061"/>
      <c r="W42" s="2061"/>
      <c r="X42" s="1998"/>
      <c r="Y42" s="2038"/>
      <c r="Z42" s="2038"/>
      <c r="AA42" s="1998"/>
      <c r="AB42" s="2042"/>
      <c r="AC42" s="2001"/>
      <c r="AD42" s="2001"/>
    </row>
    <row r="43" spans="1:30" x14ac:dyDescent="0.25">
      <c r="A43" s="2043"/>
      <c r="B43" s="2034"/>
      <c r="C43" s="2045"/>
      <c r="D43" s="2045"/>
      <c r="E43" s="2108"/>
      <c r="F43" s="2045"/>
      <c r="G43" s="2109">
        <f>SUM(G37:G42)</f>
        <v>2365401</v>
      </c>
      <c r="H43" s="2109"/>
      <c r="I43" s="2109">
        <f>SUM(I37:I42)</f>
        <v>2238348</v>
      </c>
      <c r="J43" s="2109"/>
      <c r="K43" s="2109">
        <f>SUM(K37:K42)</f>
        <v>2388156</v>
      </c>
      <c r="L43" s="2109">
        <f>SUM(L37:L42)</f>
        <v>-3</v>
      </c>
      <c r="M43" s="2109">
        <f>SUM(M37:M42)</f>
        <v>2294432</v>
      </c>
      <c r="N43" s="2109"/>
      <c r="O43" s="2109">
        <f>SUM(O37:O42)</f>
        <v>11556</v>
      </c>
      <c r="P43" s="2109"/>
      <c r="Q43" s="2109">
        <f>SUM(Q37:Q42)</f>
        <v>0</v>
      </c>
      <c r="R43" s="2109"/>
      <c r="S43" s="2109">
        <f>SUM(S37:S42)</f>
        <v>4682588</v>
      </c>
      <c r="T43" s="2037"/>
      <c r="U43" s="2037"/>
      <c r="V43" s="2061" t="s">
        <v>1231</v>
      </c>
      <c r="W43" s="2061"/>
      <c r="X43" s="1998" t="s">
        <v>1231</v>
      </c>
      <c r="Y43" s="2038" t="s">
        <v>1231</v>
      </c>
      <c r="Z43" s="2038"/>
      <c r="AA43" s="1998">
        <v>0</v>
      </c>
      <c r="AB43" s="2042"/>
      <c r="AC43" s="2001">
        <f t="shared" si="0"/>
        <v>-78839</v>
      </c>
      <c r="AD43" s="2001"/>
    </row>
    <row r="44" spans="1:30" x14ac:dyDescent="0.25">
      <c r="A44" s="2043"/>
      <c r="B44" s="2034"/>
      <c r="C44" s="2045"/>
      <c r="D44" s="2045"/>
      <c r="E44" s="2108"/>
      <c r="F44" s="2045"/>
      <c r="G44" s="2037"/>
      <c r="H44" s="2037"/>
      <c r="I44" s="2037"/>
      <c r="J44" s="2110"/>
      <c r="K44" s="2037"/>
      <c r="L44" s="2037"/>
      <c r="M44" s="2037"/>
      <c r="N44" s="2037"/>
      <c r="O44" s="2037"/>
      <c r="P44" s="2037"/>
      <c r="Q44" s="2037"/>
      <c r="R44" s="2110"/>
      <c r="S44" s="2037"/>
      <c r="T44" s="2037"/>
      <c r="U44" s="2037"/>
      <c r="V44" s="2061"/>
      <c r="W44" s="2061"/>
      <c r="X44" s="1998"/>
      <c r="Y44" s="2038"/>
      <c r="Z44" s="2038"/>
      <c r="AA44" s="1998"/>
      <c r="AB44" s="2042"/>
      <c r="AC44" s="2001"/>
      <c r="AD44" s="2001"/>
    </row>
    <row r="45" spans="1:30" x14ac:dyDescent="0.25">
      <c r="A45" s="2096"/>
      <c r="B45" s="2056" t="s">
        <v>2200</v>
      </c>
      <c r="C45" s="2104" t="s">
        <v>2201</v>
      </c>
      <c r="D45" s="2045"/>
      <c r="E45" s="2045" t="s">
        <v>2202</v>
      </c>
      <c r="F45" s="2045"/>
      <c r="G45" s="2053">
        <v>47857</v>
      </c>
      <c r="H45" s="2053"/>
      <c r="I45" s="2053">
        <v>19195</v>
      </c>
      <c r="J45" s="2106"/>
      <c r="K45" s="2053">
        <v>67052</v>
      </c>
      <c r="L45" s="2053"/>
      <c r="M45" s="2053"/>
      <c r="N45" s="2053"/>
      <c r="O45" s="2053"/>
      <c r="P45" s="2053"/>
      <c r="Q45" s="2053"/>
      <c r="R45" s="2106"/>
      <c r="S45" s="2049">
        <f>K45+M45+Q45</f>
        <v>67052</v>
      </c>
      <c r="T45" s="2053"/>
      <c r="U45" s="2102">
        <f>114943-U46</f>
        <v>83936</v>
      </c>
      <c r="V45" s="2061"/>
      <c r="W45" s="2061"/>
      <c r="X45" s="1998"/>
      <c r="Y45" s="2038"/>
      <c r="Z45" s="2038"/>
      <c r="AA45" s="1998"/>
      <c r="AB45" s="2042"/>
      <c r="AC45" s="2001"/>
      <c r="AD45" s="2001"/>
    </row>
    <row r="46" spans="1:30" x14ac:dyDescent="0.25">
      <c r="A46" s="2096"/>
      <c r="B46" s="2056" t="s">
        <v>2195</v>
      </c>
      <c r="C46" s="2104" t="s">
        <v>2201</v>
      </c>
      <c r="D46" s="2045"/>
      <c r="E46" s="2045" t="s">
        <v>2202</v>
      </c>
      <c r="F46" s="2045"/>
      <c r="G46" s="2053">
        <v>30104</v>
      </c>
      <c r="H46" s="2053"/>
      <c r="I46" s="2053"/>
      <c r="J46" s="2106"/>
      <c r="K46" s="2053">
        <v>30104</v>
      </c>
      <c r="L46" s="2053"/>
      <c r="M46" s="2053"/>
      <c r="N46" s="2053">
        <v>-3</v>
      </c>
      <c r="O46" s="2053"/>
      <c r="P46" s="2053"/>
      <c r="Q46" s="2053"/>
      <c r="R46" s="2106"/>
      <c r="S46" s="2049">
        <f>K46+M46+Q46</f>
        <v>30104</v>
      </c>
      <c r="T46" s="2053"/>
      <c r="U46" s="2102">
        <v>31007</v>
      </c>
      <c r="V46" s="2061"/>
      <c r="W46" s="2061"/>
      <c r="X46" s="1998"/>
      <c r="Y46" s="2038"/>
      <c r="Z46" s="2038"/>
      <c r="AA46" s="1998"/>
      <c r="AB46" s="2042"/>
      <c r="AC46" s="2001"/>
      <c r="AD46" s="2001"/>
    </row>
    <row r="47" spans="1:30" x14ac:dyDescent="0.25">
      <c r="A47" s="2096" t="s">
        <v>2196</v>
      </c>
      <c r="B47" s="2056" t="s">
        <v>2200</v>
      </c>
      <c r="C47" s="2104" t="s">
        <v>2201</v>
      </c>
      <c r="D47" s="2045"/>
      <c r="E47" s="2045" t="s">
        <v>2203</v>
      </c>
      <c r="F47" s="2045"/>
      <c r="G47" s="2053"/>
      <c r="H47" s="2053"/>
      <c r="I47" s="2053">
        <f>118013-I48</f>
        <v>87448</v>
      </c>
      <c r="J47" s="2106"/>
      <c r="K47" s="2053" t="s">
        <v>1231</v>
      </c>
      <c r="L47" s="2053"/>
      <c r="M47" s="2053">
        <f>118332-M48</f>
        <v>87767</v>
      </c>
      <c r="N47" s="2053"/>
      <c r="O47" s="2053"/>
      <c r="P47" s="2053"/>
      <c r="Q47" s="2105">
        <v>0</v>
      </c>
      <c r="R47" s="2106"/>
      <c r="S47" s="2049">
        <f>K47+M47+Q47</f>
        <v>87767</v>
      </c>
      <c r="T47" s="2053"/>
      <c r="U47" s="2102">
        <f>122444-U48</f>
        <v>91879</v>
      </c>
      <c r="V47" s="2061" t="s">
        <v>2193</v>
      </c>
      <c r="W47" s="2061" t="s">
        <v>2174</v>
      </c>
      <c r="X47" s="1998">
        <v>100932</v>
      </c>
      <c r="Y47" s="2038" t="s">
        <v>2194</v>
      </c>
      <c r="Z47" s="2038" t="s">
        <v>2194</v>
      </c>
      <c r="AA47" s="1998">
        <v>0</v>
      </c>
      <c r="AB47" s="2042"/>
      <c r="AC47" s="2001">
        <f t="shared" si="0"/>
        <v>-319</v>
      </c>
      <c r="AD47" s="2001"/>
    </row>
    <row r="48" spans="1:30" x14ac:dyDescent="0.25">
      <c r="A48" s="2096"/>
      <c r="B48" s="2056" t="s">
        <v>2195</v>
      </c>
      <c r="C48" s="2104" t="s">
        <v>2201</v>
      </c>
      <c r="D48" s="2045"/>
      <c r="E48" s="2045" t="s">
        <v>2203</v>
      </c>
      <c r="F48" s="2045"/>
      <c r="G48" s="2105">
        <v>0</v>
      </c>
      <c r="H48" s="2053"/>
      <c r="I48" s="2053">
        <v>30565</v>
      </c>
      <c r="J48" s="2106"/>
      <c r="K48" s="2105">
        <v>0</v>
      </c>
      <c r="L48" s="2053"/>
      <c r="M48" s="2053">
        <v>30565</v>
      </c>
      <c r="N48" s="2047">
        <v>-3</v>
      </c>
      <c r="O48" s="2105">
        <v>0</v>
      </c>
      <c r="P48" s="2047"/>
      <c r="Q48" s="2105">
        <v>0</v>
      </c>
      <c r="R48" s="2106"/>
      <c r="S48" s="2049">
        <f>K48+M48+Q48</f>
        <v>30565</v>
      </c>
      <c r="T48" s="2053"/>
      <c r="U48" s="2102">
        <v>30565</v>
      </c>
      <c r="V48" s="2061"/>
      <c r="W48" s="2061"/>
      <c r="X48" s="1998"/>
      <c r="Y48" s="2038"/>
      <c r="Z48" s="2038"/>
      <c r="AA48" s="1998"/>
      <c r="AB48" s="2042"/>
      <c r="AC48" s="2001"/>
      <c r="AD48" s="2001"/>
    </row>
    <row r="49" spans="1:30" ht="17.25" x14ac:dyDescent="0.25">
      <c r="A49" s="2096"/>
      <c r="B49" s="2055" t="s">
        <v>2199</v>
      </c>
      <c r="C49" s="2104"/>
      <c r="D49" s="2045"/>
      <c r="E49" s="2045"/>
      <c r="F49" s="2045"/>
      <c r="G49" s="2084">
        <v>0</v>
      </c>
      <c r="H49" s="2058"/>
      <c r="I49" s="2084">
        <v>0</v>
      </c>
      <c r="J49" s="2107"/>
      <c r="K49" s="2084">
        <v>0</v>
      </c>
      <c r="L49" s="2058"/>
      <c r="M49" s="2084">
        <v>0</v>
      </c>
      <c r="N49" s="2047"/>
      <c r="O49" s="2084">
        <v>30565</v>
      </c>
      <c r="P49" s="2047"/>
      <c r="Q49" s="2084">
        <v>0</v>
      </c>
      <c r="R49" s="2107"/>
      <c r="S49" s="2078">
        <f>K49+M49+Q49</f>
        <v>0</v>
      </c>
      <c r="T49" s="2053"/>
      <c r="U49" s="2102"/>
      <c r="V49" s="2061"/>
      <c r="W49" s="2061"/>
      <c r="X49" s="1998"/>
      <c r="Y49" s="2038"/>
      <c r="Z49" s="2038"/>
      <c r="AA49" s="1998"/>
      <c r="AB49" s="2042"/>
      <c r="AC49" s="2001"/>
      <c r="AD49" s="2001"/>
    </row>
    <row r="50" spans="1:30" x14ac:dyDescent="0.25">
      <c r="A50" s="2096"/>
      <c r="B50" s="2056"/>
      <c r="C50" s="2104"/>
      <c r="D50" s="2045"/>
      <c r="E50" s="2045"/>
      <c r="F50" s="2045"/>
      <c r="G50" s="2111">
        <f>SUM(G45:G49)</f>
        <v>77961</v>
      </c>
      <c r="H50" s="2053"/>
      <c r="I50" s="2111">
        <f>SUM(I45:I49)</f>
        <v>137208</v>
      </c>
      <c r="J50" s="2111"/>
      <c r="K50" s="2111">
        <f>SUM(K45:K49)</f>
        <v>97156</v>
      </c>
      <c r="L50" s="2111"/>
      <c r="M50" s="2111">
        <f>SUM(M45:M49)</f>
        <v>118332</v>
      </c>
      <c r="N50" s="2111"/>
      <c r="O50" s="2111">
        <f>SUM(O45:O49)</f>
        <v>30565</v>
      </c>
      <c r="P50" s="2111"/>
      <c r="Q50" s="2111">
        <f>SUM(Q45:Q49)</f>
        <v>0</v>
      </c>
      <c r="R50" s="2111"/>
      <c r="S50" s="2111">
        <f>SUM(S45:S49)</f>
        <v>215488</v>
      </c>
      <c r="T50" s="2053"/>
      <c r="U50" s="2102"/>
      <c r="V50" s="2061"/>
      <c r="W50" s="2061"/>
      <c r="X50" s="1998"/>
      <c r="Y50" s="2038"/>
      <c r="Z50" s="2038"/>
      <c r="AA50" s="1998"/>
      <c r="AB50" s="2042"/>
      <c r="AC50" s="2001"/>
      <c r="AD50" s="2001"/>
    </row>
    <row r="51" spans="1:30" x14ac:dyDescent="0.25">
      <c r="A51" s="2096"/>
      <c r="B51" s="2056"/>
      <c r="C51" s="2097"/>
      <c r="D51" s="2033"/>
      <c r="E51" s="2033"/>
      <c r="F51" s="2033"/>
      <c r="G51" s="2112"/>
      <c r="H51" s="2099"/>
      <c r="I51" s="2112"/>
      <c r="J51" s="2112"/>
      <c r="K51" s="2112"/>
      <c r="L51" s="2112"/>
      <c r="M51" s="2112"/>
      <c r="N51" s="2112"/>
      <c r="O51" s="2112"/>
      <c r="P51" s="2112"/>
      <c r="Q51" s="2112"/>
      <c r="R51" s="2112"/>
      <c r="S51" s="2112"/>
      <c r="T51" s="2053"/>
      <c r="U51" s="2102"/>
      <c r="V51" s="2072"/>
      <c r="W51" s="2072"/>
      <c r="X51" s="1998"/>
      <c r="Y51" s="2038"/>
      <c r="Z51" s="2038"/>
      <c r="AA51" s="1998"/>
      <c r="AB51" s="2042"/>
      <c r="AC51" s="2001">
        <f t="shared" si="0"/>
        <v>0</v>
      </c>
      <c r="AD51" s="2001"/>
    </row>
    <row r="52" spans="1:30" x14ac:dyDescent="0.25">
      <c r="A52" s="2113" t="s">
        <v>2204</v>
      </c>
      <c r="B52" s="2056"/>
      <c r="C52" s="2097"/>
      <c r="D52" s="2033"/>
      <c r="E52" s="2034"/>
      <c r="F52" s="2033"/>
      <c r="G52" s="2114"/>
      <c r="H52" s="2114"/>
      <c r="I52" s="2114" t="s">
        <v>1231</v>
      </c>
      <c r="J52" s="2098"/>
      <c r="K52" s="2114"/>
      <c r="L52" s="2114"/>
      <c r="M52" s="2114"/>
      <c r="N52" s="2114"/>
      <c r="O52" s="2114"/>
      <c r="P52" s="2114"/>
      <c r="Q52" s="2114"/>
      <c r="R52" s="2098"/>
      <c r="S52" s="2101"/>
      <c r="T52" s="2034"/>
      <c r="U52" s="2034"/>
      <c r="V52" s="2060"/>
      <c r="W52" s="2060"/>
      <c r="X52" s="1998"/>
      <c r="Y52" s="2038"/>
      <c r="Z52" s="2038"/>
      <c r="AA52" s="1998"/>
      <c r="AB52" s="2001"/>
      <c r="AC52" s="2001">
        <f t="shared" si="0"/>
        <v>0</v>
      </c>
      <c r="AD52" s="2001"/>
    </row>
    <row r="53" spans="1:30" x14ac:dyDescent="0.25">
      <c r="A53" s="2043" t="s">
        <v>2205</v>
      </c>
      <c r="B53" s="2056"/>
      <c r="C53" s="2097"/>
      <c r="D53" s="2033"/>
      <c r="E53" s="2034"/>
      <c r="F53" s="2033"/>
      <c r="G53" s="2112">
        <f>+G43+G50+G31</f>
        <v>2471268</v>
      </c>
      <c r="H53" s="2112"/>
      <c r="I53" s="2112">
        <f>+I43+I50+I31</f>
        <v>2408896</v>
      </c>
      <c r="J53" s="2112"/>
      <c r="K53" s="2112">
        <f>+K43+K50+K31</f>
        <v>2513218</v>
      </c>
      <c r="L53" s="2112"/>
      <c r="M53" s="2112">
        <f>+M43+M50+M31</f>
        <v>2448341</v>
      </c>
      <c r="N53" s="2112"/>
      <c r="O53" s="2112">
        <f>+O43+O50+O31</f>
        <v>77698</v>
      </c>
      <c r="P53" s="2112"/>
      <c r="Q53" s="2112">
        <f>+Q43+Q50+Q31</f>
        <v>0</v>
      </c>
      <c r="R53" s="2112"/>
      <c r="S53" s="2112">
        <f>+S43+S50+S31</f>
        <v>4961559</v>
      </c>
      <c r="T53" s="2034"/>
      <c r="U53" s="2034"/>
      <c r="V53" s="2060"/>
      <c r="W53" s="2060"/>
      <c r="X53" s="1998"/>
      <c r="Y53" s="2038"/>
      <c r="Z53" s="2038"/>
      <c r="AA53" s="1998"/>
      <c r="AB53" s="2001"/>
      <c r="AC53" s="2001" t="s">
        <v>1231</v>
      </c>
      <c r="AD53" s="2001"/>
    </row>
    <row r="54" spans="1:30" x14ac:dyDescent="0.25">
      <c r="A54" s="2043"/>
      <c r="B54" s="2056"/>
      <c r="C54" s="2097"/>
      <c r="D54" s="2033"/>
      <c r="E54" s="2034"/>
      <c r="F54" s="2033"/>
      <c r="G54" s="2112"/>
      <c r="H54" s="2112"/>
      <c r="I54" s="2112"/>
      <c r="J54" s="2115"/>
      <c r="K54" s="2112"/>
      <c r="L54" s="2112"/>
      <c r="M54" s="2112"/>
      <c r="N54" s="2112"/>
      <c r="O54" s="2112"/>
      <c r="P54" s="2112"/>
      <c r="Q54" s="2112"/>
      <c r="R54" s="2112"/>
      <c r="S54" s="2112"/>
      <c r="T54" s="2034"/>
      <c r="U54" s="2034"/>
      <c r="V54" s="2060"/>
      <c r="W54" s="2060"/>
      <c r="X54" s="1998"/>
      <c r="Y54" s="2038"/>
      <c r="Z54" s="2038"/>
      <c r="AA54" s="1998"/>
      <c r="AB54" s="2001"/>
      <c r="AC54" s="2001">
        <f t="shared" si="0"/>
        <v>0</v>
      </c>
      <c r="AD54" s="2001"/>
    </row>
    <row r="55" spans="1:30" x14ac:dyDescent="0.25">
      <c r="A55" s="2113" t="s">
        <v>2206</v>
      </c>
      <c r="B55" s="2056"/>
      <c r="C55" s="2097"/>
      <c r="D55" s="2033"/>
      <c r="E55" s="2034"/>
      <c r="F55" s="2033"/>
      <c r="G55" s="2112"/>
      <c r="H55" s="2112"/>
      <c r="I55" s="2112"/>
      <c r="J55" s="2115"/>
      <c r="K55" s="2112"/>
      <c r="L55" s="2112"/>
      <c r="M55" s="2112"/>
      <c r="N55" s="2112"/>
      <c r="O55" s="2112"/>
      <c r="P55" s="2112"/>
      <c r="Q55" s="2112"/>
      <c r="R55" s="2112"/>
      <c r="S55" s="2112"/>
      <c r="T55" s="2034"/>
      <c r="U55" s="2034"/>
      <c r="V55" s="2060"/>
      <c r="W55" s="2060"/>
      <c r="X55" s="1998"/>
      <c r="Y55" s="2038"/>
      <c r="Z55" s="2038"/>
      <c r="AA55" s="1998"/>
      <c r="AB55" s="2001"/>
      <c r="AC55" s="2001">
        <f t="shared" si="0"/>
        <v>0</v>
      </c>
      <c r="AD55" s="2001"/>
    </row>
    <row r="56" spans="1:30" x14ac:dyDescent="0.25">
      <c r="A56" s="2113" t="s">
        <v>2167</v>
      </c>
      <c r="B56" s="2034"/>
      <c r="C56" s="2057"/>
      <c r="D56" s="2033"/>
      <c r="E56" s="2034"/>
      <c r="F56" s="2033"/>
      <c r="G56" s="2099"/>
      <c r="H56" s="2099"/>
      <c r="I56" s="2116"/>
      <c r="J56" s="2100"/>
      <c r="K56" s="2116"/>
      <c r="L56" s="2117"/>
      <c r="M56" s="2116"/>
      <c r="N56" s="2116"/>
      <c r="O56" s="2116"/>
      <c r="P56" s="2117"/>
      <c r="Q56" s="2116"/>
      <c r="R56" s="2100"/>
      <c r="S56" s="2101"/>
      <c r="T56" s="2118"/>
      <c r="U56" s="2119"/>
      <c r="V56" s="2060"/>
      <c r="W56" s="2060"/>
      <c r="X56" s="1998"/>
      <c r="Y56" s="2038"/>
      <c r="Z56" s="2038"/>
      <c r="AA56" s="1998"/>
      <c r="AB56" s="2120"/>
      <c r="AC56" s="2001">
        <f t="shared" si="0"/>
        <v>0</v>
      </c>
      <c r="AD56" s="2001"/>
    </row>
    <row r="57" spans="1:30" x14ac:dyDescent="0.25">
      <c r="A57" s="2113" t="s">
        <v>2207</v>
      </c>
      <c r="B57" s="2034"/>
      <c r="C57" s="2057"/>
      <c r="D57" s="2033"/>
      <c r="E57" s="2034"/>
      <c r="F57" s="2033"/>
      <c r="G57" s="2099"/>
      <c r="H57" s="2099"/>
      <c r="I57" s="2116"/>
      <c r="J57" s="2100"/>
      <c r="K57" s="2116"/>
      <c r="L57" s="2117"/>
      <c r="M57" s="2116" t="s">
        <v>1231</v>
      </c>
      <c r="N57" s="2116"/>
      <c r="O57" s="2116"/>
      <c r="P57" s="2117"/>
      <c r="Q57" s="2116"/>
      <c r="R57" s="2100"/>
      <c r="S57" s="2101" t="s">
        <v>1231</v>
      </c>
      <c r="T57" s="2118"/>
      <c r="U57" s="2119"/>
      <c r="V57" s="2060"/>
      <c r="W57" s="2060"/>
      <c r="X57" s="1998"/>
      <c r="Y57" s="2038"/>
      <c r="Z57" s="2038"/>
      <c r="AA57" s="1998"/>
      <c r="AB57" s="2120"/>
      <c r="AC57" s="2001">
        <f t="shared" si="0"/>
        <v>0</v>
      </c>
      <c r="AD57" s="2001"/>
    </row>
    <row r="58" spans="1:30" x14ac:dyDescent="0.25">
      <c r="A58" s="2033"/>
      <c r="B58" s="2034"/>
      <c r="C58" s="2057"/>
      <c r="D58" s="2033"/>
      <c r="E58" s="2034"/>
      <c r="F58" s="2033"/>
      <c r="G58" s="2099"/>
      <c r="H58" s="2099"/>
      <c r="I58" s="2116" t="s">
        <v>1231</v>
      </c>
      <c r="J58" s="2100"/>
      <c r="K58" s="2116" t="s">
        <v>1231</v>
      </c>
      <c r="L58" s="2117"/>
      <c r="M58" s="2116" t="s">
        <v>1231</v>
      </c>
      <c r="N58" s="2116"/>
      <c r="O58" s="2116"/>
      <c r="P58" s="2117"/>
      <c r="Q58" s="2116"/>
      <c r="R58" s="2100"/>
      <c r="S58" s="2101" t="s">
        <v>1231</v>
      </c>
      <c r="T58" s="2118"/>
      <c r="U58" s="2119"/>
      <c r="V58" s="2060"/>
      <c r="W58" s="2060"/>
      <c r="X58" s="1998"/>
      <c r="Y58" s="2038"/>
      <c r="Z58" s="2038"/>
      <c r="AA58" s="1998"/>
      <c r="AB58" s="2120"/>
      <c r="AC58" s="2001">
        <f t="shared" si="0"/>
        <v>0</v>
      </c>
      <c r="AD58" s="2001"/>
    </row>
    <row r="59" spans="1:30" x14ac:dyDescent="0.25">
      <c r="A59" s="2033"/>
      <c r="B59" s="2121" t="s">
        <v>2208</v>
      </c>
      <c r="C59" s="2057">
        <v>84.126000000000005</v>
      </c>
      <c r="D59" s="2033"/>
      <c r="E59" s="2045" t="s">
        <v>2209</v>
      </c>
      <c r="F59" s="2045"/>
      <c r="G59" s="2122"/>
      <c r="H59" s="2053"/>
      <c r="I59" s="2122">
        <v>3817</v>
      </c>
      <c r="J59" s="2106"/>
      <c r="K59" s="2122">
        <v>3817</v>
      </c>
      <c r="L59" s="2123"/>
      <c r="M59" s="2122"/>
      <c r="N59" s="2122"/>
      <c r="O59" s="2122"/>
      <c r="P59" s="2123"/>
      <c r="Q59" s="2124"/>
      <c r="R59" s="2106"/>
      <c r="S59" s="2049">
        <f>Q59+M59+K59</f>
        <v>3817</v>
      </c>
      <c r="T59" s="2123"/>
      <c r="U59" s="2108">
        <v>44242</v>
      </c>
      <c r="V59" s="2060" t="s">
        <v>2173</v>
      </c>
      <c r="W59" s="2060" t="s">
        <v>2174</v>
      </c>
      <c r="X59" s="1998"/>
      <c r="Y59" s="2038" t="s">
        <v>2175</v>
      </c>
      <c r="Z59" s="2038" t="s">
        <v>2175</v>
      </c>
      <c r="AA59" s="1998"/>
      <c r="AB59" s="2001"/>
      <c r="AC59" s="2001">
        <v>0</v>
      </c>
      <c r="AD59" s="2001"/>
    </row>
    <row r="60" spans="1:30" ht="17.25" x14ac:dyDescent="0.25">
      <c r="A60" s="2033"/>
      <c r="B60" s="2121" t="s">
        <v>2208</v>
      </c>
      <c r="C60" s="2057">
        <v>84.126000000000005</v>
      </c>
      <c r="D60" s="2033"/>
      <c r="E60" s="2045" t="s">
        <v>2107</v>
      </c>
      <c r="F60" s="2045"/>
      <c r="G60" s="2084">
        <v>0</v>
      </c>
      <c r="H60" s="2108" t="s">
        <v>1231</v>
      </c>
      <c r="I60" s="2084">
        <v>200</v>
      </c>
      <c r="J60" s="2045"/>
      <c r="K60" s="2084">
        <v>0</v>
      </c>
      <c r="L60" s="2108" t="s">
        <v>1231</v>
      </c>
      <c r="M60" s="2058">
        <v>200</v>
      </c>
      <c r="N60" s="2058"/>
      <c r="O60" s="2084">
        <v>0</v>
      </c>
      <c r="P60" s="2108"/>
      <c r="Q60" s="2084">
        <v>0</v>
      </c>
      <c r="R60" s="2058"/>
      <c r="S60" s="2078">
        <f>Q60+M60+K60</f>
        <v>200</v>
      </c>
      <c r="T60" s="2108"/>
      <c r="U60" s="2108">
        <v>44242</v>
      </c>
      <c r="V60" s="2060" t="s">
        <v>2173</v>
      </c>
      <c r="W60" s="2060" t="s">
        <v>2174</v>
      </c>
      <c r="X60" s="1998"/>
      <c r="Y60" s="2038"/>
      <c r="Z60" s="2038"/>
      <c r="AA60" s="1998"/>
      <c r="AB60" s="2120"/>
      <c r="AC60" s="2001">
        <v>0</v>
      </c>
      <c r="AD60" s="2001"/>
    </row>
    <row r="61" spans="1:30" ht="17.25" x14ac:dyDescent="0.25">
      <c r="A61" s="2113" t="s">
        <v>2210</v>
      </c>
      <c r="B61" s="2034"/>
      <c r="C61" s="2057"/>
      <c r="D61" s="2033"/>
      <c r="E61" s="2034"/>
      <c r="F61" s="2045"/>
      <c r="G61" s="2125">
        <f>SUM(G59:G60)</f>
        <v>0</v>
      </c>
      <c r="H61" s="2053"/>
      <c r="I61" s="2126">
        <f>SUM(I59:I60)</f>
        <v>4017</v>
      </c>
      <c r="J61" s="2125"/>
      <c r="K61" s="2125">
        <f>SUM(K59:K60)</f>
        <v>3817</v>
      </c>
      <c r="L61" s="2125"/>
      <c r="M61" s="2125">
        <f>SUM(M59:M60)</f>
        <v>200</v>
      </c>
      <c r="N61" s="2125"/>
      <c r="O61" s="2125">
        <f>SUM(O59:O60)</f>
        <v>0</v>
      </c>
      <c r="P61" s="2125"/>
      <c r="Q61" s="2084">
        <f>SUM(Q59:Q60)</f>
        <v>0</v>
      </c>
      <c r="R61" s="2125"/>
      <c r="S61" s="2125">
        <f>SUM(S59:S60)</f>
        <v>4017</v>
      </c>
      <c r="T61" s="2118"/>
      <c r="U61" s="2119" t="s">
        <v>1231</v>
      </c>
      <c r="V61" s="2060"/>
      <c r="W61" s="2060"/>
      <c r="X61" s="1998"/>
      <c r="Y61" s="2038"/>
      <c r="Z61" s="2038"/>
      <c r="AA61" s="1998"/>
      <c r="AB61" s="2120"/>
      <c r="AC61" s="2001" t="s">
        <v>1231</v>
      </c>
      <c r="AD61" s="2001"/>
    </row>
    <row r="62" spans="1:30" ht="10.15" customHeight="1" x14ac:dyDescent="0.25">
      <c r="A62" s="2127"/>
      <c r="B62" s="2056"/>
      <c r="C62" s="2097"/>
      <c r="D62" s="2033"/>
      <c r="E62" s="2033"/>
      <c r="F62" s="2045"/>
      <c r="G62" s="2058"/>
      <c r="H62" s="2053"/>
      <c r="I62" s="2058"/>
      <c r="J62" s="2106"/>
      <c r="K62" s="2058"/>
      <c r="L62" s="2053"/>
      <c r="M62" s="2058"/>
      <c r="N62" s="2058"/>
      <c r="O62" s="2058"/>
      <c r="P62" s="2053"/>
      <c r="Q62" s="2058"/>
      <c r="R62" s="2106"/>
      <c r="S62" s="2128"/>
      <c r="T62" s="2119"/>
      <c r="U62" s="2129"/>
      <c r="V62" s="2060"/>
      <c r="W62" s="2060"/>
      <c r="X62" s="1998"/>
      <c r="Y62" s="2038"/>
      <c r="Z62" s="2038"/>
      <c r="AA62" s="1998"/>
      <c r="AB62" s="2042"/>
      <c r="AC62" s="2001">
        <f t="shared" si="0"/>
        <v>0</v>
      </c>
      <c r="AD62" s="2001"/>
    </row>
    <row r="63" spans="1:30" ht="17.25" x14ac:dyDescent="0.25">
      <c r="A63" s="2032" t="s">
        <v>2211</v>
      </c>
      <c r="C63" s="2057"/>
      <c r="D63" s="2033"/>
      <c r="E63" s="2034"/>
      <c r="F63" s="2033"/>
      <c r="G63" s="2126"/>
      <c r="H63" s="2053"/>
      <c r="I63" s="2126"/>
      <c r="J63" s="2130"/>
      <c r="K63" s="2126"/>
      <c r="L63" s="2130"/>
      <c r="M63" s="2126"/>
      <c r="N63" s="2126"/>
      <c r="O63" s="2126"/>
      <c r="P63" s="2130"/>
      <c r="Q63" s="2126"/>
      <c r="R63" s="2130"/>
      <c r="S63" s="2126"/>
      <c r="T63" s="2118"/>
      <c r="U63" s="2119"/>
      <c r="V63" s="2060"/>
      <c r="W63" s="2060"/>
      <c r="X63" s="1998"/>
      <c r="Y63" s="2038"/>
      <c r="Z63" s="2038"/>
      <c r="AA63" s="1998"/>
      <c r="AB63" s="2120"/>
      <c r="AC63" s="2001">
        <f t="shared" si="0"/>
        <v>0</v>
      </c>
      <c r="AD63" s="2001"/>
    </row>
    <row r="64" spans="1:30" ht="10.15" customHeight="1" x14ac:dyDescent="0.25">
      <c r="A64" s="2131"/>
      <c r="C64" s="2057"/>
      <c r="D64" s="2033"/>
      <c r="E64" s="2034"/>
      <c r="F64" s="2033"/>
      <c r="G64" s="2126"/>
      <c r="H64" s="2053"/>
      <c r="I64" s="2126"/>
      <c r="J64" s="2130"/>
      <c r="K64" s="2126"/>
      <c r="L64" s="2130"/>
      <c r="M64" s="2126"/>
      <c r="N64" s="2126"/>
      <c r="O64" s="2126"/>
      <c r="P64" s="2130"/>
      <c r="Q64" s="2126"/>
      <c r="R64" s="2130"/>
      <c r="S64" s="2126"/>
      <c r="T64" s="2118"/>
      <c r="U64" s="2119"/>
      <c r="V64" s="2060"/>
      <c r="W64" s="2060"/>
      <c r="X64" s="1998"/>
      <c r="Y64" s="2038"/>
      <c r="Z64" s="2038"/>
      <c r="AA64" s="1998"/>
      <c r="AB64" s="2120"/>
      <c r="AC64" s="2001">
        <f t="shared" si="0"/>
        <v>0</v>
      </c>
      <c r="AD64" s="2001"/>
    </row>
    <row r="65" spans="1:30" ht="17.25" x14ac:dyDescent="0.25">
      <c r="A65" s="2032" t="s">
        <v>2167</v>
      </c>
      <c r="C65" s="2032"/>
      <c r="D65" s="2033"/>
      <c r="E65" s="2034"/>
      <c r="F65" s="2033"/>
      <c r="G65" s="2126"/>
      <c r="H65" s="2053"/>
      <c r="I65" s="2126"/>
      <c r="J65" s="2130"/>
      <c r="K65" s="2126"/>
      <c r="L65" s="2130"/>
      <c r="M65" s="2126"/>
      <c r="N65" s="2126"/>
      <c r="O65" s="2126"/>
      <c r="P65" s="2130"/>
      <c r="Q65" s="2126"/>
      <c r="R65" s="2130"/>
      <c r="S65" s="2126"/>
      <c r="T65" s="2118"/>
      <c r="U65" s="2119"/>
      <c r="V65" s="2060"/>
      <c r="W65" s="2060"/>
      <c r="X65" s="1998"/>
      <c r="Y65" s="2038"/>
      <c r="Z65" s="2038"/>
      <c r="AA65" s="1998"/>
      <c r="AB65" s="2120"/>
      <c r="AC65" s="2001">
        <f t="shared" si="0"/>
        <v>0</v>
      </c>
      <c r="AD65" s="2001"/>
    </row>
    <row r="66" spans="1:30" ht="17.25" x14ac:dyDescent="0.25">
      <c r="A66" s="2032" t="s">
        <v>2212</v>
      </c>
      <c r="C66" s="2057"/>
      <c r="D66" s="2033"/>
      <c r="E66" s="2034"/>
      <c r="F66" s="2033"/>
      <c r="G66" s="2126"/>
      <c r="H66" s="2053"/>
      <c r="I66" s="2126"/>
      <c r="J66" s="2130"/>
      <c r="K66" s="2126"/>
      <c r="L66" s="2130"/>
      <c r="M66" s="2126"/>
      <c r="N66" s="2126"/>
      <c r="O66" s="2126"/>
      <c r="P66" s="2130"/>
      <c r="Q66" s="2126"/>
      <c r="R66" s="2130"/>
      <c r="S66" s="2126"/>
      <c r="T66" s="2118"/>
      <c r="U66" s="2119"/>
      <c r="V66" s="2060"/>
      <c r="W66" s="2060"/>
      <c r="X66" s="1998"/>
      <c r="Y66" s="2038"/>
      <c r="Z66" s="2038"/>
      <c r="AA66" s="1998"/>
      <c r="AB66" s="2120"/>
      <c r="AC66" s="2001">
        <f t="shared" si="0"/>
        <v>0</v>
      </c>
      <c r="AD66" s="2001"/>
    </row>
    <row r="67" spans="1:30" ht="17.25" x14ac:dyDescent="0.25">
      <c r="A67" s="2113" t="s">
        <v>2213</v>
      </c>
      <c r="B67" s="2034"/>
      <c r="C67" s="2057"/>
      <c r="D67" s="2033"/>
      <c r="E67" s="2034"/>
      <c r="F67" s="2033"/>
      <c r="G67" s="2126"/>
      <c r="H67" s="2053"/>
      <c r="I67" s="2130" t="s">
        <v>1231</v>
      </c>
      <c r="J67" s="2130"/>
      <c r="K67" s="2126"/>
      <c r="L67" s="2130"/>
      <c r="M67" s="2130" t="s">
        <v>1231</v>
      </c>
      <c r="N67" s="2130"/>
      <c r="O67" s="2130"/>
      <c r="P67" s="2130"/>
      <c r="Q67" s="2126"/>
      <c r="R67" s="2130"/>
      <c r="S67" s="2126"/>
      <c r="T67" s="2118"/>
      <c r="U67" s="2119"/>
      <c r="V67" s="2060"/>
      <c r="W67" s="2060"/>
      <c r="X67" s="1998"/>
      <c r="Y67" s="2038"/>
      <c r="Z67" s="2038"/>
      <c r="AA67" s="1998"/>
      <c r="AB67" s="2120"/>
      <c r="AC67" s="2001">
        <f t="shared" si="0"/>
        <v>0</v>
      </c>
      <c r="AD67" s="2001"/>
    </row>
    <row r="68" spans="1:30" ht="10.9" customHeight="1" x14ac:dyDescent="0.25">
      <c r="A68" s="2113"/>
      <c r="B68" s="2034"/>
      <c r="C68" s="2057"/>
      <c r="D68" s="2033"/>
      <c r="E68" s="2034"/>
      <c r="F68" s="2033"/>
      <c r="G68" s="2126"/>
      <c r="H68" s="2053"/>
      <c r="I68" s="2130" t="s">
        <v>1231</v>
      </c>
      <c r="J68" s="2130"/>
      <c r="K68" s="2126"/>
      <c r="L68" s="2130"/>
      <c r="M68" s="2130"/>
      <c r="N68" s="2130"/>
      <c r="O68" s="2130"/>
      <c r="P68" s="2130"/>
      <c r="Q68" s="2126"/>
      <c r="R68" s="2130"/>
      <c r="S68" s="2126"/>
      <c r="T68" s="2118"/>
      <c r="U68" s="2119"/>
      <c r="V68" s="2061"/>
      <c r="W68" s="2061"/>
      <c r="X68" s="1998"/>
      <c r="Y68" s="2038"/>
      <c r="Z68" s="2038"/>
      <c r="AA68" s="1998"/>
      <c r="AB68" s="2120"/>
      <c r="AC68" s="2001">
        <f t="shared" si="0"/>
        <v>0</v>
      </c>
      <c r="AD68" s="2001"/>
    </row>
    <row r="69" spans="1:30" x14ac:dyDescent="0.25">
      <c r="A69" s="2132"/>
      <c r="B69" s="2034" t="s">
        <v>2214</v>
      </c>
      <c r="C69" s="2057">
        <v>93.778000000000006</v>
      </c>
      <c r="D69" s="2033"/>
      <c r="E69" s="2045" t="s">
        <v>2215</v>
      </c>
      <c r="F69" s="2033"/>
      <c r="G69" s="2130">
        <v>47377</v>
      </c>
      <c r="H69" s="2053"/>
      <c r="I69" s="2130">
        <v>20752</v>
      </c>
      <c r="J69" s="2130"/>
      <c r="K69" s="2130">
        <v>70967</v>
      </c>
      <c r="L69" s="2130"/>
      <c r="M69" s="2130"/>
      <c r="N69" s="2130"/>
      <c r="O69" s="2130"/>
      <c r="P69" s="2130"/>
      <c r="Q69" s="2130" t="s">
        <v>1231</v>
      </c>
      <c r="R69" s="2130"/>
      <c r="S69" s="2049">
        <f>+K69+M69</f>
        <v>70967</v>
      </c>
      <c r="T69" s="2118"/>
      <c r="U69" s="2119" t="s">
        <v>2172</v>
      </c>
      <c r="V69" s="2061" t="s">
        <v>2173</v>
      </c>
      <c r="W69" s="2061"/>
      <c r="X69" s="1998"/>
      <c r="Y69" s="2038" t="s">
        <v>2175</v>
      </c>
      <c r="Z69" s="2038" t="s">
        <v>2175</v>
      </c>
      <c r="AA69" s="1998"/>
      <c r="AB69" s="2120"/>
      <c r="AC69" s="2001">
        <v>0</v>
      </c>
      <c r="AD69" s="2001"/>
    </row>
    <row r="70" spans="1:30" ht="17.25" x14ac:dyDescent="0.25">
      <c r="A70" s="2132"/>
      <c r="B70" s="2034" t="s">
        <v>2214</v>
      </c>
      <c r="C70" s="2057">
        <v>93.778000000000006</v>
      </c>
      <c r="D70" s="2033"/>
      <c r="E70" s="2045" t="s">
        <v>2216</v>
      </c>
      <c r="F70" s="2033"/>
      <c r="G70" s="2084">
        <v>0</v>
      </c>
      <c r="H70" s="2053"/>
      <c r="I70" s="2126">
        <v>52245</v>
      </c>
      <c r="J70" s="2130"/>
      <c r="K70" s="2084">
        <v>0</v>
      </c>
      <c r="L70" s="2130"/>
      <c r="M70" s="2126">
        <v>77346</v>
      </c>
      <c r="N70" s="2126"/>
      <c r="O70" s="2084">
        <v>0</v>
      </c>
      <c r="P70" s="2130"/>
      <c r="Q70" s="2084">
        <v>0</v>
      </c>
      <c r="R70" s="2130"/>
      <c r="S70" s="2078">
        <f>+K70+M70+Q70</f>
        <v>77346</v>
      </c>
      <c r="T70" s="2118"/>
      <c r="U70" s="2053" t="s">
        <v>2172</v>
      </c>
      <c r="V70" s="2061" t="s">
        <v>2173</v>
      </c>
      <c r="W70" s="2061" t="s">
        <v>2174</v>
      </c>
      <c r="X70" s="1998"/>
      <c r="Y70" s="2038" t="s">
        <v>2175</v>
      </c>
      <c r="Z70" s="2038" t="s">
        <v>2175</v>
      </c>
      <c r="AA70" s="1998"/>
      <c r="AB70" s="2120"/>
      <c r="AC70" s="2001">
        <v>0</v>
      </c>
      <c r="AD70" s="2001"/>
    </row>
    <row r="71" spans="1:30" ht="17.25" x14ac:dyDescent="0.25">
      <c r="A71" s="2113" t="s">
        <v>2217</v>
      </c>
      <c r="B71" s="2034"/>
      <c r="C71" s="2133"/>
      <c r="D71" s="2034"/>
      <c r="E71" s="2034"/>
      <c r="F71" s="2033"/>
      <c r="G71" s="2126">
        <f>SUM(G69:G70)</f>
        <v>47377</v>
      </c>
      <c r="H71" s="2053"/>
      <c r="I71" s="2126">
        <f>SUM(I69:I70)</f>
        <v>72997</v>
      </c>
      <c r="J71" s="2130"/>
      <c r="K71" s="2126">
        <f>SUM(K69:K70)</f>
        <v>70967</v>
      </c>
      <c r="L71" s="2130"/>
      <c r="M71" s="2126">
        <f>SUM(M69:M70)</f>
        <v>77346</v>
      </c>
      <c r="N71" s="2126"/>
      <c r="O71" s="2126">
        <f>SUM(O69:O70)</f>
        <v>0</v>
      </c>
      <c r="P71" s="2130"/>
      <c r="Q71" s="2134">
        <f>SUM(Q70)</f>
        <v>0</v>
      </c>
      <c r="R71" s="2135"/>
      <c r="S71" s="2136">
        <f>SUM(S69:S70)</f>
        <v>148313</v>
      </c>
      <c r="T71" s="2118"/>
      <c r="U71" s="2119"/>
      <c r="V71" s="2060"/>
      <c r="W71" s="2060"/>
      <c r="X71" s="1998"/>
      <c r="Y71" s="2038"/>
      <c r="Z71" s="2038"/>
      <c r="AA71" s="1998"/>
      <c r="AB71" s="2120"/>
      <c r="AC71" s="2001" t="s">
        <v>1231</v>
      </c>
      <c r="AD71" s="2001"/>
    </row>
    <row r="72" spans="1:30" ht="17.25" x14ac:dyDescent="0.25">
      <c r="A72" s="2132"/>
      <c r="B72" s="2034"/>
      <c r="C72" s="2133"/>
      <c r="D72" s="2034"/>
      <c r="E72" s="2034"/>
      <c r="F72" s="2033"/>
      <c r="G72" s="2137"/>
      <c r="H72" s="2119"/>
      <c r="I72" s="2135" t="s">
        <v>1231</v>
      </c>
      <c r="J72" s="2135"/>
      <c r="K72" s="2137"/>
      <c r="L72" s="2135"/>
      <c r="M72" s="2137"/>
      <c r="N72" s="2137"/>
      <c r="O72" s="2137"/>
      <c r="P72" s="2135"/>
      <c r="Q72" s="2137"/>
      <c r="R72" s="2135"/>
      <c r="S72" s="2138"/>
      <c r="T72" s="2118"/>
      <c r="U72" s="2119"/>
      <c r="V72" s="2060"/>
      <c r="W72" s="2060"/>
      <c r="X72" s="1998"/>
      <c r="Y72" s="2038"/>
      <c r="Z72" s="2038"/>
      <c r="AA72" s="1998"/>
      <c r="AB72" s="2120"/>
      <c r="AC72" s="2001">
        <f t="shared" si="0"/>
        <v>0</v>
      </c>
      <c r="AD72" s="2001"/>
    </row>
    <row r="73" spans="1:30" ht="17.25" x14ac:dyDescent="0.25">
      <c r="A73" s="2113" t="s">
        <v>2218</v>
      </c>
      <c r="B73" s="2034"/>
      <c r="C73" s="2133"/>
      <c r="D73" s="2034"/>
      <c r="E73" s="2033"/>
      <c r="F73" s="2033"/>
      <c r="G73" s="2139">
        <f>+G53+G61+G71</f>
        <v>2518645</v>
      </c>
      <c r="H73" s="2139"/>
      <c r="I73" s="2139">
        <f>+I53++I61+I71</f>
        <v>2485910</v>
      </c>
      <c r="J73" s="2139"/>
      <c r="K73" s="2139">
        <f>+K53+K61+K71</f>
        <v>2588002</v>
      </c>
      <c r="L73" s="2139"/>
      <c r="M73" s="2139">
        <f>+M53++M61+M71</f>
        <v>2525887</v>
      </c>
      <c r="N73" s="2139"/>
      <c r="O73" s="2139">
        <f>+O53+O61+O71</f>
        <v>77698</v>
      </c>
      <c r="P73" s="2139"/>
      <c r="Q73" s="2139">
        <f>+Q53++Q61+Q71</f>
        <v>0</v>
      </c>
      <c r="R73" s="2139"/>
      <c r="S73" s="2139">
        <f>+S53+S61+S71</f>
        <v>5113889</v>
      </c>
      <c r="T73" s="2119"/>
      <c r="U73" s="2119"/>
      <c r="V73" s="2060"/>
      <c r="W73" s="2060"/>
      <c r="X73" s="2140">
        <f>SUM(X11:X72)</f>
        <v>2568414</v>
      </c>
      <c r="Y73" s="2038"/>
      <c r="Z73" s="2038"/>
      <c r="AA73" s="2140">
        <f>SUM(AA31:AA72)</f>
        <v>0</v>
      </c>
      <c r="AB73" s="2120"/>
      <c r="AC73" s="2140">
        <f>SUM(AC31:AC72)</f>
        <v>-79158</v>
      </c>
      <c r="AD73" s="2001" t="s">
        <v>1231</v>
      </c>
    </row>
    <row r="74" spans="1:30" ht="17.25" x14ac:dyDescent="0.25">
      <c r="A74" s="2113"/>
      <c r="B74" s="2034"/>
      <c r="C74" s="2133"/>
      <c r="D74" s="2034"/>
      <c r="E74" s="2033"/>
      <c r="F74" s="2033"/>
      <c r="G74" s="2139"/>
      <c r="H74" s="2139"/>
      <c r="I74" s="2139"/>
      <c r="J74" s="2139"/>
      <c r="K74" s="2139"/>
      <c r="L74" s="2139"/>
      <c r="M74" s="2139"/>
      <c r="N74" s="2139"/>
      <c r="O74" s="2139"/>
      <c r="P74" s="2139"/>
      <c r="Q74" s="2139"/>
      <c r="R74" s="2139"/>
      <c r="S74" s="2139"/>
      <c r="T74" s="2119"/>
      <c r="U74" s="2119"/>
      <c r="V74" s="2060"/>
      <c r="W74" s="2060"/>
      <c r="X74" s="1998"/>
      <c r="Y74" s="2038"/>
      <c r="Z74" s="2038"/>
      <c r="AA74" s="2038" t="s">
        <v>2219</v>
      </c>
      <c r="AB74" s="2120"/>
      <c r="AC74" s="2001">
        <f>+G74+I74-K74-M74</f>
        <v>0</v>
      </c>
      <c r="AD74" s="2001" t="s">
        <v>1231</v>
      </c>
    </row>
    <row r="75" spans="1:30" x14ac:dyDescent="0.25">
      <c r="A75" s="2132" t="s">
        <v>2220</v>
      </c>
      <c r="B75" s="2113"/>
      <c r="C75" s="2141"/>
      <c r="D75" s="2043"/>
      <c r="E75" s="2142"/>
      <c r="F75" s="2142"/>
      <c r="G75" s="2143">
        <f>+G53</f>
        <v>2471268</v>
      </c>
      <c r="H75" s="2143"/>
      <c r="I75" s="2143">
        <f>+I53</f>
        <v>2408896</v>
      </c>
      <c r="J75" s="2143"/>
      <c r="K75" s="2143">
        <f>+K53</f>
        <v>2513218</v>
      </c>
      <c r="L75" s="2143"/>
      <c r="M75" s="2143">
        <f>+M53</f>
        <v>2448341</v>
      </c>
      <c r="N75" s="2143"/>
      <c r="O75" s="2143">
        <f>+O53</f>
        <v>77698</v>
      </c>
      <c r="P75" s="2143"/>
      <c r="Q75" s="2143">
        <f>+Q53</f>
        <v>0</v>
      </c>
      <c r="R75" s="2143"/>
      <c r="S75" s="2143">
        <f>+S53</f>
        <v>4961559</v>
      </c>
      <c r="T75" s="2144"/>
      <c r="U75" s="2145"/>
      <c r="V75" s="2060"/>
      <c r="W75" s="2060"/>
      <c r="X75" s="2017" t="s">
        <v>2221</v>
      </c>
      <c r="Y75" s="2146"/>
      <c r="Z75" s="2146"/>
      <c r="AA75" s="1998"/>
      <c r="AB75" s="2147"/>
      <c r="AC75" s="2001" t="s">
        <v>1231</v>
      </c>
      <c r="AD75" s="2148" t="s">
        <v>1231</v>
      </c>
    </row>
    <row r="76" spans="1:30" x14ac:dyDescent="0.25">
      <c r="A76" s="2034"/>
      <c r="B76" s="2034"/>
      <c r="C76" s="2034"/>
      <c r="D76" s="2034"/>
      <c r="E76" s="2034"/>
      <c r="F76" s="2034"/>
      <c r="G76" s="2034"/>
      <c r="H76" s="2149"/>
      <c r="I76" s="2149"/>
      <c r="J76" s="2150"/>
      <c r="K76" s="2149"/>
      <c r="L76" s="2149"/>
      <c r="M76" s="2149"/>
      <c r="N76" s="2149"/>
      <c r="O76" s="2149"/>
      <c r="P76" s="2149"/>
      <c r="Q76" s="2149"/>
      <c r="R76" s="2150"/>
      <c r="S76" s="2149"/>
      <c r="T76" s="2149"/>
      <c r="U76" s="2149"/>
      <c r="V76" s="2060"/>
      <c r="W76" s="2060"/>
      <c r="X76" s="2151">
        <f>+X73/M79</f>
        <v>1.0168364618052985</v>
      </c>
      <c r="Y76" s="2146"/>
      <c r="Z76" s="2146"/>
      <c r="AA76" s="1998"/>
      <c r="AB76" s="2152"/>
      <c r="AC76" s="2001" t="s">
        <v>1231</v>
      </c>
      <c r="AD76" s="2153" t="s">
        <v>1231</v>
      </c>
    </row>
    <row r="77" spans="1:30" ht="17.25" x14ac:dyDescent="0.25">
      <c r="A77" s="2043" t="s">
        <v>2222</v>
      </c>
      <c r="B77" s="2034"/>
      <c r="C77" s="2034"/>
      <c r="D77" s="2034"/>
      <c r="E77" s="2034"/>
      <c r="F77" s="2034"/>
      <c r="G77" s="2136">
        <f>+G61+G71</f>
        <v>47377</v>
      </c>
      <c r="H77" s="2136"/>
      <c r="I77" s="2136">
        <f>+I61+I71</f>
        <v>77014</v>
      </c>
      <c r="J77" s="2136"/>
      <c r="K77" s="2136">
        <f>+K61+K71</f>
        <v>74784</v>
      </c>
      <c r="L77" s="2136"/>
      <c r="M77" s="2136">
        <f>+M61+M71</f>
        <v>77546</v>
      </c>
      <c r="N77" s="2136"/>
      <c r="O77" s="2136">
        <f>+O61+O71</f>
        <v>0</v>
      </c>
      <c r="P77" s="2136"/>
      <c r="Q77" s="2136">
        <f>+Q61+Q71</f>
        <v>0</v>
      </c>
      <c r="R77" s="2136"/>
      <c r="S77" s="2136">
        <f>+S61+S71</f>
        <v>152330</v>
      </c>
      <c r="T77" s="2149"/>
      <c r="U77" s="2149"/>
      <c r="V77" s="2060"/>
      <c r="W77" s="2060"/>
      <c r="X77" s="2103"/>
      <c r="Y77" s="2146"/>
      <c r="Z77" s="2146"/>
      <c r="AA77" s="1998"/>
      <c r="AB77" s="2152"/>
      <c r="AC77" s="2001" t="s">
        <v>1231</v>
      </c>
      <c r="AD77" s="2001" t="s">
        <v>1231</v>
      </c>
    </row>
    <row r="78" spans="1:30" x14ac:dyDescent="0.25">
      <c r="A78" s="2034"/>
      <c r="B78" s="2034"/>
      <c r="C78" s="2034"/>
      <c r="D78" s="2034"/>
      <c r="E78" s="2034"/>
      <c r="F78" s="2034"/>
      <c r="G78" s="2034"/>
      <c r="H78" s="2149"/>
      <c r="I78" s="2149"/>
      <c r="J78" s="2150"/>
      <c r="K78" s="2149"/>
      <c r="L78" s="2149"/>
      <c r="M78" s="2149"/>
      <c r="N78" s="2149"/>
      <c r="O78" s="2149"/>
      <c r="P78" s="2149"/>
      <c r="Q78" s="2149"/>
      <c r="R78" s="2150"/>
      <c r="S78" s="2149"/>
      <c r="T78" s="2149"/>
      <c r="U78" s="2149"/>
      <c r="V78" s="2155"/>
      <c r="W78" s="2155"/>
      <c r="X78" s="2103"/>
      <c r="Y78" s="2146"/>
      <c r="Z78" s="2146"/>
      <c r="AA78" s="1998"/>
      <c r="AB78" s="2152"/>
      <c r="AC78" s="2001" t="s">
        <v>1231</v>
      </c>
      <c r="AD78" s="2001" t="s">
        <v>1231</v>
      </c>
    </row>
    <row r="79" spans="1:30" ht="17.25" x14ac:dyDescent="0.25">
      <c r="A79" s="2043" t="s">
        <v>2218</v>
      </c>
      <c r="B79" s="2034"/>
      <c r="C79" s="2034"/>
      <c r="D79" s="2034"/>
      <c r="E79" s="2034"/>
      <c r="F79" s="2034"/>
      <c r="G79" s="2139">
        <f>G75+G77</f>
        <v>2518645</v>
      </c>
      <c r="H79" s="2139"/>
      <c r="I79" s="2139">
        <f>I75+I77</f>
        <v>2485910</v>
      </c>
      <c r="J79" s="2139"/>
      <c r="K79" s="2139">
        <f>K75+K77</f>
        <v>2588002</v>
      </c>
      <c r="L79" s="2139"/>
      <c r="M79" s="2139">
        <f>M75+M77</f>
        <v>2525887</v>
      </c>
      <c r="N79" s="2139"/>
      <c r="O79" s="2139">
        <f>O75+O77</f>
        <v>77698</v>
      </c>
      <c r="P79" s="2139"/>
      <c r="Q79" s="2139">
        <f>Q75+Q77</f>
        <v>0</v>
      </c>
      <c r="R79" s="2139"/>
      <c r="S79" s="2139">
        <f>S75+S77</f>
        <v>5113889</v>
      </c>
      <c r="T79" s="2149"/>
      <c r="U79" s="2001"/>
      <c r="V79" s="2060"/>
      <c r="W79" s="2060"/>
      <c r="X79" s="2140" t="e">
        <f>SUM(#REF!)</f>
        <v>#REF!</v>
      </c>
      <c r="Y79" s="2038"/>
      <c r="Z79" s="2146"/>
      <c r="AA79" s="1998"/>
      <c r="AB79" s="2152"/>
      <c r="AC79" s="2001" t="s">
        <v>1231</v>
      </c>
      <c r="AD79" s="2001" t="s">
        <v>1231</v>
      </c>
    </row>
    <row r="80" spans="1:30" x14ac:dyDescent="0.25">
      <c r="A80" s="2034"/>
      <c r="B80" s="2034"/>
      <c r="C80" s="2034"/>
      <c r="D80" s="2034"/>
      <c r="E80" s="2034"/>
      <c r="F80" s="2034"/>
      <c r="G80" s="2034"/>
      <c r="H80" s="2149"/>
      <c r="I80" s="2149"/>
      <c r="J80" s="2150"/>
      <c r="K80" s="2149"/>
      <c r="L80" s="2149"/>
      <c r="M80" s="2149"/>
      <c r="N80" s="2149"/>
      <c r="O80" s="2149"/>
      <c r="P80" s="2149"/>
      <c r="Q80" s="2149"/>
      <c r="R80" s="2150"/>
      <c r="S80" s="2149"/>
      <c r="T80" s="2149"/>
      <c r="U80" s="2001"/>
      <c r="V80" s="2060"/>
      <c r="W80" s="2060"/>
      <c r="X80" s="2156" t="e">
        <f>+X79/M87</f>
        <v>#REF!</v>
      </c>
      <c r="Y80" s="2038"/>
      <c r="Z80" s="2146"/>
      <c r="AA80" s="2103"/>
      <c r="AB80" s="2152"/>
      <c r="AC80" s="2001"/>
      <c r="AD80" s="2001" t="s">
        <v>1231</v>
      </c>
    </row>
    <row r="81" spans="1:30" ht="15.75" thickBot="1" x14ac:dyDescent="0.3">
      <c r="A81" s="2034" t="s">
        <v>2223</v>
      </c>
      <c r="B81" s="2034"/>
      <c r="C81" s="2034"/>
      <c r="D81" s="2034"/>
      <c r="E81" s="2033"/>
      <c r="F81" s="2033"/>
      <c r="G81" s="2149"/>
      <c r="H81" s="2149"/>
      <c r="I81" s="2149" t="s">
        <v>1231</v>
      </c>
      <c r="J81" s="2150"/>
      <c r="K81" s="2149"/>
      <c r="L81" s="2149"/>
      <c r="M81" s="2149"/>
      <c r="N81" s="2149"/>
      <c r="O81" s="2149"/>
      <c r="P81" s="2149"/>
      <c r="Q81" s="2149"/>
      <c r="R81" s="2150"/>
      <c r="S81" s="2149"/>
      <c r="T81" s="2149"/>
      <c r="U81" s="2001"/>
      <c r="V81" s="2060"/>
      <c r="W81" s="2060"/>
      <c r="X81" s="2157" t="e">
        <f>+X79/M79</f>
        <v>#REF!</v>
      </c>
      <c r="Y81" s="2038"/>
      <c r="Z81" s="2146"/>
      <c r="AA81" s="2103"/>
      <c r="AB81" s="2152"/>
      <c r="AC81" s="2001"/>
      <c r="AD81" s="2001"/>
    </row>
    <row r="82" spans="1:30" ht="15.75" thickTop="1" x14ac:dyDescent="0.25">
      <c r="A82" s="2056" t="s">
        <v>2224</v>
      </c>
      <c r="B82" s="2034"/>
      <c r="C82" s="2034"/>
      <c r="D82" s="2034"/>
      <c r="E82" s="2033"/>
      <c r="F82" s="2033"/>
      <c r="G82" s="2149"/>
      <c r="H82" s="2149"/>
      <c r="I82" s="2149"/>
      <c r="J82" s="2150"/>
      <c r="K82" s="2149"/>
      <c r="L82" s="2149"/>
      <c r="M82" s="2149"/>
      <c r="N82" s="2149"/>
      <c r="O82" s="2149"/>
      <c r="P82" s="2149"/>
      <c r="Q82" s="2149"/>
      <c r="R82" s="2150"/>
      <c r="S82" s="2149"/>
      <c r="T82" s="2149"/>
      <c r="U82" s="2001"/>
      <c r="V82" s="2060"/>
      <c r="W82" s="2060"/>
      <c r="X82" s="2017" t="s">
        <v>2225</v>
      </c>
      <c r="Y82" s="2146"/>
      <c r="Z82" s="2146"/>
      <c r="AA82" s="2103"/>
      <c r="AB82" s="2152"/>
      <c r="AC82" s="2001"/>
      <c r="AD82" s="2001"/>
    </row>
    <row r="83" spans="1:30" x14ac:dyDescent="0.25">
      <c r="A83" s="2034" t="s">
        <v>2226</v>
      </c>
      <c r="B83" s="2034"/>
      <c r="C83" s="2034"/>
      <c r="D83" s="2034"/>
      <c r="E83" s="2033"/>
      <c r="F83" s="2033"/>
      <c r="G83" s="2149"/>
      <c r="H83" s="2149"/>
      <c r="I83" s="2149"/>
      <c r="J83" s="2150"/>
      <c r="K83" s="2149"/>
      <c r="L83" s="2149"/>
      <c r="M83" s="2149"/>
      <c r="N83" s="2149"/>
      <c r="O83" s="2149"/>
      <c r="P83" s="2149"/>
      <c r="Q83" s="2149"/>
      <c r="R83" s="2150"/>
      <c r="S83" s="2149"/>
      <c r="T83" s="2149"/>
      <c r="U83" s="2158"/>
      <c r="V83" s="2155"/>
      <c r="W83" s="2155"/>
      <c r="X83" s="2017" t="s">
        <v>2221</v>
      </c>
      <c r="Y83" s="2146"/>
      <c r="Z83" s="2146"/>
      <c r="AA83" s="2103"/>
      <c r="AB83" s="2152"/>
      <c r="AC83" s="2001"/>
      <c r="AD83" s="2001"/>
    </row>
    <row r="84" spans="1:30" x14ac:dyDescent="0.25">
      <c r="A84" s="2056" t="s">
        <v>2227</v>
      </c>
      <c r="B84" s="2034"/>
      <c r="C84" s="2034"/>
      <c r="D84" s="2034"/>
      <c r="E84" s="2033"/>
      <c r="F84" s="2033"/>
      <c r="G84" s="2149"/>
      <c r="H84" s="2149"/>
      <c r="I84" s="2149"/>
      <c r="J84" s="2150"/>
      <c r="K84" s="2149"/>
      <c r="L84" s="2149"/>
      <c r="M84" s="2149"/>
      <c r="N84" s="2149"/>
      <c r="O84" s="2149"/>
      <c r="P84" s="2149"/>
      <c r="Q84" s="2149"/>
      <c r="R84" s="2150"/>
      <c r="S84" s="2149"/>
      <c r="T84" s="2149"/>
      <c r="U84" s="2158"/>
      <c r="V84" s="2060"/>
      <c r="W84" s="2060"/>
      <c r="X84" s="2103"/>
      <c r="Y84" s="2146"/>
      <c r="Z84" s="2146"/>
      <c r="AA84" s="2103"/>
      <c r="AB84" s="2152"/>
      <c r="AC84" s="2001"/>
      <c r="AD84" s="2001"/>
    </row>
    <row r="85" spans="1:30" x14ac:dyDescent="0.25">
      <c r="A85" s="2056"/>
      <c r="B85" s="2034"/>
      <c r="C85" s="2034"/>
      <c r="D85" s="2034"/>
      <c r="E85" s="2033"/>
      <c r="F85" s="2033"/>
      <c r="G85" s="2149"/>
      <c r="H85" s="2149"/>
      <c r="I85" s="2149"/>
      <c r="J85" s="2150"/>
      <c r="K85" s="2149"/>
      <c r="L85" s="2149"/>
      <c r="M85" s="2149"/>
      <c r="N85" s="2149"/>
      <c r="O85" s="2149"/>
      <c r="P85" s="2149"/>
      <c r="Q85" s="2149"/>
      <c r="R85" s="2150"/>
      <c r="S85" s="2149"/>
      <c r="T85" s="2149"/>
      <c r="U85" s="2149"/>
      <c r="V85" s="2155"/>
      <c r="W85" s="2155"/>
      <c r="X85" s="2103"/>
      <c r="Y85" s="2146"/>
      <c r="Z85" s="2146"/>
      <c r="AA85" s="2103"/>
      <c r="AB85" s="2152"/>
      <c r="AC85" s="2001"/>
      <c r="AD85" s="2001"/>
    </row>
    <row r="86" spans="1:30" x14ac:dyDescent="0.25">
      <c r="A86" s="2056" t="s">
        <v>1231</v>
      </c>
      <c r="B86" s="2043" t="s">
        <v>2228</v>
      </c>
      <c r="C86" s="2133"/>
      <c r="D86" s="2034"/>
      <c r="E86" s="2034"/>
      <c r="F86" s="2033"/>
      <c r="G86" s="2150" t="s">
        <v>2229</v>
      </c>
      <c r="H86" s="2150"/>
      <c r="I86" s="2150" t="s">
        <v>2230</v>
      </c>
      <c r="J86" s="2150"/>
      <c r="K86" s="2149"/>
      <c r="L86" s="2149"/>
      <c r="M86" s="2149"/>
      <c r="N86" s="2149"/>
      <c r="O86" s="2149"/>
      <c r="P86" s="2149"/>
      <c r="Q86" s="2149"/>
      <c r="R86" s="2150"/>
      <c r="S86" s="2149"/>
      <c r="T86" s="2149"/>
      <c r="U86" s="2149"/>
      <c r="V86" s="2155"/>
      <c r="W86" s="2155"/>
      <c r="X86" s="2103"/>
      <c r="Y86" s="2146"/>
      <c r="Z86" s="2146"/>
      <c r="AA86" s="2103"/>
      <c r="AB86" s="2152"/>
      <c r="AC86" s="2001"/>
      <c r="AD86" s="2001"/>
    </row>
    <row r="87" spans="1:30" ht="17.25" x14ac:dyDescent="0.25">
      <c r="B87" s="2034" t="s">
        <v>2231</v>
      </c>
      <c r="C87" s="2133"/>
      <c r="D87" s="2034"/>
      <c r="E87" s="2034"/>
      <c r="F87" s="2033"/>
      <c r="G87" s="2160">
        <v>17247</v>
      </c>
      <c r="H87" s="2161"/>
      <c r="I87" s="2162">
        <f>O18</f>
        <v>20743</v>
      </c>
      <c r="J87" s="2163"/>
      <c r="K87" s="2160"/>
      <c r="L87" s="2164"/>
      <c r="M87" s="2164"/>
      <c r="N87" s="2164"/>
      <c r="O87" s="2164"/>
      <c r="P87" s="2164"/>
      <c r="Q87" s="2164"/>
      <c r="R87" s="2163"/>
      <c r="S87" s="2164"/>
      <c r="T87" s="2164"/>
      <c r="U87" s="2164"/>
      <c r="V87" s="2060"/>
      <c r="W87" s="2060"/>
      <c r="X87" s="2103"/>
      <c r="Y87" s="2146"/>
      <c r="Z87" s="2146"/>
      <c r="AA87" s="2103"/>
      <c r="AB87" s="2152"/>
      <c r="AC87" s="2001"/>
      <c r="AD87" s="2001"/>
    </row>
    <row r="88" spans="1:30" ht="6.75" customHeight="1" x14ac:dyDescent="0.25">
      <c r="B88" s="2034"/>
      <c r="C88" s="2133"/>
      <c r="D88" s="2034"/>
      <c r="E88" s="2034"/>
      <c r="F88" s="2033"/>
      <c r="G88" s="2160"/>
      <c r="H88" s="2161"/>
      <c r="I88" s="2160"/>
      <c r="J88" s="2163"/>
      <c r="K88" s="2160"/>
      <c r="L88" s="2164"/>
      <c r="M88" s="2164"/>
      <c r="N88" s="2164"/>
      <c r="O88" s="2164"/>
      <c r="P88" s="2164"/>
      <c r="Q88" s="2164"/>
      <c r="R88" s="2163"/>
      <c r="S88" s="2164"/>
      <c r="T88" s="2164"/>
      <c r="U88" s="2164"/>
      <c r="V88" s="2060"/>
      <c r="W88" s="2060"/>
      <c r="X88" s="2103"/>
      <c r="Y88" s="2146"/>
      <c r="Z88" s="2146"/>
      <c r="AA88" s="2103"/>
      <c r="AB88" s="2152"/>
      <c r="AC88" s="2001"/>
      <c r="AD88" s="2001"/>
    </row>
    <row r="89" spans="1:30" ht="19.5" customHeight="1" x14ac:dyDescent="0.25">
      <c r="B89" s="2043" t="s">
        <v>2232</v>
      </c>
      <c r="C89" s="2133"/>
      <c r="D89" s="2034"/>
      <c r="E89" s="2034"/>
      <c r="F89" s="2033"/>
      <c r="G89" s="2160"/>
      <c r="H89" s="2161"/>
      <c r="I89" s="2160"/>
      <c r="J89" s="2163"/>
      <c r="K89" s="2160"/>
      <c r="L89" s="2164"/>
      <c r="M89" s="2164"/>
      <c r="N89" s="2164"/>
      <c r="O89" s="2164"/>
      <c r="P89" s="2164"/>
      <c r="Q89" s="2164"/>
      <c r="R89" s="2163"/>
      <c r="S89" s="2164"/>
      <c r="T89" s="2164"/>
      <c r="U89" s="2164"/>
      <c r="V89" s="2060"/>
      <c r="W89" s="2060"/>
      <c r="X89" s="2103"/>
      <c r="Y89" s="2146"/>
      <c r="Z89" s="2146"/>
      <c r="AA89" s="2103"/>
      <c r="AB89" s="2152"/>
      <c r="AC89" s="2001"/>
      <c r="AD89" s="2001"/>
    </row>
    <row r="90" spans="1:30" ht="18" customHeight="1" x14ac:dyDescent="0.25">
      <c r="B90" s="2034" t="s">
        <v>2231</v>
      </c>
      <c r="C90" s="2133"/>
      <c r="D90" s="2034"/>
      <c r="E90" s="2034"/>
      <c r="F90" s="2033"/>
      <c r="G90" s="2160">
        <v>10659</v>
      </c>
      <c r="H90" s="2161"/>
      <c r="I90" s="2162">
        <v>12597</v>
      </c>
      <c r="J90" s="2163"/>
      <c r="K90" s="2160"/>
      <c r="L90" s="2164"/>
      <c r="M90" s="2164"/>
      <c r="N90" s="2164"/>
      <c r="O90" s="2164"/>
      <c r="P90" s="2164"/>
      <c r="Q90" s="2164"/>
      <c r="R90" s="2163"/>
      <c r="S90" s="2164"/>
      <c r="T90" s="2164"/>
      <c r="U90" s="2164"/>
      <c r="V90" s="2060"/>
      <c r="W90" s="2060"/>
      <c r="X90" s="2103"/>
      <c r="Y90" s="2146"/>
      <c r="Z90" s="2146"/>
      <c r="AA90" s="2103"/>
      <c r="AB90" s="2152"/>
      <c r="AC90" s="2001"/>
      <c r="AD90" s="2001"/>
    </row>
    <row r="91" spans="1:30" ht="7.5" customHeight="1" x14ac:dyDescent="0.25">
      <c r="B91" s="2034"/>
      <c r="C91" s="2133"/>
      <c r="D91" s="2034"/>
      <c r="E91" s="2034"/>
      <c r="F91" s="2033"/>
      <c r="G91" s="2160"/>
      <c r="H91" s="2161"/>
      <c r="I91" s="2160"/>
      <c r="J91" s="2163"/>
      <c r="K91" s="2160"/>
      <c r="L91" s="2164"/>
      <c r="M91" s="2164"/>
      <c r="N91" s="2164"/>
      <c r="O91" s="2164"/>
      <c r="P91" s="2164"/>
      <c r="Q91" s="2164"/>
      <c r="R91" s="2163"/>
      <c r="S91" s="2164"/>
      <c r="T91" s="2164"/>
      <c r="U91" s="2164"/>
      <c r="V91" s="2060"/>
      <c r="W91" s="2060"/>
      <c r="X91" s="2103"/>
      <c r="Y91" s="2146"/>
      <c r="Z91" s="2146"/>
      <c r="AA91" s="2103"/>
      <c r="AB91" s="2152"/>
      <c r="AC91" s="2001"/>
      <c r="AD91" s="2001"/>
    </row>
    <row r="92" spans="1:30" ht="7.5" customHeight="1" x14ac:dyDescent="0.25">
      <c r="B92" s="2034"/>
      <c r="C92" s="2133"/>
      <c r="D92" s="2034"/>
      <c r="E92" s="2034"/>
      <c r="F92" s="2033"/>
      <c r="G92" s="2160"/>
      <c r="H92" s="2161"/>
      <c r="I92" s="2160"/>
      <c r="J92" s="2163"/>
      <c r="K92" s="2160"/>
      <c r="L92" s="2164"/>
      <c r="M92" s="2164"/>
      <c r="N92" s="2164"/>
      <c r="O92" s="2164"/>
      <c r="P92" s="2164"/>
      <c r="Q92" s="2164"/>
      <c r="R92" s="2163"/>
      <c r="S92" s="2164"/>
      <c r="T92" s="2164"/>
      <c r="U92" s="2164"/>
      <c r="V92" s="2060"/>
      <c r="W92" s="2060"/>
      <c r="X92" s="2103"/>
      <c r="Y92" s="2146"/>
      <c r="Z92" s="2146"/>
      <c r="AA92" s="2103"/>
      <c r="AB92" s="2152"/>
      <c r="AC92" s="2001"/>
      <c r="AD92" s="2001"/>
    </row>
    <row r="93" spans="1:30" ht="15" customHeight="1" x14ac:dyDescent="0.25">
      <c r="B93" s="2056" t="s">
        <v>2233</v>
      </c>
      <c r="C93" s="2133"/>
      <c r="D93" s="2034"/>
      <c r="E93" s="2034"/>
      <c r="F93" s="2033"/>
      <c r="G93" s="2165">
        <v>0</v>
      </c>
      <c r="H93" s="2161"/>
      <c r="I93" s="2165">
        <v>2237</v>
      </c>
      <c r="J93" s="2163"/>
      <c r="K93" s="2160"/>
      <c r="L93" s="2164"/>
      <c r="M93" s="2164"/>
      <c r="N93" s="2164"/>
      <c r="O93" s="2164"/>
      <c r="P93" s="2164"/>
      <c r="Q93" s="2164"/>
      <c r="R93" s="2163"/>
      <c r="S93" s="2164"/>
      <c r="T93" s="2164"/>
      <c r="U93" s="2164"/>
      <c r="V93" s="2060"/>
      <c r="W93" s="2060"/>
      <c r="X93" s="2103"/>
      <c r="Y93" s="2146"/>
      <c r="Z93" s="2146"/>
      <c r="AA93" s="2103"/>
      <c r="AB93" s="2152"/>
      <c r="AC93" s="2001"/>
      <c r="AD93" s="2001"/>
    </row>
    <row r="94" spans="1:30" ht="15.75" customHeight="1" x14ac:dyDescent="0.25">
      <c r="B94" s="2056"/>
      <c r="C94" s="2133"/>
      <c r="D94" s="2034"/>
      <c r="E94" s="2034"/>
      <c r="F94" s="2033"/>
      <c r="G94" s="2160"/>
      <c r="H94" s="2161"/>
      <c r="I94" s="2160"/>
      <c r="J94" s="2163"/>
      <c r="K94" s="2160"/>
      <c r="L94" s="2164"/>
      <c r="M94" s="2164"/>
      <c r="N94" s="2164"/>
      <c r="O94" s="2164"/>
      <c r="P94" s="2164"/>
      <c r="Q94" s="2164"/>
      <c r="R94" s="2163"/>
      <c r="S94" s="2164"/>
      <c r="T94" s="2164"/>
      <c r="U94" s="2164"/>
      <c r="V94" s="2060"/>
      <c r="W94" s="2060"/>
      <c r="X94" s="2103"/>
      <c r="Y94" s="2146"/>
      <c r="Z94" s="2146"/>
      <c r="AA94" s="2103"/>
      <c r="AB94" s="2152"/>
      <c r="AC94" s="2001"/>
      <c r="AD94" s="2001"/>
    </row>
    <row r="95" spans="1:30" ht="15.75" customHeight="1" x14ac:dyDescent="0.25">
      <c r="B95" s="2056"/>
      <c r="C95" s="2133"/>
      <c r="D95" s="2034"/>
      <c r="E95" s="2034"/>
      <c r="F95" s="2033"/>
      <c r="G95" s="2160"/>
      <c r="H95" s="2161"/>
      <c r="I95" s="2160"/>
      <c r="J95" s="2163"/>
      <c r="K95" s="2160"/>
      <c r="L95" s="2164"/>
      <c r="M95" s="2164"/>
      <c r="N95" s="2164"/>
      <c r="O95" s="2164"/>
      <c r="P95" s="2164"/>
      <c r="Q95" s="2164"/>
      <c r="R95" s="2163"/>
      <c r="S95" s="2164"/>
      <c r="T95" s="2164"/>
      <c r="U95" s="2164"/>
      <c r="V95" s="2060"/>
      <c r="W95" s="2060"/>
      <c r="X95" s="2103"/>
      <c r="Y95" s="2146"/>
      <c r="Z95" s="2146"/>
      <c r="AA95" s="2103"/>
      <c r="AB95" s="2152"/>
      <c r="AC95" s="2001"/>
      <c r="AD95" s="2001"/>
    </row>
    <row r="96" spans="1:30" ht="15.75" customHeight="1" x14ac:dyDescent="0.25">
      <c r="A96" s="2159" t="s">
        <v>1231</v>
      </c>
      <c r="B96" s="2043" t="s">
        <v>2234</v>
      </c>
      <c r="C96" s="2133"/>
      <c r="D96" s="2034"/>
      <c r="E96" s="2034"/>
      <c r="F96" s="2033"/>
      <c r="G96" s="2161"/>
      <c r="H96" s="2161"/>
      <c r="I96" s="2161"/>
      <c r="J96" s="2163"/>
      <c r="K96" s="2161"/>
      <c r="L96" s="2164"/>
      <c r="M96" s="2164"/>
      <c r="N96" s="2164"/>
      <c r="O96" s="2164"/>
      <c r="P96" s="2164"/>
      <c r="Q96" s="2164"/>
      <c r="R96" s="2163"/>
      <c r="S96" s="2164"/>
      <c r="T96" s="2164"/>
      <c r="U96" s="2164"/>
      <c r="V96" s="2060"/>
      <c r="W96" s="2060"/>
      <c r="X96" s="2103"/>
      <c r="Y96" s="2146"/>
      <c r="Z96" s="2146"/>
      <c r="AA96" s="2103"/>
      <c r="AB96" s="2166"/>
      <c r="AC96" s="2001"/>
      <c r="AD96" s="2001"/>
    </row>
    <row r="97" spans="1:30" hidden="1" x14ac:dyDescent="0.25">
      <c r="B97" s="2034" t="s">
        <v>2231</v>
      </c>
      <c r="C97" s="2133"/>
      <c r="D97" s="2034"/>
      <c r="E97" s="2034"/>
      <c r="F97" s="2033"/>
      <c r="G97" s="2161">
        <v>0</v>
      </c>
      <c r="H97" s="2161"/>
      <c r="I97" s="2161">
        <v>0</v>
      </c>
      <c r="J97" s="2163"/>
      <c r="K97" s="2161"/>
      <c r="L97" s="2164"/>
      <c r="M97" s="2164"/>
      <c r="N97" s="2164"/>
      <c r="O97" s="2164"/>
      <c r="P97" s="2164"/>
      <c r="Q97" s="2164"/>
      <c r="R97" s="2163"/>
      <c r="S97" s="2164"/>
      <c r="T97" s="2164"/>
      <c r="U97" s="2164"/>
      <c r="V97" s="2060"/>
      <c r="W97" s="2060"/>
      <c r="X97" s="2103"/>
      <c r="Y97" s="2146"/>
      <c r="Z97" s="2146"/>
      <c r="AA97" s="2103"/>
      <c r="AB97" s="2166"/>
      <c r="AC97" s="2001"/>
      <c r="AD97" s="2001"/>
    </row>
    <row r="98" spans="1:30" x14ac:dyDescent="0.25">
      <c r="B98" s="2034" t="s">
        <v>2235</v>
      </c>
      <c r="C98" s="2133"/>
      <c r="D98" s="2034"/>
      <c r="E98" s="2034"/>
      <c r="F98" s="2033"/>
      <c r="G98" s="2161">
        <v>17156</v>
      </c>
      <c r="H98" s="2161"/>
      <c r="I98" s="2054">
        <v>11556</v>
      </c>
      <c r="J98" s="2163"/>
      <c r="K98" s="2161"/>
      <c r="L98" s="2164"/>
      <c r="M98" s="2164"/>
      <c r="N98" s="2164"/>
      <c r="O98" s="2164"/>
      <c r="P98" s="2164"/>
      <c r="Q98" s="2164"/>
      <c r="R98" s="2163"/>
      <c r="S98" s="2164"/>
      <c r="T98" s="2164"/>
      <c r="U98" s="2164"/>
      <c r="V98" s="2060"/>
      <c r="W98" s="2060"/>
      <c r="X98" s="2103"/>
      <c r="Y98" s="2146"/>
      <c r="Z98" s="2146"/>
      <c r="AA98" s="2103"/>
      <c r="AB98" s="2166"/>
      <c r="AC98" s="2001"/>
      <c r="AD98" s="2001"/>
    </row>
    <row r="99" spans="1:30" ht="17.25" x14ac:dyDescent="0.25">
      <c r="B99" s="2034" t="s">
        <v>2236</v>
      </c>
      <c r="C99" s="2133"/>
      <c r="D99" s="2034"/>
      <c r="E99" s="2034"/>
      <c r="F99" s="2033"/>
      <c r="G99" s="2167">
        <v>2474</v>
      </c>
      <c r="H99" s="2161"/>
      <c r="I99" s="2058">
        <v>0</v>
      </c>
      <c r="J99" s="2163"/>
      <c r="K99" s="2167"/>
      <c r="L99" s="2164"/>
      <c r="M99" s="2164"/>
      <c r="N99" s="2164"/>
      <c r="O99" s="2164"/>
      <c r="P99" s="2164"/>
      <c r="Q99" s="2164"/>
      <c r="R99" s="2163"/>
      <c r="S99" s="2164"/>
      <c r="T99" s="2164"/>
      <c r="U99" s="2164"/>
      <c r="V99" s="2060"/>
      <c r="W99" s="2060"/>
      <c r="X99" s="2103"/>
      <c r="Y99" s="2146"/>
      <c r="Z99" s="2146"/>
      <c r="AA99" s="2103"/>
      <c r="AB99" s="2166"/>
      <c r="AC99" s="2001"/>
      <c r="AD99" s="2001"/>
    </row>
    <row r="100" spans="1:30" ht="17.25" x14ac:dyDescent="0.25">
      <c r="B100" s="2034"/>
      <c r="C100" s="2133"/>
      <c r="D100" s="2034"/>
      <c r="E100" s="2034"/>
      <c r="F100" s="2033"/>
      <c r="G100" s="2160">
        <f>SUM(G97:G99)</f>
        <v>19630</v>
      </c>
      <c r="H100" s="2161"/>
      <c r="I100" s="2162">
        <f>SUM(I97:I99)</f>
        <v>11556</v>
      </c>
      <c r="J100" s="2163"/>
      <c r="K100" s="2160"/>
      <c r="L100" s="2164"/>
      <c r="M100" s="2164"/>
      <c r="N100" s="2164"/>
      <c r="O100" s="2164"/>
      <c r="P100" s="2164"/>
      <c r="Q100" s="2164"/>
      <c r="R100" s="2163"/>
      <c r="S100" s="2164"/>
      <c r="T100" s="2164"/>
      <c r="U100" s="2164"/>
      <c r="V100" s="2060"/>
      <c r="W100" s="2060"/>
      <c r="X100" s="2103"/>
      <c r="Y100" s="2146"/>
      <c r="Z100" s="2146"/>
      <c r="AA100" s="2103"/>
      <c r="AB100" s="2166"/>
      <c r="AC100" s="2001"/>
      <c r="AD100" s="2001"/>
    </row>
    <row r="101" spans="1:30" ht="13.5" customHeight="1" x14ac:dyDescent="0.25">
      <c r="B101" s="2043" t="s">
        <v>2237</v>
      </c>
      <c r="C101" s="2133"/>
      <c r="D101" s="2034"/>
      <c r="E101" s="2034"/>
      <c r="F101" s="2033"/>
      <c r="G101" s="2161" t="s">
        <v>1231</v>
      </c>
      <c r="H101" s="2161"/>
      <c r="I101" s="2161" t="s">
        <v>1231</v>
      </c>
      <c r="J101" s="2163"/>
      <c r="K101" s="2161"/>
      <c r="L101" s="2164"/>
      <c r="M101" s="2164"/>
      <c r="N101" s="2164"/>
      <c r="O101" s="2164"/>
      <c r="P101" s="2164"/>
      <c r="Q101" s="2164"/>
      <c r="R101" s="2163"/>
      <c r="S101" s="2164"/>
      <c r="T101" s="2164"/>
      <c r="U101" s="2164"/>
      <c r="V101" s="2060"/>
      <c r="W101" s="2060"/>
      <c r="X101" s="2103"/>
      <c r="Y101" s="2146"/>
      <c r="Z101" s="2146"/>
      <c r="AA101" s="2103"/>
      <c r="AB101" s="2166"/>
      <c r="AC101" s="2001"/>
      <c r="AD101" s="2001"/>
    </row>
    <row r="102" spans="1:30" ht="17.25" x14ac:dyDescent="0.25">
      <c r="B102" s="2034" t="s">
        <v>2235</v>
      </c>
      <c r="C102" s="2168"/>
      <c r="G102" s="2160">
        <v>30104</v>
      </c>
      <c r="H102" s="2164"/>
      <c r="I102" s="2162">
        <v>30565</v>
      </c>
      <c r="J102" s="2163"/>
      <c r="K102" s="2160"/>
      <c r="L102" s="2164"/>
      <c r="M102" s="2164"/>
      <c r="N102" s="2164"/>
      <c r="O102" s="2164"/>
      <c r="P102" s="2164"/>
      <c r="Q102" s="2164"/>
      <c r="R102" s="2163"/>
      <c r="S102" s="2164"/>
      <c r="T102" s="2164"/>
      <c r="U102" s="2164"/>
      <c r="V102" s="2060"/>
      <c r="W102" s="2060"/>
      <c r="X102" s="2103"/>
      <c r="Y102" s="2146"/>
      <c r="Z102" s="2146"/>
      <c r="AA102" s="2103"/>
      <c r="AB102" s="2166"/>
      <c r="AC102" s="2001"/>
      <c r="AD102" s="2001"/>
    </row>
    <row r="103" spans="1:30" s="2154" customFormat="1" x14ac:dyDescent="0.25">
      <c r="A103" s="2170"/>
      <c r="C103" s="2171"/>
      <c r="F103" s="2172"/>
      <c r="G103" s="2173"/>
      <c r="H103" s="2173"/>
      <c r="I103" s="2173"/>
      <c r="J103" s="2174"/>
      <c r="K103" s="2173"/>
      <c r="L103" s="2173"/>
      <c r="M103" s="2173"/>
      <c r="N103" s="2173"/>
      <c r="O103" s="2173"/>
      <c r="P103" s="2173"/>
      <c r="Q103" s="2173"/>
      <c r="R103" s="2174"/>
      <c r="S103" s="2173"/>
      <c r="T103" s="2173"/>
      <c r="U103" s="2173"/>
      <c r="V103" s="2155"/>
      <c r="W103" s="2155"/>
      <c r="X103" s="2103"/>
      <c r="Y103" s="2146"/>
      <c r="Z103" s="2146"/>
      <c r="AA103" s="2103"/>
      <c r="AB103" s="2166"/>
      <c r="AC103" s="2001"/>
      <c r="AD103" s="2001"/>
    </row>
    <row r="104" spans="1:30" s="2176" customFormat="1" ht="13.5" customHeight="1" x14ac:dyDescent="0.25">
      <c r="A104" s="2707" t="s">
        <v>2238</v>
      </c>
      <c r="B104" s="2707"/>
      <c r="C104" s="2707"/>
      <c r="D104" s="2707"/>
      <c r="E104" s="2707"/>
      <c r="F104" s="2707"/>
      <c r="G104" s="2707"/>
      <c r="H104" s="2707"/>
      <c r="I104" s="2707"/>
      <c r="J104" s="2707"/>
      <c r="K104" s="2707"/>
      <c r="L104" s="2707"/>
      <c r="M104" s="2707"/>
      <c r="N104" s="2175"/>
      <c r="O104" s="2175"/>
      <c r="V104" s="2177"/>
      <c r="W104" s="2177"/>
      <c r="X104" s="2103"/>
      <c r="Y104" s="2146"/>
      <c r="Z104" s="2146"/>
      <c r="AA104" s="2103"/>
      <c r="AB104" s="2166"/>
      <c r="AC104" s="2001"/>
      <c r="AD104" s="2001"/>
    </row>
    <row r="105" spans="1:30" s="2176" customFormat="1" ht="13.5" customHeight="1" x14ac:dyDescent="0.25">
      <c r="A105" s="2710" t="s">
        <v>2239</v>
      </c>
      <c r="B105" s="2710"/>
      <c r="C105" s="2710"/>
      <c r="D105" s="2710"/>
      <c r="E105" s="2710"/>
      <c r="F105" s="2710"/>
      <c r="G105" s="2710"/>
      <c r="H105" s="2710"/>
      <c r="I105" s="2710"/>
      <c r="J105" s="2710"/>
      <c r="K105" s="2710"/>
      <c r="L105" s="2710"/>
      <c r="M105" s="2710"/>
      <c r="N105" s="2178"/>
      <c r="O105" s="2178"/>
      <c r="V105" s="2103"/>
      <c r="W105" s="2103"/>
      <c r="X105" s="2103"/>
      <c r="Y105" s="2103"/>
      <c r="Z105" s="2103"/>
      <c r="AA105" s="2103"/>
      <c r="AB105" s="2166"/>
      <c r="AC105" s="2001"/>
      <c r="AD105" s="2001"/>
    </row>
    <row r="106" spans="1:30" s="2176" customFormat="1" ht="13.5" customHeight="1" x14ac:dyDescent="0.25">
      <c r="A106" s="2707" t="s">
        <v>2240</v>
      </c>
      <c r="B106" s="2707"/>
      <c r="C106" s="2707"/>
      <c r="D106" s="2707"/>
      <c r="E106" s="2707"/>
      <c r="F106" s="2707"/>
      <c r="G106" s="2707"/>
      <c r="H106" s="2707"/>
      <c r="I106" s="2707"/>
      <c r="J106" s="2707"/>
      <c r="K106" s="2707"/>
      <c r="L106" s="2707"/>
      <c r="M106" s="2707"/>
      <c r="N106" s="2175"/>
      <c r="O106" s="2175"/>
      <c r="V106" s="2103"/>
      <c r="W106" s="2103"/>
      <c r="X106" s="2103"/>
      <c r="Y106" s="2103"/>
      <c r="Z106" s="2103"/>
      <c r="AA106" s="2103"/>
      <c r="AB106" s="2166"/>
      <c r="AC106" s="2001"/>
      <c r="AD106" s="2001"/>
    </row>
    <row r="107" spans="1:30" s="2176" customFormat="1" ht="13.5" customHeight="1" x14ac:dyDescent="0.25">
      <c r="A107" s="2179" t="s">
        <v>2241</v>
      </c>
      <c r="B107" s="2179"/>
      <c r="C107" s="2179"/>
      <c r="D107" s="2179"/>
      <c r="E107" s="2179"/>
      <c r="F107" s="2179"/>
      <c r="G107" s="2179"/>
      <c r="H107" s="2179"/>
      <c r="I107" s="2179"/>
      <c r="J107" s="2179"/>
      <c r="K107" s="2179"/>
      <c r="L107" s="2179"/>
      <c r="M107" s="2179"/>
      <c r="N107" s="2179"/>
      <c r="O107" s="2179"/>
      <c r="V107" s="2103"/>
      <c r="W107" s="2103"/>
      <c r="X107" s="2103"/>
      <c r="Y107" s="2103"/>
      <c r="Z107" s="2103"/>
      <c r="AA107" s="2103"/>
      <c r="AB107" s="2166"/>
      <c r="AC107" s="2001"/>
      <c r="AD107" s="2001"/>
    </row>
    <row r="108" spans="1:30" s="2176" customFormat="1" ht="13.5" customHeight="1" x14ac:dyDescent="0.25">
      <c r="A108" s="2180" t="s">
        <v>2242</v>
      </c>
      <c r="B108" s="2181"/>
      <c r="C108" s="2182"/>
      <c r="D108" s="2183"/>
      <c r="E108" s="2183"/>
      <c r="F108" s="2183"/>
      <c r="G108" s="2183"/>
      <c r="H108" s="2183"/>
      <c r="I108" s="2183"/>
      <c r="J108" s="2183"/>
      <c r="V108" s="2103"/>
      <c r="W108" s="2103"/>
      <c r="X108" s="2103"/>
      <c r="Y108" s="2103"/>
      <c r="Z108" s="2103"/>
      <c r="AA108" s="2103"/>
      <c r="AB108" s="2166"/>
      <c r="AC108" s="2001"/>
      <c r="AD108" s="2001"/>
    </row>
    <row r="109" spans="1:30" s="2176" customFormat="1" ht="13.5" customHeight="1" x14ac:dyDescent="0.25">
      <c r="A109" s="2180" t="s">
        <v>2243</v>
      </c>
      <c r="B109" s="2181"/>
      <c r="C109" s="2182"/>
      <c r="D109" s="2183"/>
      <c r="E109" s="2183"/>
      <c r="F109" s="2183"/>
      <c r="G109" s="2183"/>
      <c r="H109" s="2183"/>
      <c r="I109" s="2183"/>
      <c r="J109" s="2183"/>
      <c r="V109" s="2103"/>
      <c r="W109" s="2103"/>
      <c r="X109" s="2103"/>
      <c r="Y109" s="2103"/>
      <c r="Z109" s="2103"/>
      <c r="AA109" s="2103"/>
      <c r="AB109" s="2166"/>
      <c r="AC109" s="2001"/>
      <c r="AD109" s="2001"/>
    </row>
    <row r="110" spans="1:30" s="2176" customFormat="1" ht="13.5" customHeight="1" x14ac:dyDescent="0.25">
      <c r="A110" s="2183" t="s">
        <v>2244</v>
      </c>
      <c r="B110" s="2184"/>
      <c r="C110" s="2185"/>
      <c r="V110" s="2103"/>
      <c r="W110" s="2103"/>
      <c r="X110" s="2103"/>
      <c r="Y110" s="2103"/>
      <c r="Z110" s="2103"/>
      <c r="AA110" s="2103"/>
      <c r="AB110" s="2166"/>
      <c r="AC110" s="2001"/>
      <c r="AD110" s="2001"/>
    </row>
    <row r="111" spans="1:30" s="2176" customFormat="1" ht="13.5" customHeight="1" x14ac:dyDescent="0.25">
      <c r="A111" s="2183" t="s">
        <v>2245</v>
      </c>
      <c r="B111" s="2184"/>
      <c r="C111" s="2185"/>
      <c r="V111" s="2103"/>
      <c r="W111" s="2103"/>
      <c r="X111" s="2103"/>
      <c r="Y111" s="2103"/>
      <c r="Z111" s="2103"/>
      <c r="AA111" s="2103"/>
      <c r="AB111" s="2166"/>
      <c r="AC111" s="2001"/>
      <c r="AD111" s="2001"/>
    </row>
    <row r="112" spans="1:30" s="2176" customFormat="1" ht="13.5" customHeight="1" x14ac:dyDescent="0.25">
      <c r="A112" s="2183" t="s">
        <v>2246</v>
      </c>
      <c r="B112" s="2184"/>
      <c r="C112" s="2185"/>
      <c r="V112" s="2103"/>
      <c r="W112" s="2103"/>
      <c r="X112" s="2103"/>
      <c r="Y112" s="2103"/>
      <c r="Z112" s="2103"/>
      <c r="AA112" s="2103"/>
      <c r="AB112" s="2166"/>
      <c r="AC112" s="2001"/>
      <c r="AD112" s="2001"/>
    </row>
    <row r="113" spans="2:30" s="2188" customFormat="1" ht="13.5" customHeight="1" x14ac:dyDescent="0.25">
      <c r="B113" s="2186"/>
      <c r="C113" s="2187"/>
      <c r="F113" s="2189"/>
      <c r="G113" s="2189"/>
      <c r="H113" s="2189"/>
      <c r="I113" s="2189"/>
      <c r="J113" s="2190"/>
      <c r="V113" s="2103"/>
      <c r="W113" s="2103"/>
      <c r="X113" s="2103"/>
      <c r="Y113" s="2103"/>
      <c r="Z113" s="2103"/>
      <c r="AA113" s="2103"/>
      <c r="AB113" s="2166"/>
      <c r="AC113" s="2001"/>
      <c r="AD113" s="2001"/>
    </row>
    <row r="114" spans="2:30" x14ac:dyDescent="0.25">
      <c r="V114" s="2103"/>
      <c r="W114" s="2103"/>
      <c r="X114" s="2103"/>
      <c r="Y114" s="2103"/>
      <c r="Z114" s="2103"/>
      <c r="AA114" s="2103"/>
      <c r="AB114" s="2166"/>
      <c r="AC114" s="2001"/>
      <c r="AD114" s="2001"/>
    </row>
    <row r="115" spans="2:30" x14ac:dyDescent="0.25">
      <c r="V115" s="2103"/>
      <c r="W115" s="2103"/>
      <c r="X115" s="2103"/>
      <c r="Y115" s="2103"/>
      <c r="Z115" s="2103"/>
      <c r="AA115" s="2103"/>
      <c r="AB115" s="2166"/>
      <c r="AC115" s="2001"/>
      <c r="AD115" s="2001"/>
    </row>
    <row r="116" spans="2:30" x14ac:dyDescent="0.25">
      <c r="V116" s="2103"/>
      <c r="W116" s="2103"/>
      <c r="X116" s="2103"/>
      <c r="Y116" s="2103"/>
      <c r="Z116" s="2103"/>
      <c r="AA116" s="2103"/>
      <c r="AB116" s="2152"/>
      <c r="AC116" s="2001"/>
      <c r="AD116" s="2001"/>
    </row>
    <row r="117" spans="2:30" x14ac:dyDescent="0.25">
      <c r="V117" s="2103"/>
      <c r="W117" s="2103"/>
      <c r="X117" s="2103"/>
      <c r="Y117" s="2103"/>
      <c r="Z117" s="2103"/>
      <c r="AA117" s="2103"/>
      <c r="AB117" s="2152"/>
      <c r="AC117" s="2001"/>
      <c r="AD117" s="2001"/>
    </row>
    <row r="118" spans="2:30" x14ac:dyDescent="0.25">
      <c r="V118" s="2103"/>
      <c r="W118" s="2103"/>
      <c r="X118" s="2103"/>
      <c r="Y118" s="2103"/>
      <c r="Z118" s="2103"/>
      <c r="AA118" s="2103"/>
      <c r="AB118" s="2152"/>
      <c r="AC118" s="2001"/>
      <c r="AD118" s="2001"/>
    </row>
    <row r="119" spans="2:30" x14ac:dyDescent="0.25">
      <c r="V119" s="2103"/>
      <c r="W119" s="2103"/>
      <c r="X119" s="2103"/>
      <c r="Y119" s="2103"/>
      <c r="Z119" s="2103"/>
      <c r="AA119" s="2103"/>
      <c r="AB119" s="2152"/>
      <c r="AC119" s="2001"/>
      <c r="AD119" s="2001"/>
    </row>
    <row r="120" spans="2:30" x14ac:dyDescent="0.2">
      <c r="V120" s="2103"/>
      <c r="W120" s="2103"/>
      <c r="X120" s="2103"/>
      <c r="Y120" s="2103"/>
      <c r="Z120" s="2103"/>
      <c r="AA120" s="2103"/>
      <c r="AB120" s="2191"/>
      <c r="AC120" s="2103"/>
      <c r="AD120" s="2103"/>
    </row>
    <row r="121" spans="2:30" x14ac:dyDescent="0.2">
      <c r="V121" s="2103"/>
      <c r="W121" s="2103"/>
      <c r="X121" s="2103"/>
      <c r="Y121" s="2103"/>
      <c r="Z121" s="2103"/>
      <c r="AA121" s="2103"/>
      <c r="AB121" s="2191"/>
      <c r="AC121" s="2103"/>
      <c r="AD121" s="2103"/>
    </row>
    <row r="122" spans="2:30" x14ac:dyDescent="0.2">
      <c r="V122" s="2103"/>
      <c r="W122" s="2103"/>
      <c r="X122" s="2103"/>
      <c r="Y122" s="2103"/>
      <c r="Z122" s="2103"/>
      <c r="AA122" s="2103"/>
      <c r="AB122" s="2191"/>
      <c r="AC122" s="2103"/>
      <c r="AD122" s="2103"/>
    </row>
    <row r="123" spans="2:30" x14ac:dyDescent="0.2">
      <c r="V123" s="2103"/>
      <c r="W123" s="2103"/>
      <c r="X123" s="2103"/>
      <c r="Y123" s="2103"/>
      <c r="Z123" s="2103"/>
      <c r="AA123" s="2103"/>
      <c r="AB123" s="2192"/>
      <c r="AC123" s="2193"/>
      <c r="AD123" s="2193"/>
    </row>
    <row r="124" spans="2:30" x14ac:dyDescent="0.15">
      <c r="V124" s="2103"/>
      <c r="W124" s="2103"/>
      <c r="X124" s="2103"/>
      <c r="Y124" s="2103"/>
      <c r="Z124" s="2103"/>
      <c r="AA124" s="2103"/>
      <c r="AB124" s="2194"/>
      <c r="AC124" s="2194"/>
      <c r="AD124" s="2194"/>
    </row>
    <row r="125" spans="2:30" x14ac:dyDescent="0.15">
      <c r="V125" s="2103"/>
      <c r="W125" s="2103"/>
      <c r="X125" s="2103"/>
      <c r="Y125" s="2103"/>
      <c r="Z125" s="2103"/>
      <c r="AA125" s="2103"/>
      <c r="AB125" s="2194"/>
      <c r="AC125" s="2194"/>
      <c r="AD125" s="2194"/>
    </row>
    <row r="126" spans="2:30" x14ac:dyDescent="0.15">
      <c r="V126" s="2103"/>
      <c r="W126" s="2103"/>
      <c r="X126" s="2103"/>
      <c r="Y126" s="2103"/>
      <c r="Z126" s="2103"/>
      <c r="AA126" s="2103"/>
      <c r="AB126" s="2194"/>
      <c r="AC126" s="2194"/>
      <c r="AD126" s="2194"/>
    </row>
    <row r="127" spans="2:30" x14ac:dyDescent="0.15">
      <c r="V127" s="2103"/>
      <c r="W127" s="2103"/>
      <c r="X127" s="2103"/>
      <c r="Y127" s="2103"/>
      <c r="Z127" s="2103"/>
      <c r="AA127" s="2103"/>
      <c r="AB127" s="2194"/>
      <c r="AC127" s="2194"/>
      <c r="AD127" s="2194"/>
    </row>
    <row r="128" spans="2:30" x14ac:dyDescent="0.15">
      <c r="V128" s="2103"/>
      <c r="W128" s="2103"/>
      <c r="X128" s="2103"/>
      <c r="Y128" s="2103"/>
      <c r="Z128" s="2103"/>
      <c r="AA128" s="2103"/>
      <c r="AB128" s="2194"/>
      <c r="AC128" s="2194"/>
      <c r="AD128" s="2194"/>
    </row>
    <row r="129" spans="22:30" x14ac:dyDescent="0.15">
      <c r="V129" s="2103"/>
      <c r="W129" s="2103"/>
      <c r="X129" s="2103"/>
      <c r="Y129" s="2103"/>
      <c r="Z129" s="2103"/>
      <c r="AA129" s="2103"/>
      <c r="AB129" s="2194"/>
      <c r="AC129" s="2194"/>
      <c r="AD129" s="2194"/>
    </row>
    <row r="130" spans="22:30" x14ac:dyDescent="0.15">
      <c r="V130" s="2103"/>
      <c r="W130" s="2103"/>
      <c r="X130" s="2103"/>
      <c r="Y130" s="2103"/>
      <c r="Z130" s="2103"/>
      <c r="AA130" s="2103"/>
      <c r="AB130" s="2194"/>
      <c r="AC130" s="2194"/>
      <c r="AD130" s="2194"/>
    </row>
    <row r="131" spans="22:30" x14ac:dyDescent="0.15">
      <c r="V131" s="2103"/>
      <c r="W131" s="2103"/>
      <c r="X131" s="2103"/>
      <c r="Y131" s="2103"/>
      <c r="Z131" s="2103"/>
      <c r="AA131" s="2103"/>
      <c r="AB131" s="2194"/>
      <c r="AC131" s="2194"/>
      <c r="AD131" s="2194"/>
    </row>
    <row r="132" spans="22:30" x14ac:dyDescent="0.15">
      <c r="V132" s="2103"/>
      <c r="W132" s="2103"/>
      <c r="X132" s="2103"/>
      <c r="Y132" s="2103"/>
      <c r="Z132" s="2103"/>
      <c r="AA132" s="2103"/>
      <c r="AB132" s="2194"/>
      <c r="AC132" s="2194"/>
      <c r="AD132" s="2194"/>
    </row>
    <row r="133" spans="22:30" x14ac:dyDescent="0.15">
      <c r="V133" s="2103"/>
      <c r="W133" s="2103"/>
      <c r="X133" s="2103"/>
      <c r="Y133" s="2103"/>
      <c r="Z133" s="2103"/>
      <c r="AA133" s="2103"/>
      <c r="AB133" s="2195"/>
      <c r="AC133" s="2195"/>
      <c r="AD133" s="2195"/>
    </row>
    <row r="134" spans="22:30" x14ac:dyDescent="0.2">
      <c r="V134" s="2103"/>
      <c r="W134" s="2103"/>
      <c r="X134" s="2103"/>
      <c r="Y134" s="2103"/>
      <c r="Z134" s="2103"/>
      <c r="AA134" s="2103"/>
      <c r="AB134" s="2103"/>
      <c r="AC134" s="2103"/>
      <c r="AD134" s="2103"/>
    </row>
    <row r="135" spans="22:30" x14ac:dyDescent="0.2">
      <c r="V135" s="2103"/>
      <c r="W135" s="2103"/>
      <c r="X135" s="2103"/>
      <c r="Y135" s="2103"/>
      <c r="Z135" s="2103"/>
      <c r="AA135" s="2103"/>
      <c r="AB135" s="2103"/>
      <c r="AC135" s="2103"/>
      <c r="AD135" s="2103"/>
    </row>
    <row r="136" spans="22:30" x14ac:dyDescent="0.2">
      <c r="V136" s="2103"/>
      <c r="W136" s="2103"/>
      <c r="X136" s="2103"/>
      <c r="Y136" s="2103"/>
      <c r="Z136" s="2103"/>
      <c r="AA136" s="2103"/>
      <c r="AB136" s="2103"/>
      <c r="AC136" s="2103"/>
      <c r="AD136" s="2103"/>
    </row>
    <row r="137" spans="22:30" x14ac:dyDescent="0.2">
      <c r="V137" s="2103"/>
      <c r="W137" s="2103"/>
      <c r="X137" s="2103"/>
      <c r="Y137" s="2103"/>
      <c r="Z137" s="2103"/>
      <c r="AA137" s="2103"/>
      <c r="AB137" s="2103"/>
      <c r="AC137" s="2103"/>
      <c r="AD137" s="2103"/>
    </row>
    <row r="138" spans="22:30" x14ac:dyDescent="0.2">
      <c r="V138" s="2103"/>
      <c r="W138" s="2103"/>
      <c r="X138" s="2103"/>
      <c r="Y138" s="2103"/>
      <c r="Z138" s="2103"/>
      <c r="AA138" s="2103"/>
      <c r="AB138" s="2103"/>
      <c r="AC138" s="2103"/>
      <c r="AD138" s="2103"/>
    </row>
  </sheetData>
  <mergeCells count="11">
    <mergeCell ref="A106:M106"/>
    <mergeCell ref="V7:Z7"/>
    <mergeCell ref="V8:X8"/>
    <mergeCell ref="A104:M104"/>
    <mergeCell ref="A105:M105"/>
    <mergeCell ref="A1:U1"/>
    <mergeCell ref="A2:U2"/>
    <mergeCell ref="A3:U3"/>
    <mergeCell ref="A4:U4"/>
    <mergeCell ref="G7:I7"/>
    <mergeCell ref="K7:O7"/>
  </mergeCells>
  <printOptions horizontalCentered="1" gridLinesSet="0"/>
  <pageMargins left="0.25" right="0.25" top="0.5" bottom="0.5" header="0.5" footer="0"/>
  <pageSetup scale="71" fitToHeight="0" orientation="landscape" r:id="rId1"/>
  <headerFooter alignWithMargins="0">
    <oddFooter>&amp;LSee the accompanying notes to the Schedule of Expenditures of Federal Awards.</oddFooter>
  </headerFooter>
  <rowBreaks count="2" manualBreakCount="2">
    <brk id="53" max="21" man="1"/>
    <brk id="84" max="2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309" t="s">
        <v>1230</v>
      </c>
      <c r="B2" s="2309"/>
      <c r="C2" s="2309"/>
      <c r="D2" s="2309"/>
      <c r="E2" s="2309"/>
      <c r="F2" s="2309"/>
      <c r="G2" s="2309"/>
      <c r="H2" s="2309"/>
      <c r="I2" s="2309"/>
      <c r="J2" s="230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323" t="s">
        <v>1731</v>
      </c>
      <c r="B35" s="2324"/>
      <c r="C35" s="2324"/>
      <c r="D35" s="2324"/>
      <c r="E35" s="2325"/>
      <c r="F35" s="2325"/>
      <c r="G35" s="2325"/>
      <c r="H35" s="2325"/>
      <c r="I35" s="232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323" t="s">
        <v>331</v>
      </c>
      <c r="B47" s="2326"/>
      <c r="C47" s="2326"/>
      <c r="D47" s="2326"/>
      <c r="E47" s="2327"/>
      <c r="F47" s="2327"/>
      <c r="G47" s="2327"/>
      <c r="H47" s="2327"/>
      <c r="I47" s="232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2073</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2073</v>
      </c>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330" t="s">
        <v>2136</v>
      </c>
      <c r="C57" s="2331"/>
      <c r="D57" s="2331"/>
      <c r="E57" s="2331"/>
      <c r="F57" s="2331"/>
      <c r="G57" s="2331"/>
      <c r="H57" s="2331"/>
      <c r="I57" s="2331"/>
      <c r="J57" s="2332"/>
    </row>
    <row r="58" spans="1:10" s="181" customFormat="1" x14ac:dyDescent="0.2">
      <c r="A58" s="253"/>
      <c r="B58" s="2333"/>
      <c r="C58" s="2334"/>
      <c r="D58" s="2334"/>
      <c r="E58" s="2334"/>
      <c r="F58" s="2334"/>
      <c r="G58" s="2334"/>
      <c r="H58" s="2334"/>
      <c r="I58" s="2334"/>
      <c r="J58" s="2335"/>
    </row>
    <row r="59" spans="1:10" s="181" customFormat="1" x14ac:dyDescent="0.2">
      <c r="A59" s="253"/>
      <c r="B59" s="2333"/>
      <c r="C59" s="2334"/>
      <c r="D59" s="2334"/>
      <c r="E59" s="2334"/>
      <c r="F59" s="2334"/>
      <c r="G59" s="2334"/>
      <c r="H59" s="2334"/>
      <c r="I59" s="2334"/>
      <c r="J59" s="2335"/>
    </row>
    <row r="60" spans="1:10" s="181" customFormat="1" x14ac:dyDescent="0.2">
      <c r="A60" s="253"/>
      <c r="B60" s="2333"/>
      <c r="C60" s="2334"/>
      <c r="D60" s="2334"/>
      <c r="E60" s="2334"/>
      <c r="F60" s="2334"/>
      <c r="G60" s="2334"/>
      <c r="H60" s="2334"/>
      <c r="I60" s="2334"/>
      <c r="J60" s="2335"/>
    </row>
    <row r="61" spans="1:10" s="181" customFormat="1" x14ac:dyDescent="0.2">
      <c r="A61" s="253"/>
      <c r="B61" s="2333"/>
      <c r="C61" s="2334"/>
      <c r="D61" s="2334"/>
      <c r="E61" s="2334"/>
      <c r="F61" s="2334"/>
      <c r="G61" s="2334"/>
      <c r="H61" s="2334"/>
      <c r="I61" s="2334"/>
      <c r="J61" s="2335"/>
    </row>
    <row r="62" spans="1:10" s="181" customFormat="1" x14ac:dyDescent="0.2">
      <c r="A62" s="253"/>
      <c r="B62" s="2333"/>
      <c r="C62" s="2334"/>
      <c r="D62" s="2334"/>
      <c r="E62" s="2334"/>
      <c r="F62" s="2334"/>
      <c r="G62" s="2334"/>
      <c r="H62" s="2334"/>
      <c r="I62" s="2334"/>
      <c r="J62" s="2335"/>
    </row>
    <row r="63" spans="1:10" s="181" customFormat="1" x14ac:dyDescent="0.2">
      <c r="A63" s="253"/>
      <c r="B63" s="2333"/>
      <c r="C63" s="2334"/>
      <c r="D63" s="2334"/>
      <c r="E63" s="2334"/>
      <c r="F63" s="2334"/>
      <c r="G63" s="2334"/>
      <c r="H63" s="2334"/>
      <c r="I63" s="2334"/>
      <c r="J63" s="2335"/>
    </row>
    <row r="64" spans="1:10" s="181" customFormat="1" x14ac:dyDescent="0.2">
      <c r="A64" s="253"/>
      <c r="B64" s="2333"/>
      <c r="C64" s="2334"/>
      <c r="D64" s="2334"/>
      <c r="E64" s="2334"/>
      <c r="F64" s="2334"/>
      <c r="G64" s="2334"/>
      <c r="H64" s="2334"/>
      <c r="I64" s="2334"/>
      <c r="J64" s="2335"/>
    </row>
    <row r="65" spans="1:10" s="181" customFormat="1" x14ac:dyDescent="0.2">
      <c r="A65" s="253"/>
      <c r="B65" s="2333"/>
      <c r="C65" s="2334"/>
      <c r="D65" s="2334"/>
      <c r="E65" s="2334"/>
      <c r="F65" s="2334"/>
      <c r="G65" s="2334"/>
      <c r="H65" s="2334"/>
      <c r="I65" s="2334"/>
      <c r="J65" s="2335"/>
    </row>
    <row r="66" spans="1:10" s="181" customFormat="1" x14ac:dyDescent="0.2">
      <c r="A66" s="253"/>
      <c r="B66" s="2333"/>
      <c r="C66" s="2334"/>
      <c r="D66" s="2334"/>
      <c r="E66" s="2334"/>
      <c r="F66" s="2334"/>
      <c r="G66" s="2334"/>
      <c r="H66" s="2334"/>
      <c r="I66" s="2334"/>
      <c r="J66" s="2335"/>
    </row>
    <row r="67" spans="1:10" s="181" customFormat="1" ht="9" customHeight="1" x14ac:dyDescent="0.2">
      <c r="A67" s="254"/>
      <c r="B67" s="2336"/>
      <c r="C67" s="2337"/>
      <c r="D67" s="2337"/>
      <c r="E67" s="2337"/>
      <c r="F67" s="2337"/>
      <c r="G67" s="2337"/>
      <c r="H67" s="2337"/>
      <c r="I67" s="2337"/>
      <c r="J67" s="233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323" t="s">
        <v>1390</v>
      </c>
      <c r="B70" s="2326"/>
      <c r="C70" s="2326"/>
      <c r="D70" s="2326"/>
      <c r="E70" s="2327"/>
      <c r="F70" s="2327"/>
      <c r="G70" s="2327"/>
      <c r="H70" s="2327"/>
      <c r="I70" s="232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328" t="s">
        <v>1387</v>
      </c>
      <c r="B83" s="2328"/>
      <c r="C83" s="2328"/>
      <c r="D83" s="232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310" t="s">
        <v>2138</v>
      </c>
      <c r="C102" s="2311"/>
      <c r="D102" s="2311"/>
      <c r="E102" s="2311"/>
      <c r="F102" s="2311"/>
      <c r="G102" s="2311"/>
      <c r="H102" s="2311"/>
      <c r="I102" s="2312"/>
    </row>
    <row r="103" spans="1:9" s="181" customFormat="1" ht="11.25" customHeight="1" x14ac:dyDescent="0.2">
      <c r="A103" s="316"/>
      <c r="B103" s="2313"/>
      <c r="C103" s="2314"/>
      <c r="D103" s="2314"/>
      <c r="E103" s="2314"/>
      <c r="F103" s="2314"/>
      <c r="G103" s="2314"/>
      <c r="H103" s="2314"/>
      <c r="I103" s="2315"/>
    </row>
    <row r="104" spans="1:9" s="181" customFormat="1" ht="11.25" customHeight="1" x14ac:dyDescent="0.2">
      <c r="A104" s="316"/>
      <c r="B104" s="2313"/>
      <c r="C104" s="2314"/>
      <c r="D104" s="2314"/>
      <c r="E104" s="2314"/>
      <c r="F104" s="2314"/>
      <c r="G104" s="2314"/>
      <c r="H104" s="2314"/>
      <c r="I104" s="2315"/>
    </row>
    <row r="105" spans="1:9" s="181" customFormat="1" x14ac:dyDescent="0.2">
      <c r="A105" s="316"/>
      <c r="B105" s="2313"/>
      <c r="C105" s="2314"/>
      <c r="D105" s="2314"/>
      <c r="E105" s="2314"/>
      <c r="F105" s="2314"/>
      <c r="G105" s="2314"/>
      <c r="H105" s="2314"/>
      <c r="I105" s="2315"/>
    </row>
    <row r="106" spans="1:9" s="181" customFormat="1" ht="11.25" customHeight="1" x14ac:dyDescent="0.2">
      <c r="A106" s="316"/>
      <c r="B106" s="2313"/>
      <c r="C106" s="2314"/>
      <c r="D106" s="2314"/>
      <c r="E106" s="2314"/>
      <c r="F106" s="2314"/>
      <c r="G106" s="2314"/>
      <c r="H106" s="2314"/>
      <c r="I106" s="2315"/>
    </row>
    <row r="107" spans="1:9" s="181" customFormat="1" ht="11.25" customHeight="1" x14ac:dyDescent="0.2">
      <c r="A107" s="316"/>
      <c r="B107" s="2313"/>
      <c r="C107" s="2314"/>
      <c r="D107" s="2314"/>
      <c r="E107" s="2314"/>
      <c r="F107" s="2314"/>
      <c r="G107" s="2314"/>
      <c r="H107" s="2314"/>
      <c r="I107" s="2315"/>
    </row>
    <row r="108" spans="1:9" s="181" customFormat="1" ht="11.25" customHeight="1" x14ac:dyDescent="0.2">
      <c r="A108" s="316"/>
      <c r="B108" s="2313"/>
      <c r="C108" s="2314"/>
      <c r="D108" s="2314"/>
      <c r="E108" s="2314"/>
      <c r="F108" s="2314"/>
      <c r="G108" s="2314"/>
      <c r="H108" s="2314"/>
      <c r="I108" s="2315"/>
    </row>
    <row r="109" spans="1:9" s="181" customFormat="1" ht="11.25" customHeight="1" x14ac:dyDescent="0.2">
      <c r="A109" s="316"/>
      <c r="B109" s="2313"/>
      <c r="C109" s="2314"/>
      <c r="D109" s="2314"/>
      <c r="E109" s="2314"/>
      <c r="F109" s="2314"/>
      <c r="G109" s="2314"/>
      <c r="H109" s="2314"/>
      <c r="I109" s="2315"/>
    </row>
    <row r="110" spans="1:9" s="181" customFormat="1" ht="11.25" customHeight="1" x14ac:dyDescent="0.2">
      <c r="A110" s="316"/>
      <c r="B110" s="2313"/>
      <c r="C110" s="2314"/>
      <c r="D110" s="2314"/>
      <c r="E110" s="2314"/>
      <c r="F110" s="2314"/>
      <c r="G110" s="2314"/>
      <c r="H110" s="2314"/>
      <c r="I110" s="2315"/>
    </row>
    <row r="111" spans="1:9" s="181" customFormat="1" ht="11.25" customHeight="1" x14ac:dyDescent="0.2">
      <c r="A111" s="316"/>
      <c r="B111" s="2313"/>
      <c r="C111" s="2314"/>
      <c r="D111" s="2314"/>
      <c r="E111" s="2314"/>
      <c r="F111" s="2314"/>
      <c r="G111" s="2314"/>
      <c r="H111" s="2314"/>
      <c r="I111" s="2315"/>
    </row>
    <row r="112" spans="1:9" s="181" customFormat="1" ht="11.25" customHeight="1" x14ac:dyDescent="0.2">
      <c r="A112" s="316"/>
      <c r="B112" s="2316"/>
      <c r="C112" s="2317"/>
      <c r="D112" s="2317"/>
      <c r="E112" s="2317"/>
      <c r="F112" s="2317"/>
      <c r="G112" s="2317"/>
      <c r="H112" s="2317"/>
      <c r="I112" s="231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319" t="s">
        <v>2080</v>
      </c>
      <c r="D114" s="231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320" t="s">
        <v>1397</v>
      </c>
      <c r="D117" s="2321"/>
      <c r="E117" s="2322"/>
      <c r="F117" s="2322"/>
      <c r="G117" s="2322"/>
      <c r="H117" s="2322"/>
      <c r="I117" s="304"/>
    </row>
    <row r="118" spans="1:9" s="181" customFormat="1" ht="24" customHeight="1" x14ac:dyDescent="0.2">
      <c r="A118" s="316"/>
      <c r="B118" s="316"/>
      <c r="C118" s="316"/>
      <c r="D118" s="323" t="s">
        <v>2258</v>
      </c>
      <c r="E118" s="322"/>
      <c r="F118" s="324"/>
      <c r="G118" s="1859"/>
      <c r="H118" s="322"/>
      <c r="I118" s="304"/>
    </row>
    <row r="119" spans="1:9" s="181" customFormat="1" ht="11.25" customHeight="1" x14ac:dyDescent="0.2">
      <c r="A119" s="325"/>
      <c r="B119" s="325"/>
      <c r="C119" s="326"/>
      <c r="D119" s="327" t="s">
        <v>379</v>
      </c>
      <c r="E119" s="310"/>
      <c r="F119" s="1858" t="s">
        <v>2018</v>
      </c>
      <c r="G119" s="328"/>
      <c r="H119" s="328"/>
      <c r="I119" s="304"/>
    </row>
    <row r="120" spans="1:9" x14ac:dyDescent="0.2">
      <c r="A120" s="329"/>
      <c r="B120" s="180"/>
      <c r="C120" s="330"/>
      <c r="D120" s="256"/>
      <c r="E120" s="256"/>
      <c r="F120" s="256"/>
      <c r="G120" s="256"/>
      <c r="H120" s="256"/>
      <c r="I120" s="304"/>
    </row>
    <row r="121" spans="1:9" x14ac:dyDescent="0.2">
      <c r="A121" s="329"/>
      <c r="B121" s="1506"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D13" sqref="D13"/>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669" t="str">
        <f>'Single Audit Cover'!A7</f>
        <v>Bi County Sp Ed Co-op</v>
      </c>
      <c r="C1" s="2711"/>
      <c r="D1" s="2711"/>
      <c r="E1" s="2711"/>
      <c r="F1" s="2711"/>
      <c r="G1" s="2711"/>
      <c r="H1" s="2711"/>
      <c r="I1" s="2711"/>
      <c r="J1" s="2711"/>
      <c r="K1" s="2711"/>
      <c r="L1" s="2711"/>
      <c r="M1" s="2711"/>
    </row>
    <row r="2" spans="2:14" ht="15" x14ac:dyDescent="0.2">
      <c r="B2" s="2701">
        <f>'Single Audit Cover'!E7</f>
        <v>47098000061</v>
      </c>
      <c r="C2" s="2701"/>
      <c r="D2" s="2701"/>
      <c r="E2" s="2701"/>
      <c r="F2" s="2701"/>
      <c r="G2" s="2701"/>
      <c r="H2" s="2701"/>
      <c r="I2" s="2701"/>
      <c r="J2" s="2701"/>
      <c r="K2" s="2701"/>
      <c r="L2" s="2701"/>
      <c r="M2" s="2701"/>
      <c r="N2" s="1300"/>
    </row>
    <row r="3" spans="2:14" ht="15" x14ac:dyDescent="0.2">
      <c r="B3" s="2712" t="s">
        <v>1281</v>
      </c>
      <c r="C3" s="2712"/>
      <c r="D3" s="2712"/>
      <c r="E3" s="2712"/>
      <c r="F3" s="2712"/>
      <c r="G3" s="2712"/>
      <c r="H3" s="2712"/>
      <c r="I3" s="2712"/>
      <c r="J3" s="2712"/>
      <c r="K3" s="2712"/>
      <c r="L3" s="2712"/>
      <c r="M3" s="2712"/>
      <c r="N3" s="1300"/>
    </row>
    <row r="4" spans="2:14" ht="15" x14ac:dyDescent="0.2">
      <c r="B4" s="2713" t="str">
        <f>'Single Audit Cover'!A4</f>
        <v>Year Ending June 30, 2018</v>
      </c>
      <c r="C4" s="2713"/>
      <c r="D4" s="2713"/>
      <c r="E4" s="2713"/>
      <c r="F4" s="2713"/>
      <c r="G4" s="2713"/>
      <c r="H4" s="2713"/>
      <c r="I4" s="2713"/>
      <c r="J4" s="2713"/>
      <c r="K4" s="2713"/>
      <c r="L4" s="2713"/>
      <c r="M4" s="2713"/>
      <c r="N4" s="1300"/>
    </row>
    <row r="6" spans="2:14" x14ac:dyDescent="0.2">
      <c r="B6" s="1301"/>
      <c r="C6" s="1302"/>
      <c r="D6" s="1303" t="s">
        <v>1327</v>
      </c>
      <c r="E6" s="1304" t="s">
        <v>548</v>
      </c>
      <c r="F6" s="1305"/>
      <c r="G6" s="1306" t="s">
        <v>1834</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3"/>
      <c r="C8" s="1311" t="s">
        <v>1326</v>
      </c>
      <c r="D8" s="1312" t="s">
        <v>1325</v>
      </c>
      <c r="E8" s="1320" t="s">
        <v>1324</v>
      </c>
      <c r="F8" s="1321" t="s">
        <v>1324</v>
      </c>
      <c r="G8" s="1322" t="s">
        <v>1324</v>
      </c>
      <c r="H8" s="1315" t="s">
        <v>1663</v>
      </c>
      <c r="I8" s="1317" t="s">
        <v>1324</v>
      </c>
      <c r="J8" s="1316" t="s">
        <v>1946</v>
      </c>
      <c r="K8" s="1317" t="s">
        <v>1323</v>
      </c>
      <c r="L8" s="1318" t="s">
        <v>1319</v>
      </c>
      <c r="M8" s="1319" t="s">
        <v>30</v>
      </c>
    </row>
    <row r="9" spans="2:14" ht="14.25" x14ac:dyDescent="0.2">
      <c r="B9" s="1323" t="s">
        <v>1321</v>
      </c>
      <c r="C9" s="1311" t="s">
        <v>1835</v>
      </c>
      <c r="D9" s="1312" t="s">
        <v>1836</v>
      </c>
      <c r="E9" s="1320" t="s">
        <v>1663</v>
      </c>
      <c r="F9" s="1321" t="s">
        <v>1946</v>
      </c>
      <c r="G9" s="1322" t="s">
        <v>1663</v>
      </c>
      <c r="H9" s="1315" t="s">
        <v>1664</v>
      </c>
      <c r="I9" s="1317" t="s">
        <v>1946</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t="s">
        <v>2081</v>
      </c>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1837</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1947</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1840</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1841</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64" zoomScale="110" zoomScaleNormal="110" workbookViewId="0">
      <selection activeCell="P32" sqref="P32"/>
    </sheetView>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725" t="str">
        <f>'Single Audit Cover'!A7</f>
        <v>Bi County Sp Ed Co-op</v>
      </c>
      <c r="C1" s="2726"/>
      <c r="D1" s="2726"/>
      <c r="E1" s="2726"/>
      <c r="F1" s="2726"/>
      <c r="G1" s="2726"/>
      <c r="H1" s="2726"/>
      <c r="I1" s="2726"/>
      <c r="J1" s="1420"/>
    </row>
    <row r="2" spans="2:10" s="317" customFormat="1" ht="12.75" customHeight="1" x14ac:dyDescent="0.2">
      <c r="B2" s="2727">
        <f>'Single Audit Cover'!E7</f>
        <v>47098000061</v>
      </c>
      <c r="C2" s="2728"/>
      <c r="D2" s="2728"/>
      <c r="E2" s="2728"/>
      <c r="F2" s="2728"/>
      <c r="G2" s="2728"/>
      <c r="H2" s="2728"/>
      <c r="I2" s="2728"/>
      <c r="J2" s="1420"/>
    </row>
    <row r="3" spans="2:10" s="317" customFormat="1" ht="12.75" customHeight="1" x14ac:dyDescent="0.2">
      <c r="B3" s="2729" t="s">
        <v>1347</v>
      </c>
      <c r="C3" s="2730"/>
      <c r="D3" s="2730"/>
      <c r="E3" s="2730"/>
      <c r="F3" s="2730"/>
      <c r="G3" s="2730"/>
      <c r="H3" s="2730"/>
      <c r="I3" s="2730"/>
      <c r="J3" s="1421"/>
    </row>
    <row r="4" spans="2:10" s="317" customFormat="1" ht="12.75" customHeight="1" x14ac:dyDescent="0.2">
      <c r="B4" s="2729" t="str">
        <f>'Single Audit Cover'!A4</f>
        <v>Year Ending June 30, 2018</v>
      </c>
      <c r="C4" s="2730"/>
      <c r="D4" s="2730"/>
      <c r="E4" s="2730"/>
      <c r="F4" s="2730"/>
      <c r="G4" s="2730"/>
      <c r="H4" s="2730"/>
      <c r="I4" s="2730"/>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729" t="s">
        <v>1346</v>
      </c>
      <c r="C7" s="2730"/>
      <c r="D7" s="2730"/>
      <c r="E7" s="2730"/>
      <c r="F7" s="2730"/>
      <c r="G7" s="2730"/>
      <c r="H7" s="2730"/>
      <c r="I7" s="2730"/>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731" t="s">
        <v>1226</v>
      </c>
      <c r="D11" s="2731"/>
      <c r="E11" s="1430"/>
      <c r="F11" s="1430"/>
      <c r="G11" s="1430"/>
    </row>
    <row r="12" spans="2:10" s="317" customFormat="1" ht="11.45" customHeight="1" x14ac:dyDescent="0.2">
      <c r="B12" s="1355"/>
      <c r="C12" s="1431" t="s">
        <v>1517</v>
      </c>
      <c r="D12" s="1432"/>
      <c r="E12" s="1256"/>
    </row>
    <row r="13" spans="2:10" s="317" customFormat="1" ht="11.2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t="s">
        <v>2073</v>
      </c>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t="s">
        <v>2073</v>
      </c>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t="s">
        <v>2073</v>
      </c>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t="s">
        <v>2073</v>
      </c>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t="s">
        <v>2073</v>
      </c>
      <c r="H27" s="1298" t="s">
        <v>1338</v>
      </c>
      <c r="I27" s="1298"/>
    </row>
    <row r="28" spans="2:9" s="317" customFormat="1" ht="12.75" customHeight="1" x14ac:dyDescent="0.2">
      <c r="B28" s="1366"/>
      <c r="C28" s="1280"/>
      <c r="E28" s="1256"/>
    </row>
    <row r="29" spans="2:9" s="317" customFormat="1" ht="12.75" customHeight="1" x14ac:dyDescent="0.2">
      <c r="B29" s="1366" t="s">
        <v>1337</v>
      </c>
      <c r="C29" s="1280"/>
      <c r="D29" s="2732" t="s">
        <v>2111</v>
      </c>
      <c r="E29" s="2732"/>
      <c r="F29" s="2732"/>
      <c r="G29" s="2732"/>
      <c r="H29" s="2732"/>
      <c r="I29" s="2732"/>
    </row>
    <row r="30" spans="2:9" s="317" customFormat="1" x14ac:dyDescent="0.2">
      <c r="B30" s="1366"/>
      <c r="C30" s="322"/>
      <c r="D30" s="1431" t="s">
        <v>1848</v>
      </c>
      <c r="E30" s="1432"/>
      <c r="F30" s="1432"/>
      <c r="G30" s="1432"/>
      <c r="H30" s="1432"/>
      <c r="I30" s="1432"/>
    </row>
    <row r="31" spans="2:9" s="317" customFormat="1" ht="6"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t="s">
        <v>2073</v>
      </c>
      <c r="H33" s="1298" t="s">
        <v>101</v>
      </c>
    </row>
    <row r="35" spans="2:9" x14ac:dyDescent="0.2">
      <c r="B35" s="1439" t="s">
        <v>1849</v>
      </c>
      <c r="C35" s="1440"/>
      <c r="D35" s="1265"/>
    </row>
    <row r="36" spans="2:9" ht="6" customHeight="1" x14ac:dyDescent="0.2">
      <c r="B36" s="1439"/>
      <c r="C36" s="1440"/>
      <c r="D36" s="1265"/>
    </row>
    <row r="37" spans="2:9" ht="17.25" customHeight="1" x14ac:dyDescent="0.2">
      <c r="B37" s="1441" t="s">
        <v>1850</v>
      </c>
      <c r="C37" s="2733" t="s">
        <v>1851</v>
      </c>
      <c r="D37" s="2734"/>
      <c r="E37" s="2734"/>
      <c r="F37" s="2735"/>
      <c r="G37" s="2733" t="s">
        <v>1674</v>
      </c>
      <c r="H37" s="2734"/>
      <c r="I37" s="2735"/>
    </row>
    <row r="38" spans="2:9" ht="16.5" customHeight="1" x14ac:dyDescent="0.2">
      <c r="B38" s="1442" t="s">
        <v>2112</v>
      </c>
      <c r="C38" s="2721" t="s">
        <v>2113</v>
      </c>
      <c r="D38" s="2722"/>
      <c r="E38" s="2722"/>
      <c r="F38" s="2723"/>
      <c r="G38" s="2736">
        <f>2294432+118332</f>
        <v>2412764</v>
      </c>
      <c r="H38" s="2737"/>
      <c r="I38" s="2738"/>
    </row>
    <row r="39" spans="2:9" ht="16.5" customHeight="1" x14ac:dyDescent="0.2">
      <c r="B39" s="1442"/>
      <c r="C39" s="2721"/>
      <c r="D39" s="2722"/>
      <c r="E39" s="2722"/>
      <c r="F39" s="2723"/>
      <c r="G39" s="2724"/>
      <c r="H39" s="2724"/>
      <c r="I39" s="2724"/>
    </row>
    <row r="40" spans="2:9" ht="16.5" customHeight="1" x14ac:dyDescent="0.2">
      <c r="B40" s="1442"/>
      <c r="C40" s="2721"/>
      <c r="D40" s="2722"/>
      <c r="E40" s="2722"/>
      <c r="F40" s="2723"/>
      <c r="G40" s="2724"/>
      <c r="H40" s="2724"/>
      <c r="I40" s="2724"/>
    </row>
    <row r="41" spans="2:9" ht="16.5" customHeight="1" x14ac:dyDescent="0.2">
      <c r="B41" s="1442"/>
      <c r="C41" s="2721"/>
      <c r="D41" s="2722"/>
      <c r="E41" s="2722"/>
      <c r="F41" s="2723"/>
      <c r="G41" s="2724"/>
      <c r="H41" s="2724"/>
      <c r="I41" s="2724"/>
    </row>
    <row r="42" spans="2:9" ht="16.5" customHeight="1" x14ac:dyDescent="0.2">
      <c r="B42" s="1442"/>
      <c r="C42" s="2721"/>
      <c r="D42" s="2722"/>
      <c r="E42" s="2722"/>
      <c r="F42" s="2723"/>
      <c r="G42" s="2724"/>
      <c r="H42" s="2724"/>
      <c r="I42" s="2724"/>
    </row>
    <row r="43" spans="2:9" ht="16.5" customHeight="1" x14ac:dyDescent="0.2">
      <c r="B43" s="1442"/>
      <c r="C43" s="2714" t="s">
        <v>1675</v>
      </c>
      <c r="D43" s="2715"/>
      <c r="E43" s="2715"/>
      <c r="F43" s="2716"/>
      <c r="G43" s="2717">
        <f>SUM(G38:I42)</f>
        <v>2412764</v>
      </c>
      <c r="H43" s="2717"/>
      <c r="I43" s="2717"/>
    </row>
    <row r="44" spans="2:9" ht="12.75" customHeight="1" x14ac:dyDescent="0.2"/>
    <row r="45" spans="2:9" ht="12.75" customHeight="1" x14ac:dyDescent="0.2">
      <c r="B45" s="1433" t="s">
        <v>1948</v>
      </c>
      <c r="D45" s="2718">
        <v>2525887</v>
      </c>
      <c r="E45" s="2719"/>
    </row>
    <row r="46" spans="2:9" ht="5.25" customHeight="1" x14ac:dyDescent="0.2">
      <c r="B46" s="1443"/>
      <c r="D46" s="1444"/>
      <c r="E46" s="1445"/>
    </row>
    <row r="47" spans="2:9" ht="12.75" customHeight="1" x14ac:dyDescent="0.2">
      <c r="B47" s="1298" t="s">
        <v>1676</v>
      </c>
      <c r="C47" s="1298"/>
      <c r="D47" s="1446">
        <f>+G43/D45</f>
        <v>0.95521454443528153</v>
      </c>
      <c r="E47" s="1447"/>
      <c r="F47" s="1448"/>
      <c r="I47" s="1449"/>
    </row>
    <row r="48" spans="2:9" ht="9.9499999999999993" customHeight="1" x14ac:dyDescent="0.2"/>
    <row r="49" spans="1:9" x14ac:dyDescent="0.2">
      <c r="B49" s="1366" t="s">
        <v>1335</v>
      </c>
      <c r="C49" s="1280"/>
      <c r="D49" s="1280"/>
      <c r="E49" s="2720">
        <v>750000</v>
      </c>
      <c r="F49" s="2720"/>
      <c r="G49" s="2720"/>
      <c r="H49" s="322"/>
    </row>
    <row r="51" spans="1:9" ht="13.5" customHeight="1" x14ac:dyDescent="0.2">
      <c r="B51" s="1366" t="s">
        <v>1334</v>
      </c>
      <c r="C51" s="1280"/>
      <c r="E51" s="1436"/>
      <c r="F51" s="1298" t="s">
        <v>940</v>
      </c>
      <c r="G51" s="1436" t="s">
        <v>2073</v>
      </c>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B20" sqref="B20:K2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725" t="str">
        <f>'Single Audit Cover'!A7</f>
        <v>Bi County Sp Ed Co-op</v>
      </c>
      <c r="C1" s="2725"/>
      <c r="D1" s="2725"/>
      <c r="E1" s="2725"/>
      <c r="F1" s="2725"/>
      <c r="G1" s="2725"/>
      <c r="H1" s="2725"/>
      <c r="I1" s="2725"/>
      <c r="J1" s="2725"/>
      <c r="K1" s="2725"/>
      <c r="L1" s="1372"/>
      <c r="M1" s="1372"/>
    </row>
    <row r="2" spans="1:13" ht="12" customHeight="1" x14ac:dyDescent="0.2">
      <c r="B2" s="2727">
        <f>'Single Audit Cover'!E7</f>
        <v>47098000061</v>
      </c>
      <c r="C2" s="2727"/>
      <c r="D2" s="2727"/>
      <c r="E2" s="2727"/>
      <c r="F2" s="2727"/>
      <c r="G2" s="2727"/>
      <c r="H2" s="2727"/>
      <c r="I2" s="2727"/>
      <c r="J2" s="2727"/>
      <c r="K2" s="2727"/>
      <c r="L2" s="1373"/>
      <c r="M2" s="1374"/>
    </row>
    <row r="3" spans="1:13" ht="10.35" customHeight="1" x14ac:dyDescent="0.2">
      <c r="B3" s="2741" t="s">
        <v>1347</v>
      </c>
      <c r="C3" s="2741"/>
      <c r="D3" s="2741"/>
      <c r="E3" s="2741"/>
      <c r="F3" s="2741"/>
      <c r="G3" s="2741"/>
      <c r="H3" s="2741"/>
      <c r="I3" s="2741"/>
      <c r="J3" s="2741"/>
      <c r="K3" s="2741"/>
      <c r="L3" s="1375"/>
      <c r="M3" s="1375"/>
    </row>
    <row r="4" spans="1:13" ht="14.25" customHeight="1" x14ac:dyDescent="0.2">
      <c r="B4" s="2742" t="str">
        <f>'Single Audit Cover'!A4</f>
        <v>Year Ending June 30, 2018</v>
      </c>
      <c r="C4" s="2742"/>
      <c r="D4" s="2742"/>
      <c r="E4" s="2742"/>
      <c r="F4" s="2742"/>
      <c r="G4" s="2742"/>
      <c r="H4" s="2742"/>
      <c r="I4" s="2742"/>
      <c r="J4" s="2742"/>
      <c r="K4" s="2742"/>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742" t="s">
        <v>1363</v>
      </c>
      <c r="C7" s="2742"/>
      <c r="D7" s="2743"/>
      <c r="E7" s="2743"/>
      <c r="F7" s="2743"/>
      <c r="G7" s="2743"/>
      <c r="H7" s="2743"/>
      <c r="I7" s="2743"/>
      <c r="J7" s="2743"/>
      <c r="K7" s="2743"/>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1949</v>
      </c>
      <c r="D10" s="1384">
        <v>1</v>
      </c>
      <c r="E10" s="322"/>
      <c r="F10" s="1385" t="s">
        <v>1362</v>
      </c>
      <c r="G10" s="1386"/>
      <c r="H10" s="1387" t="s">
        <v>1361</v>
      </c>
      <c r="I10" s="1386" t="s">
        <v>2073</v>
      </c>
      <c r="J10" s="1388" t="s">
        <v>1360</v>
      </c>
      <c r="K10" s="322"/>
      <c r="L10" s="1379"/>
    </row>
    <row r="11" spans="1:13" ht="13.5" customHeight="1" x14ac:dyDescent="0.2">
      <c r="B11" s="322"/>
      <c r="C11" s="322"/>
      <c r="D11" s="322"/>
      <c r="E11" s="322"/>
      <c r="F11" s="322"/>
      <c r="G11" s="1381"/>
      <c r="H11" s="322"/>
      <c r="I11" s="1389" t="s">
        <v>1359</v>
      </c>
      <c r="J11" s="322"/>
      <c r="K11" s="1390">
        <v>1990</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740" t="s">
        <v>2114</v>
      </c>
      <c r="C14" s="2740"/>
      <c r="D14" s="2740"/>
      <c r="E14" s="2740"/>
      <c r="F14" s="2740"/>
      <c r="G14" s="2740"/>
      <c r="H14" s="2740"/>
      <c r="I14" s="2740"/>
      <c r="J14" s="2740"/>
      <c r="K14" s="2740"/>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57.75" customHeight="1" x14ac:dyDescent="0.2">
      <c r="B17" s="2740" t="s">
        <v>2115</v>
      </c>
      <c r="C17" s="2740"/>
      <c r="D17" s="2740"/>
      <c r="E17" s="2740"/>
      <c r="F17" s="2740"/>
      <c r="G17" s="2740"/>
      <c r="H17" s="2740"/>
      <c r="I17" s="2740"/>
      <c r="J17" s="2740"/>
      <c r="K17" s="2740"/>
      <c r="L17" s="1379"/>
    </row>
    <row r="18" spans="2:12" ht="4.5" customHeight="1" x14ac:dyDescent="0.2">
      <c r="B18" s="1396"/>
      <c r="C18" s="1396"/>
      <c r="L18" s="1379"/>
    </row>
    <row r="19" spans="2:12" s="1280" customFormat="1" ht="13.5" customHeight="1" x14ac:dyDescent="0.2">
      <c r="B19" s="1391" t="s">
        <v>1843</v>
      </c>
      <c r="C19" s="1391"/>
      <c r="D19" s="1392"/>
      <c r="E19" s="1392"/>
      <c r="F19" s="1392"/>
      <c r="G19" s="1393"/>
      <c r="H19" s="1392"/>
      <c r="I19" s="1393"/>
      <c r="J19" s="1392"/>
      <c r="K19" s="1392"/>
      <c r="L19" s="1394"/>
    </row>
    <row r="20" spans="2:12" ht="40.5" customHeight="1" x14ac:dyDescent="0.2">
      <c r="B20" s="2744" t="s">
        <v>2116</v>
      </c>
      <c r="C20" s="2744"/>
      <c r="D20" s="2740"/>
      <c r="E20" s="2740"/>
      <c r="F20" s="2740"/>
      <c r="G20" s="2740"/>
      <c r="H20" s="2740"/>
      <c r="I20" s="2740"/>
      <c r="J20" s="2740"/>
      <c r="K20" s="2740"/>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30.75" customHeight="1" x14ac:dyDescent="0.2">
      <c r="B23" s="2740" t="s">
        <v>2117</v>
      </c>
      <c r="C23" s="2740"/>
      <c r="D23" s="2740"/>
      <c r="E23" s="2740"/>
      <c r="F23" s="2740"/>
      <c r="G23" s="2740"/>
      <c r="H23" s="2740"/>
      <c r="I23" s="2740"/>
      <c r="J23" s="2740"/>
      <c r="K23" s="2740"/>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33.75" customHeight="1" x14ac:dyDescent="0.2">
      <c r="B26" s="2740" t="s">
        <v>2118</v>
      </c>
      <c r="C26" s="2740"/>
      <c r="D26" s="2740"/>
      <c r="E26" s="2740"/>
      <c r="F26" s="2740"/>
      <c r="G26" s="2740"/>
      <c r="H26" s="2740"/>
      <c r="I26" s="2740"/>
      <c r="J26" s="2740"/>
      <c r="K26" s="2740"/>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739" t="s">
        <v>2119</v>
      </c>
      <c r="C29" s="2739"/>
      <c r="D29" s="2740"/>
      <c r="E29" s="2740"/>
      <c r="F29" s="2740"/>
      <c r="G29" s="2740"/>
      <c r="H29" s="2740"/>
      <c r="I29" s="2740"/>
      <c r="J29" s="2740"/>
      <c r="K29" s="2740"/>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739" t="s">
        <v>2120</v>
      </c>
      <c r="C32" s="2739"/>
      <c r="D32" s="2740"/>
      <c r="E32" s="2740"/>
      <c r="F32" s="2740"/>
      <c r="G32" s="2740"/>
      <c r="H32" s="2740"/>
      <c r="I32" s="2740"/>
      <c r="J32" s="2740"/>
      <c r="K32" s="2740"/>
      <c r="L32" s="1379"/>
    </row>
    <row r="33" spans="1:13" s="322" customFormat="1" ht="4.5" customHeight="1" x14ac:dyDescent="0.2">
      <c r="B33" s="1400"/>
      <c r="C33" s="1400"/>
      <c r="G33" s="1381"/>
      <c r="I33" s="1381"/>
      <c r="L33" s="1379"/>
    </row>
    <row r="34" spans="1:13" s="322" customFormat="1" ht="65.25" customHeight="1" x14ac:dyDescent="0.2">
      <c r="A34" s="1295"/>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298" t="s">
        <v>1950</v>
      </c>
      <c r="C36" s="1298"/>
      <c r="L36" s="1379"/>
    </row>
    <row r="37" spans="1:13" ht="9.6" customHeight="1" x14ac:dyDescent="0.2">
      <c r="B37" s="1298" t="s">
        <v>1951</v>
      </c>
      <c r="C37" s="1298"/>
    </row>
    <row r="38" spans="1:13" ht="11.85" customHeight="1" x14ac:dyDescent="0.2">
      <c r="B38" s="1418" t="s">
        <v>1846</v>
      </c>
      <c r="C38" s="1418"/>
    </row>
    <row r="39" spans="1:13" ht="9.6" customHeight="1" x14ac:dyDescent="0.2">
      <c r="B39" s="1298" t="s">
        <v>1348</v>
      </c>
      <c r="C39" s="1298"/>
      <c r="M39" s="1419"/>
    </row>
    <row r="40" spans="1:13" ht="12.6" customHeight="1" x14ac:dyDescent="0.2">
      <c r="B40" s="1418" t="s">
        <v>1847</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F15" sqref="F1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748" t="str">
        <f>'Single Audit Cover'!A7</f>
        <v>Bi County Sp Ed Co-op</v>
      </c>
      <c r="C1" s="2748"/>
      <c r="D1" s="2748"/>
      <c r="E1" s="2748"/>
      <c r="F1" s="2748"/>
      <c r="G1" s="2748"/>
      <c r="H1" s="2748"/>
      <c r="I1" s="2748"/>
      <c r="J1" s="2748"/>
      <c r="K1" s="2748"/>
      <c r="L1" s="1463"/>
    </row>
    <row r="2" spans="1:12" ht="12.75" customHeight="1" x14ac:dyDescent="0.2">
      <c r="B2" s="2749">
        <f>'Single Audit Cover'!E7</f>
        <v>47098000061</v>
      </c>
      <c r="C2" s="2749"/>
      <c r="D2" s="2749"/>
      <c r="E2" s="2749"/>
      <c r="F2" s="2749"/>
      <c r="G2" s="2749"/>
      <c r="H2" s="2749"/>
      <c r="I2" s="2749"/>
      <c r="J2" s="2749"/>
      <c r="K2" s="2749"/>
      <c r="L2" s="1464"/>
    </row>
    <row r="3" spans="1:12" ht="12.75" customHeight="1" x14ac:dyDescent="0.2">
      <c r="B3" s="2741" t="s">
        <v>1347</v>
      </c>
      <c r="C3" s="2741"/>
      <c r="D3" s="2741"/>
      <c r="E3" s="2741"/>
      <c r="F3" s="2741"/>
      <c r="G3" s="2741"/>
      <c r="H3" s="2741"/>
      <c r="I3" s="2741"/>
      <c r="J3" s="2741"/>
      <c r="K3" s="2741"/>
      <c r="L3" s="1375"/>
    </row>
    <row r="4" spans="1:12" ht="12.75" customHeight="1" x14ac:dyDescent="0.2">
      <c r="B4" s="2741" t="str">
        <f>'Single Audit Cover'!A4</f>
        <v>Year Ending June 30, 2018</v>
      </c>
      <c r="C4" s="2741"/>
      <c r="D4" s="2741"/>
      <c r="E4" s="2741"/>
      <c r="F4" s="2741"/>
      <c r="G4" s="2741"/>
      <c r="H4" s="2741"/>
      <c r="I4" s="2741"/>
      <c r="J4" s="2741"/>
      <c r="K4" s="2741"/>
      <c r="L4" s="1375"/>
    </row>
    <row r="5" spans="1:12" ht="5.25" customHeight="1" x14ac:dyDescent="0.2">
      <c r="B5" s="1258" t="s">
        <v>1231</v>
      </c>
      <c r="C5" s="1258"/>
      <c r="L5" s="322"/>
    </row>
    <row r="6" spans="1:12" ht="30.75" customHeight="1" x14ac:dyDescent="0.2">
      <c r="A6" s="322"/>
      <c r="B6" s="2750" t="s">
        <v>1375</v>
      </c>
      <c r="C6" s="2750"/>
      <c r="D6" s="2750"/>
      <c r="E6" s="2750"/>
      <c r="F6" s="2750"/>
      <c r="G6" s="2750"/>
      <c r="H6" s="2750"/>
      <c r="I6" s="2750"/>
      <c r="J6" s="2750"/>
      <c r="K6" s="2750"/>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2751" t="s">
        <v>2121</v>
      </c>
      <c r="D8" s="2751"/>
      <c r="E8" s="322"/>
      <c r="F8" s="1382" t="s">
        <v>1362</v>
      </c>
      <c r="G8" s="1465"/>
      <c r="H8" s="1466" t="s">
        <v>1374</v>
      </c>
      <c r="I8" s="1465"/>
      <c r="J8" s="1467" t="s">
        <v>1373</v>
      </c>
      <c r="L8" s="322"/>
    </row>
    <row r="9" spans="1:12" ht="13.5" customHeight="1" x14ac:dyDescent="0.2">
      <c r="D9" s="322"/>
      <c r="E9" s="322"/>
      <c r="F9" s="322"/>
      <c r="G9" s="1381"/>
      <c r="H9" s="322"/>
      <c r="I9" s="1468" t="s">
        <v>1359</v>
      </c>
      <c r="J9" s="322"/>
      <c r="K9" s="1469"/>
      <c r="L9" s="322"/>
    </row>
    <row r="10" spans="1:12" ht="4.5" customHeight="1" x14ac:dyDescent="0.2">
      <c r="B10" s="1470"/>
      <c r="C10" s="1470"/>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732"/>
      <c r="G12" s="2732"/>
      <c r="H12" s="2732"/>
      <c r="I12" s="2732"/>
      <c r="J12" s="2732"/>
      <c r="K12" s="2732"/>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745"/>
      <c r="E14" s="2745"/>
      <c r="F14" s="2745"/>
      <c r="H14" s="1471" t="s">
        <v>1370</v>
      </c>
      <c r="I14" s="2746"/>
      <c r="J14" s="2746"/>
      <c r="K14" s="2746"/>
      <c r="L14" s="322"/>
    </row>
    <row r="15" spans="1:12" ht="9.4" customHeight="1" x14ac:dyDescent="0.2">
      <c r="B15" s="1385"/>
      <c r="C15" s="1385"/>
      <c r="D15" s="1371"/>
      <c r="E15" s="1258"/>
      <c r="F15" s="1258"/>
      <c r="G15" s="1284"/>
      <c r="H15" s="1258"/>
      <c r="I15" s="1472"/>
      <c r="J15" s="1292"/>
      <c r="K15" s="1289"/>
      <c r="L15" s="322"/>
    </row>
    <row r="16" spans="1:12" ht="13.5" customHeight="1" x14ac:dyDescent="0.2">
      <c r="B16" s="1385" t="s">
        <v>1369</v>
      </c>
      <c r="C16" s="1385"/>
      <c r="D16" s="2746"/>
      <c r="E16" s="2746"/>
      <c r="F16" s="2746"/>
      <c r="G16" s="2746"/>
      <c r="H16" s="2746"/>
      <c r="I16" s="2746"/>
      <c r="J16" s="2746"/>
      <c r="K16" s="2746"/>
      <c r="L16" s="322"/>
    </row>
    <row r="17" spans="2:12" ht="13.5" customHeight="1" x14ac:dyDescent="0.2">
      <c r="B17" s="1385" t="s">
        <v>1368</v>
      </c>
      <c r="C17" s="1385"/>
      <c r="D17" s="2747"/>
      <c r="E17" s="2747"/>
      <c r="F17" s="2747"/>
      <c r="G17" s="2747"/>
      <c r="H17" s="2747"/>
      <c r="I17" s="2747"/>
      <c r="J17" s="2747"/>
      <c r="K17" s="2747"/>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3" t="s">
        <v>1367</v>
      </c>
      <c r="C19" s="1473"/>
      <c r="D19" s="328"/>
      <c r="E19" s="328"/>
      <c r="F19" s="328"/>
      <c r="G19" s="1474"/>
      <c r="H19" s="328"/>
      <c r="I19" s="1474"/>
      <c r="J19" s="322"/>
      <c r="K19" s="322"/>
      <c r="L19" s="322"/>
    </row>
    <row r="20" spans="2:12" ht="35.25" customHeight="1" x14ac:dyDescent="0.2">
      <c r="B20" s="2740"/>
      <c r="C20" s="2740"/>
      <c r="D20" s="2740"/>
      <c r="E20" s="2740"/>
      <c r="F20" s="2740"/>
      <c r="G20" s="2740"/>
      <c r="H20" s="2740"/>
      <c r="I20" s="2740"/>
      <c r="J20" s="2740"/>
      <c r="K20" s="2740"/>
      <c r="L20" s="1430"/>
    </row>
    <row r="21" spans="2:12" ht="4.5" customHeight="1" x14ac:dyDescent="0.2">
      <c r="B21" s="1475"/>
      <c r="C21" s="1475"/>
      <c r="D21" s="1476"/>
      <c r="E21" s="1476"/>
      <c r="F21" s="1476"/>
      <c r="G21" s="1426"/>
      <c r="H21" s="1476"/>
      <c r="I21" s="1426"/>
      <c r="J21" s="1476"/>
      <c r="K21" s="1476"/>
      <c r="L21" s="1430"/>
    </row>
    <row r="22" spans="2:12" ht="13.35" customHeight="1" x14ac:dyDescent="0.2">
      <c r="B22" s="1473" t="s">
        <v>1857</v>
      </c>
      <c r="C22" s="1473"/>
      <c r="D22" s="322"/>
      <c r="E22" s="322"/>
      <c r="F22" s="322"/>
      <c r="G22" s="1381"/>
      <c r="H22" s="322"/>
      <c r="I22" s="1381"/>
      <c r="J22" s="322"/>
      <c r="K22" s="322"/>
      <c r="L22" s="322"/>
    </row>
    <row r="23" spans="2:12" ht="37.5" customHeight="1" x14ac:dyDescent="0.2">
      <c r="B23" s="2740"/>
      <c r="C23" s="2740"/>
      <c r="D23" s="2740"/>
      <c r="E23" s="2740"/>
      <c r="F23" s="2740"/>
      <c r="G23" s="2740"/>
      <c r="H23" s="2740"/>
      <c r="I23" s="2740"/>
      <c r="J23" s="2740"/>
      <c r="K23" s="2740"/>
      <c r="L23" s="322"/>
    </row>
    <row r="24" spans="2:12" ht="4.5" customHeight="1" x14ac:dyDescent="0.2">
      <c r="B24" s="1475"/>
      <c r="C24" s="1475"/>
      <c r="D24" s="1425"/>
      <c r="E24" s="1425"/>
      <c r="F24" s="1425"/>
      <c r="G24" s="1426"/>
      <c r="H24" s="1425"/>
      <c r="I24" s="1426"/>
      <c r="J24" s="1425"/>
      <c r="K24" s="1425"/>
      <c r="L24" s="322"/>
    </row>
    <row r="25" spans="2:12" ht="13.5" customHeight="1" x14ac:dyDescent="0.2">
      <c r="B25" s="1473" t="s">
        <v>1858</v>
      </c>
      <c r="C25" s="1473"/>
      <c r="D25" s="322"/>
      <c r="E25" s="322"/>
      <c r="F25" s="322"/>
      <c r="G25" s="1381"/>
      <c r="H25" s="322"/>
      <c r="I25" s="1381"/>
      <c r="J25" s="322"/>
      <c r="K25" s="322"/>
      <c r="L25" s="322"/>
    </row>
    <row r="26" spans="2:12" ht="37.5" customHeight="1" x14ac:dyDescent="0.2">
      <c r="B26" s="2740"/>
      <c r="C26" s="2740"/>
      <c r="D26" s="2740"/>
      <c r="E26" s="2740"/>
      <c r="F26" s="2740"/>
      <c r="G26" s="2740"/>
      <c r="H26" s="2740"/>
      <c r="I26" s="2740"/>
      <c r="J26" s="2740"/>
      <c r="K26" s="2740"/>
      <c r="L26" s="322"/>
    </row>
    <row r="27" spans="2:12" ht="4.5" customHeight="1" x14ac:dyDescent="0.2">
      <c r="B27" s="1477"/>
      <c r="C27" s="1477"/>
      <c r="D27" s="1477"/>
      <c r="E27" s="1425"/>
      <c r="F27" s="1425"/>
      <c r="G27" s="1426"/>
      <c r="H27" s="1425"/>
      <c r="I27" s="1426"/>
      <c r="J27" s="1425"/>
      <c r="K27" s="1425"/>
      <c r="L27" s="322"/>
    </row>
    <row r="28" spans="2:12" ht="13.5" customHeight="1" x14ac:dyDescent="0.2">
      <c r="B28" s="1473" t="s">
        <v>1859</v>
      </c>
      <c r="C28" s="1473"/>
      <c r="D28" s="322"/>
      <c r="E28" s="322"/>
      <c r="F28" s="322"/>
      <c r="G28" s="1381"/>
      <c r="H28" s="322"/>
      <c r="I28" s="1381"/>
      <c r="J28" s="322"/>
      <c r="K28" s="322"/>
      <c r="L28" s="322"/>
    </row>
    <row r="29" spans="2:12" ht="37.5" customHeight="1" x14ac:dyDescent="0.2">
      <c r="B29" s="2740"/>
      <c r="C29" s="2740"/>
      <c r="D29" s="2740"/>
      <c r="E29" s="2740"/>
      <c r="F29" s="2740"/>
      <c r="G29" s="2740"/>
      <c r="H29" s="2740"/>
      <c r="I29" s="2740"/>
      <c r="J29" s="2740"/>
      <c r="K29" s="2740"/>
      <c r="L29" s="322"/>
    </row>
    <row r="30" spans="2:12" ht="4.5" customHeight="1" x14ac:dyDescent="0.2">
      <c r="B30" s="1475"/>
      <c r="C30" s="1475"/>
      <c r="D30" s="1425"/>
      <c r="E30" s="1425"/>
      <c r="F30" s="1425"/>
      <c r="G30" s="1426"/>
      <c r="H30" s="1425"/>
      <c r="I30" s="1426"/>
      <c r="J30" s="1425"/>
      <c r="K30" s="1425"/>
      <c r="L30" s="322"/>
    </row>
    <row r="31" spans="2:12" ht="13.5" customHeight="1" x14ac:dyDescent="0.2">
      <c r="B31" s="1473" t="s">
        <v>1366</v>
      </c>
      <c r="C31" s="1473"/>
      <c r="D31" s="322"/>
      <c r="E31" s="322"/>
      <c r="F31" s="322"/>
      <c r="G31" s="1381"/>
      <c r="H31" s="322"/>
      <c r="I31" s="1381"/>
      <c r="J31" s="322"/>
      <c r="K31" s="322"/>
      <c r="L31" s="322"/>
    </row>
    <row r="32" spans="2:12" ht="37.5" customHeight="1" x14ac:dyDescent="0.2">
      <c r="B32" s="2740"/>
      <c r="C32" s="2740"/>
      <c r="D32" s="2740"/>
      <c r="E32" s="2740"/>
      <c r="F32" s="2740"/>
      <c r="G32" s="2740"/>
      <c r="H32" s="2740"/>
      <c r="I32" s="2740"/>
      <c r="J32" s="2740"/>
      <c r="K32" s="2740"/>
      <c r="L32" s="322"/>
    </row>
    <row r="33" spans="2:12" ht="4.5" customHeight="1" x14ac:dyDescent="0.2">
      <c r="B33" s="1475"/>
      <c r="C33" s="1475"/>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740"/>
      <c r="C35" s="2740"/>
      <c r="D35" s="2740"/>
      <c r="E35" s="2740"/>
      <c r="F35" s="2740"/>
      <c r="G35" s="2740"/>
      <c r="H35" s="2740"/>
      <c r="I35" s="2740"/>
      <c r="J35" s="2740"/>
      <c r="K35" s="2740"/>
      <c r="L35" s="322"/>
    </row>
    <row r="36" spans="2:12" ht="4.5" customHeight="1" x14ac:dyDescent="0.2">
      <c r="B36" s="1475"/>
      <c r="C36" s="1475"/>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740"/>
      <c r="C38" s="2740"/>
      <c r="D38" s="2740"/>
      <c r="E38" s="2740"/>
      <c r="F38" s="2740"/>
      <c r="G38" s="2740"/>
      <c r="H38" s="2740"/>
      <c r="I38" s="2740"/>
      <c r="J38" s="2740"/>
      <c r="K38" s="2740"/>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740"/>
      <c r="C41" s="2740"/>
      <c r="D41" s="2740"/>
      <c r="E41" s="2740"/>
      <c r="F41" s="2740"/>
      <c r="G41" s="2740"/>
      <c r="H41" s="2740"/>
      <c r="I41" s="2740"/>
      <c r="J41" s="2740"/>
      <c r="K41" s="2740"/>
    </row>
    <row r="42" spans="2:12" s="322" customFormat="1" ht="4.5" customHeight="1" x14ac:dyDescent="0.2">
      <c r="B42" s="1400"/>
      <c r="C42" s="1400"/>
      <c r="G42" s="1381"/>
      <c r="I42" s="1381"/>
    </row>
    <row r="43" spans="2:12" s="322" customFormat="1" ht="13.5" customHeight="1" x14ac:dyDescent="0.2">
      <c r="B43" s="1478" t="s">
        <v>1353</v>
      </c>
      <c r="C43" s="1479"/>
      <c r="D43" s="1402"/>
      <c r="E43" s="1402"/>
      <c r="F43" s="1402"/>
      <c r="G43" s="1403"/>
      <c r="H43" s="1402"/>
      <c r="I43" s="1403"/>
      <c r="J43" s="1402"/>
      <c r="K43" s="1404"/>
      <c r="L43" s="1480"/>
    </row>
    <row r="44" spans="2:12" s="322" customFormat="1" ht="13.5" customHeight="1" x14ac:dyDescent="0.2">
      <c r="B44" s="1405" t="s">
        <v>1352</v>
      </c>
      <c r="C44" s="1406"/>
      <c r="D44" s="1481"/>
      <c r="E44" s="1407"/>
      <c r="F44" s="1411" t="s">
        <v>1351</v>
      </c>
      <c r="G44" s="1409"/>
      <c r="H44" s="1408"/>
      <c r="I44" s="1409"/>
      <c r="J44" s="1482"/>
      <c r="K44" s="1483"/>
      <c r="L44" s="1480"/>
    </row>
    <row r="45" spans="2:12" s="322" customFormat="1" ht="13.5" customHeight="1" x14ac:dyDescent="0.2">
      <c r="B45" s="1405" t="s">
        <v>1350</v>
      </c>
      <c r="C45" s="1406"/>
      <c r="D45" s="1482"/>
      <c r="E45" s="1408"/>
      <c r="F45" s="1411" t="s">
        <v>1349</v>
      </c>
      <c r="G45" s="1409"/>
      <c r="H45" s="1408"/>
      <c r="I45" s="1409"/>
      <c r="J45" s="1482"/>
      <c r="K45" s="1483"/>
      <c r="L45" s="1480"/>
    </row>
    <row r="46" spans="2:12" s="322" customFormat="1" ht="13.5" customHeight="1" x14ac:dyDescent="0.2">
      <c r="B46" s="1412"/>
      <c r="C46" s="1410"/>
      <c r="D46" s="1410"/>
      <c r="E46" s="1410"/>
      <c r="F46" s="1410"/>
      <c r="G46" s="1413"/>
      <c r="H46" s="1410"/>
      <c r="I46" s="1413"/>
      <c r="J46" s="1410"/>
      <c r="K46" s="1414"/>
      <c r="L46" s="1480"/>
    </row>
    <row r="47" spans="2:12" ht="7.5" customHeight="1" x14ac:dyDescent="0.25">
      <c r="B47" s="1484"/>
      <c r="C47" s="1484"/>
      <c r="D47" s="1485"/>
      <c r="E47" s="1485"/>
      <c r="F47" s="1485"/>
      <c r="G47" s="1486"/>
      <c r="H47" s="1485"/>
      <c r="I47" s="1486"/>
      <c r="J47" s="1485"/>
      <c r="K47" s="1485"/>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9">
    <mergeCell ref="F12:K12"/>
    <mergeCell ref="B1:K1"/>
    <mergeCell ref="B2:K2"/>
    <mergeCell ref="B3:K3"/>
    <mergeCell ref="B4:K4"/>
    <mergeCell ref="B6:K6"/>
    <mergeCell ref="C8:D8"/>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725" t="str">
        <f>'Single Audit Cover'!A7</f>
        <v>Bi County Sp Ed Co-op</v>
      </c>
      <c r="C1" s="2725"/>
      <c r="D1" s="2725"/>
      <c r="E1" s="1487"/>
    </row>
    <row r="2" spans="2:5" s="1280" customFormat="1" ht="12.75" customHeight="1" x14ac:dyDescent="0.2">
      <c r="B2" s="2727">
        <f>'Single Audit Cover'!E7</f>
        <v>47098000061</v>
      </c>
      <c r="C2" s="2727"/>
      <c r="D2" s="2727"/>
      <c r="E2" s="1488"/>
    </row>
    <row r="3" spans="2:5" ht="12.75" customHeight="1" x14ac:dyDescent="0.2">
      <c r="B3" s="2741" t="s">
        <v>1866</v>
      </c>
      <c r="C3" s="2741"/>
      <c r="D3" s="2741"/>
      <c r="E3" s="1272"/>
    </row>
    <row r="4" spans="2:5" s="1280" customFormat="1" ht="12.75" customHeight="1" x14ac:dyDescent="0.2">
      <c r="B4" s="2752" t="str">
        <f>'Single Audit Cover'!A4</f>
        <v>Year Ending June 30, 2018</v>
      </c>
      <c r="C4" s="2752"/>
      <c r="D4" s="2752"/>
      <c r="E4" s="1489"/>
    </row>
    <row r="5" spans="2:5" s="1280" customFormat="1" ht="40.15" customHeight="1" x14ac:dyDescent="0.2">
      <c r="B5" s="1490"/>
      <c r="C5" s="328"/>
      <c r="D5" s="328"/>
      <c r="E5" s="328"/>
    </row>
    <row r="6" spans="2:5" s="1280" customFormat="1" ht="13.5" customHeight="1" x14ac:dyDescent="0.2">
      <c r="B6" s="1491" t="s">
        <v>1382</v>
      </c>
      <c r="C6" s="1491" t="s">
        <v>1381</v>
      </c>
      <c r="D6" s="1491" t="s">
        <v>1867</v>
      </c>
    </row>
    <row r="7" spans="2:5" ht="13.5" customHeight="1" x14ac:dyDescent="0.2">
      <c r="B7" s="1492"/>
      <c r="C7" s="324"/>
      <c r="D7" s="324"/>
      <c r="E7" s="324"/>
    </row>
    <row r="8" spans="2:5" ht="13.5" customHeight="1" x14ac:dyDescent="0.2">
      <c r="B8" s="1952" t="s">
        <v>2092</v>
      </c>
      <c r="C8" s="1953" t="s">
        <v>2093</v>
      </c>
      <c r="D8" s="1953" t="s">
        <v>2094</v>
      </c>
      <c r="E8" s="324"/>
    </row>
    <row r="9" spans="2:5" ht="13.5" customHeight="1" x14ac:dyDescent="0.2">
      <c r="B9" s="1493"/>
      <c r="C9" s="323"/>
      <c r="D9" s="323"/>
      <c r="E9" s="323"/>
    </row>
    <row r="10" spans="2:5" ht="13.5" customHeight="1" x14ac:dyDescent="0.2">
      <c r="B10" s="1492"/>
      <c r="C10" s="323"/>
      <c r="D10" s="323"/>
      <c r="E10" s="323"/>
    </row>
    <row r="11" spans="2:5" ht="13.5" customHeight="1" x14ac:dyDescent="0.2">
      <c r="B11" s="1492"/>
      <c r="C11" s="323"/>
      <c r="D11" s="323"/>
      <c r="E11" s="323"/>
    </row>
    <row r="12" spans="2:5" ht="13.5" customHeight="1" x14ac:dyDescent="0.2">
      <c r="B12" s="1492"/>
      <c r="C12" s="323"/>
      <c r="D12" s="323"/>
      <c r="E12" s="323"/>
    </row>
    <row r="13" spans="2:5" ht="13.5" customHeight="1" x14ac:dyDescent="0.2">
      <c r="B13" s="1492"/>
      <c r="C13" s="323"/>
      <c r="D13" s="323"/>
      <c r="E13" s="323"/>
    </row>
    <row r="14" spans="2:5" ht="13.5" customHeight="1" x14ac:dyDescent="0.2">
      <c r="B14" s="1492"/>
      <c r="C14" s="323"/>
      <c r="D14" s="323"/>
      <c r="E14" s="323"/>
    </row>
    <row r="15" spans="2:5" ht="13.5" customHeight="1" x14ac:dyDescent="0.2">
      <c r="B15" s="1492"/>
      <c r="C15" s="323"/>
      <c r="D15" s="323"/>
      <c r="E15" s="323"/>
    </row>
    <row r="16" spans="2:5" ht="13.5" customHeight="1" x14ac:dyDescent="0.2">
      <c r="B16" s="1492"/>
      <c r="C16" s="323"/>
      <c r="D16" s="323"/>
      <c r="E16" s="323"/>
    </row>
    <row r="17" spans="2:5" ht="13.5" customHeight="1" x14ac:dyDescent="0.2">
      <c r="B17" s="1492"/>
      <c r="C17" s="323"/>
      <c r="D17" s="323"/>
      <c r="E17" s="323"/>
    </row>
    <row r="18" spans="2:5" ht="13.5" customHeight="1" x14ac:dyDescent="0.2">
      <c r="B18" s="1492"/>
      <c r="C18" s="323"/>
      <c r="D18" s="323"/>
      <c r="E18" s="323"/>
    </row>
    <row r="19" spans="2:5" ht="13.5" customHeight="1" x14ac:dyDescent="0.2">
      <c r="B19" s="1492"/>
      <c r="C19" s="323"/>
      <c r="D19" s="323"/>
      <c r="E19" s="323"/>
    </row>
    <row r="20" spans="2:5" ht="13.5" customHeight="1" x14ac:dyDescent="0.2">
      <c r="B20" s="1492"/>
      <c r="C20" s="323"/>
      <c r="D20" s="323"/>
      <c r="E20" s="323"/>
    </row>
    <row r="21" spans="2:5" ht="13.5" customHeight="1" x14ac:dyDescent="0.2">
      <c r="B21" s="1492"/>
      <c r="C21" s="323"/>
      <c r="D21" s="323"/>
      <c r="E21" s="323"/>
    </row>
    <row r="22" spans="2:5" ht="13.5" customHeight="1" x14ac:dyDescent="0.2">
      <c r="B22" s="1492"/>
      <c r="C22" s="323"/>
      <c r="D22" s="323"/>
      <c r="E22" s="323"/>
    </row>
    <row r="23" spans="2:5" ht="13.5" customHeight="1" x14ac:dyDescent="0.2">
      <c r="B23" s="1492"/>
      <c r="C23" s="323"/>
      <c r="D23" s="323"/>
      <c r="E23" s="323"/>
    </row>
    <row r="24" spans="2:5" ht="13.5" customHeight="1" x14ac:dyDescent="0.2">
      <c r="B24" s="1492"/>
      <c r="C24" s="323"/>
      <c r="D24" s="323"/>
      <c r="E24" s="323"/>
    </row>
    <row r="25" spans="2:5" ht="13.5" customHeight="1" x14ac:dyDescent="0.2">
      <c r="B25" s="1492"/>
      <c r="C25" s="323"/>
      <c r="D25" s="323"/>
      <c r="E25" s="323"/>
    </row>
    <row r="26" spans="2:5" ht="13.5" customHeight="1" x14ac:dyDescent="0.2">
      <c r="B26" s="1492"/>
      <c r="C26" s="323"/>
      <c r="D26" s="323"/>
      <c r="E26" s="323"/>
    </row>
    <row r="27" spans="2:5" ht="13.5" customHeight="1" x14ac:dyDescent="0.2">
      <c r="B27" s="1492"/>
      <c r="C27" s="323"/>
      <c r="D27" s="323"/>
      <c r="E27" s="323"/>
    </row>
    <row r="28" spans="2:5" ht="13.5" customHeight="1" x14ac:dyDescent="0.2">
      <c r="B28" s="1492"/>
      <c r="C28" s="323"/>
      <c r="D28" s="323"/>
      <c r="E28" s="323"/>
    </row>
    <row r="29" spans="2:5" ht="13.5" customHeight="1" x14ac:dyDescent="0.2">
      <c r="B29" s="1492"/>
      <c r="C29" s="323"/>
      <c r="D29" s="323"/>
      <c r="E29" s="323"/>
    </row>
    <row r="30" spans="2:5" ht="13.5" customHeight="1" x14ac:dyDescent="0.2">
      <c r="B30" s="1492"/>
      <c r="C30" s="323"/>
      <c r="D30" s="323"/>
      <c r="E30" s="323"/>
    </row>
    <row r="31" spans="2:5" ht="13.5" customHeight="1" x14ac:dyDescent="0.2">
      <c r="B31" s="1492"/>
      <c r="C31" s="323"/>
      <c r="D31" s="323"/>
      <c r="E31" s="323"/>
    </row>
    <row r="32" spans="2:5" ht="13.5" customHeight="1" x14ac:dyDescent="0.2">
      <c r="B32" s="1494"/>
      <c r="C32" s="323"/>
      <c r="D32" s="323"/>
      <c r="E32" s="323"/>
    </row>
    <row r="33" spans="2:5" ht="13.5" customHeight="1" x14ac:dyDescent="0.2">
      <c r="B33" s="1495"/>
      <c r="C33" s="323"/>
      <c r="D33" s="323"/>
      <c r="E33" s="323"/>
    </row>
    <row r="34" spans="2:5" ht="13.5" customHeight="1" x14ac:dyDescent="0.2">
      <c r="B34" s="1496"/>
      <c r="C34" s="323"/>
      <c r="D34" s="323"/>
      <c r="E34" s="323"/>
    </row>
    <row r="35" spans="2:5" ht="13.5" customHeight="1" x14ac:dyDescent="0.2">
      <c r="B35" s="1495"/>
      <c r="C35" s="323"/>
      <c r="D35" s="323"/>
      <c r="E35" s="323"/>
    </row>
    <row r="36" spans="2:5" ht="13.5" customHeight="1" x14ac:dyDescent="0.2">
      <c r="B36" s="1496"/>
      <c r="C36" s="323"/>
      <c r="D36" s="323"/>
      <c r="E36" s="323"/>
    </row>
    <row r="37" spans="2:5" ht="13.5" customHeight="1" x14ac:dyDescent="0.2">
      <c r="B37" s="1496"/>
      <c r="C37" s="323"/>
      <c r="D37" s="323"/>
      <c r="E37" s="323"/>
    </row>
    <row r="38" spans="2:5" ht="13.5" customHeight="1" x14ac:dyDescent="0.2">
      <c r="B38" s="1495"/>
      <c r="C38" s="323"/>
      <c r="D38" s="323"/>
      <c r="E38" s="323"/>
    </row>
    <row r="39" spans="2:5" ht="13.5" customHeight="1" x14ac:dyDescent="0.2">
      <c r="B39" s="1496"/>
      <c r="C39" s="323"/>
      <c r="D39" s="323"/>
      <c r="E39" s="323"/>
    </row>
    <row r="40" spans="2:5" ht="13.5" customHeight="1" x14ac:dyDescent="0.2">
      <c r="B40" s="1495"/>
      <c r="C40" s="323"/>
      <c r="D40" s="323"/>
      <c r="E40" s="323"/>
    </row>
    <row r="41" spans="2:5" ht="13.5" customHeight="1" x14ac:dyDescent="0.2">
      <c r="B41" s="1497"/>
      <c r="C41" s="323"/>
      <c r="D41" s="323"/>
      <c r="E41" s="323"/>
    </row>
    <row r="42" spans="2:5" ht="13.5" customHeight="1" x14ac:dyDescent="0.2">
      <c r="B42" s="1498"/>
      <c r="C42" s="323"/>
      <c r="D42" s="323"/>
      <c r="E42" s="323"/>
    </row>
    <row r="43" spans="2:5" ht="12.75" customHeight="1" x14ac:dyDescent="0.2">
      <c r="B43" s="1499"/>
      <c r="C43" s="1500"/>
      <c r="D43" s="1500"/>
      <c r="E43" s="323"/>
    </row>
    <row r="44" spans="2:5" ht="12.2" customHeight="1" x14ac:dyDescent="0.2">
      <c r="B44" s="1255" t="s">
        <v>1380</v>
      </c>
      <c r="C44" s="322"/>
    </row>
    <row r="45" spans="2:5" ht="12.2" customHeight="1" x14ac:dyDescent="0.2">
      <c r="B45" s="1501" t="s">
        <v>1868</v>
      </c>
    </row>
    <row r="46" spans="2:5" ht="12.2" customHeight="1" x14ac:dyDescent="0.2">
      <c r="B46" s="1501" t="s">
        <v>1869</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topLeftCell="A37" zoomScale="110" zoomScaleNormal="110" zoomScaleSheetLayoutView="100" workbookViewId="0">
      <selection activeCell="B11" sqref="B11:E11"/>
    </sheetView>
  </sheetViews>
  <sheetFormatPr defaultColWidth="9.140625" defaultRowHeight="12.75" x14ac:dyDescent="0.2"/>
  <cols>
    <col min="1" max="1" width="1.5703125" style="1959" customWidth="1"/>
    <col min="2" max="2" width="11.28515625" style="1959" customWidth="1"/>
    <col min="3" max="3" width="6.42578125" style="1959" customWidth="1"/>
    <col min="4" max="4" width="5.42578125" style="1959" customWidth="1"/>
    <col min="5" max="5" width="74.7109375" style="1959" customWidth="1"/>
    <col min="6" max="6" width="1.5703125" style="1959" customWidth="1"/>
    <col min="7" max="8" width="2.42578125" style="1959" customWidth="1"/>
    <col min="9" max="9" width="9.28515625" style="1959" customWidth="1"/>
    <col min="10" max="10" width="14.42578125" style="1959" customWidth="1"/>
    <col min="11" max="11" width="7.28515625" style="1959" customWidth="1"/>
    <col min="12" max="12" width="3.140625" style="1959" customWidth="1"/>
    <col min="13" max="16384" width="9.140625" style="1959"/>
  </cols>
  <sheetData>
    <row r="1" spans="2:12" ht="13.5" customHeight="1" x14ac:dyDescent="0.2">
      <c r="B1" s="2755" t="s">
        <v>2259</v>
      </c>
      <c r="C1" s="2755"/>
      <c r="D1" s="2755"/>
      <c r="E1" s="2755"/>
      <c r="F1" s="1958"/>
      <c r="G1" s="1958"/>
      <c r="H1" s="1958"/>
      <c r="I1" s="1958"/>
      <c r="J1" s="1958"/>
      <c r="K1" s="1958"/>
      <c r="L1" s="1958"/>
    </row>
    <row r="2" spans="2:12" ht="13.5" customHeight="1" x14ac:dyDescent="0.2">
      <c r="B2" s="2756" t="s">
        <v>2082</v>
      </c>
      <c r="C2" s="2756"/>
      <c r="D2" s="2756"/>
      <c r="E2" s="2756"/>
      <c r="F2" s="1960"/>
      <c r="G2" s="1960"/>
      <c r="H2" s="1960"/>
      <c r="I2" s="1960"/>
      <c r="J2" s="1960"/>
      <c r="K2" s="1960"/>
      <c r="L2" s="1960"/>
    </row>
    <row r="3" spans="2:12" ht="13.5" customHeight="1" x14ac:dyDescent="0.2">
      <c r="B3" s="2757" t="s">
        <v>2122</v>
      </c>
      <c r="C3" s="2757"/>
      <c r="D3" s="2757"/>
      <c r="E3" s="2757"/>
      <c r="F3" s="1961"/>
      <c r="G3" s="1961"/>
      <c r="H3" s="1961"/>
      <c r="I3" s="1961"/>
      <c r="J3" s="1961"/>
      <c r="K3" s="1961"/>
      <c r="L3" s="1961"/>
    </row>
    <row r="4" spans="2:12" ht="13.5" customHeight="1" x14ac:dyDescent="0.2">
      <c r="B4" s="2758" t="str">
        <f>'Single Audit Cover'!A4</f>
        <v>Year Ending June 30, 2018</v>
      </c>
      <c r="C4" s="2758"/>
      <c r="D4" s="2758"/>
      <c r="E4" s="2758"/>
      <c r="F4" s="1962"/>
      <c r="G4" s="1962"/>
      <c r="H4" s="1962"/>
      <c r="I4" s="1962"/>
      <c r="J4" s="1962"/>
      <c r="K4" s="1962"/>
      <c r="L4" s="1962"/>
    </row>
    <row r="5" spans="2:12" ht="29.85" customHeight="1" x14ac:dyDescent="0.2">
      <c r="B5" s="1963"/>
      <c r="C5" s="1963"/>
      <c r="D5" s="1963"/>
      <c r="E5" s="1963"/>
      <c r="F5" s="1963"/>
      <c r="G5" s="1963"/>
      <c r="H5" s="1963"/>
      <c r="I5" s="1963"/>
    </row>
    <row r="6" spans="2:12" ht="13.5" customHeight="1" x14ac:dyDescent="0.2">
      <c r="B6" s="1964" t="s">
        <v>2123</v>
      </c>
      <c r="C6" s="1964"/>
      <c r="D6" s="1965"/>
      <c r="E6" s="1966"/>
      <c r="F6" s="1966"/>
      <c r="G6" s="1967"/>
      <c r="H6" s="1967"/>
      <c r="I6" s="1967"/>
    </row>
    <row r="7" spans="2:12" ht="13.5" customHeight="1" x14ac:dyDescent="0.2">
      <c r="B7" s="1963" t="s">
        <v>1231</v>
      </c>
      <c r="C7" s="1963"/>
      <c r="D7" s="1963"/>
      <c r="E7" s="1963"/>
      <c r="F7" s="1963"/>
      <c r="G7" s="1963"/>
      <c r="H7" s="1963"/>
      <c r="I7" s="1963"/>
    </row>
    <row r="8" spans="2:12" ht="13.5" customHeight="1" x14ac:dyDescent="0.2">
      <c r="B8" s="1968" t="s">
        <v>2124</v>
      </c>
      <c r="C8" s="1969" t="s">
        <v>1949</v>
      </c>
      <c r="D8" s="1970">
        <v>1</v>
      </c>
      <c r="E8" s="1963"/>
      <c r="F8" s="1963"/>
      <c r="G8" s="1963"/>
      <c r="H8" s="1963"/>
      <c r="I8" s="1963"/>
    </row>
    <row r="9" spans="2:12" ht="13.5" customHeight="1" x14ac:dyDescent="0.2">
      <c r="B9" s="1971"/>
      <c r="C9" s="1971"/>
      <c r="D9" s="1971"/>
    </row>
    <row r="10" spans="2:12" ht="13.5" customHeight="1" x14ac:dyDescent="0.2">
      <c r="B10" s="1968" t="s">
        <v>2125</v>
      </c>
      <c r="C10" s="1968"/>
      <c r="D10" s="1963"/>
    </row>
    <row r="11" spans="2:12" ht="66.75" customHeight="1" x14ac:dyDescent="0.2">
      <c r="B11" s="2753" t="s">
        <v>2126</v>
      </c>
      <c r="C11" s="2753"/>
      <c r="D11" s="2754"/>
      <c r="E11" s="2754"/>
    </row>
    <row r="12" spans="2:12" ht="13.5" customHeight="1" x14ac:dyDescent="0.2">
      <c r="B12" s="1963"/>
      <c r="C12" s="1963"/>
      <c r="D12" s="1963"/>
    </row>
    <row r="13" spans="2:12" ht="13.5" customHeight="1" x14ac:dyDescent="0.2">
      <c r="B13" s="1968" t="s">
        <v>2127</v>
      </c>
      <c r="C13" s="1968"/>
      <c r="D13" s="1963"/>
    </row>
    <row r="14" spans="2:12" ht="76.5" customHeight="1" x14ac:dyDescent="0.2">
      <c r="B14" s="2753" t="s">
        <v>2128</v>
      </c>
      <c r="C14" s="2753"/>
      <c r="D14" s="2754"/>
      <c r="E14" s="2754"/>
    </row>
    <row r="15" spans="2:12" ht="13.5" customHeight="1" x14ac:dyDescent="0.2">
      <c r="B15" s="1963"/>
      <c r="C15" s="1963"/>
      <c r="D15" s="1963"/>
    </row>
    <row r="16" spans="2:12" ht="13.5" customHeight="1" x14ac:dyDescent="0.2">
      <c r="B16" s="1968" t="s">
        <v>2129</v>
      </c>
      <c r="C16" s="1968"/>
      <c r="D16" s="1963"/>
      <c r="E16" s="1972" t="s">
        <v>2130</v>
      </c>
    </row>
    <row r="17" spans="2:5" ht="13.5" customHeight="1" x14ac:dyDescent="0.2">
      <c r="B17" s="1963"/>
      <c r="C17" s="1963"/>
      <c r="D17" s="1963"/>
    </row>
    <row r="18" spans="2:5" ht="13.5" customHeight="1" x14ac:dyDescent="0.2">
      <c r="B18" s="1968" t="s">
        <v>2131</v>
      </c>
      <c r="C18" s="1968"/>
      <c r="D18" s="1963"/>
      <c r="E18" s="1973" t="s">
        <v>2132</v>
      </c>
    </row>
    <row r="19" spans="2:5" ht="13.5" customHeight="1" x14ac:dyDescent="0.2">
      <c r="B19" s="1963"/>
      <c r="C19" s="1963"/>
      <c r="D19" s="1963"/>
    </row>
    <row r="20" spans="2:5" ht="13.5" customHeight="1" x14ac:dyDescent="0.2">
      <c r="B20" s="1968" t="s">
        <v>2133</v>
      </c>
      <c r="C20" s="1968"/>
      <c r="D20" s="1963"/>
      <c r="E20" s="1973" t="s">
        <v>2134</v>
      </c>
    </row>
    <row r="21" spans="2:5" ht="13.5" customHeight="1" x14ac:dyDescent="0.2">
      <c r="B21" s="1963"/>
      <c r="C21" s="1963"/>
      <c r="D21" s="1963"/>
      <c r="E21" s="1974"/>
    </row>
    <row r="22" spans="2:5" ht="13.5" customHeight="1" x14ac:dyDescent="0.2">
      <c r="B22" s="1963"/>
      <c r="C22" s="1963"/>
      <c r="D22" s="1963"/>
      <c r="E22" s="1974"/>
    </row>
    <row r="23" spans="2:5" ht="13.5" customHeight="1" x14ac:dyDescent="0.2">
      <c r="B23" s="1963"/>
      <c r="C23" s="1963"/>
      <c r="D23" s="1963"/>
    </row>
    <row r="24" spans="2:5" ht="13.5" customHeight="1" x14ac:dyDescent="0.2">
      <c r="B24" s="1963"/>
      <c r="C24" s="1963"/>
      <c r="D24" s="1963"/>
    </row>
    <row r="25" spans="2:5" ht="13.5" customHeight="1" x14ac:dyDescent="0.2">
      <c r="B25" s="1975"/>
      <c r="C25" s="1975"/>
      <c r="D25" s="1975"/>
    </row>
    <row r="26" spans="2:5" ht="13.5" customHeight="1" x14ac:dyDescent="0.2">
      <c r="B26" s="1975"/>
      <c r="C26" s="1975"/>
      <c r="D26" s="1975"/>
    </row>
    <row r="27" spans="2:5" ht="13.5" customHeight="1" x14ac:dyDescent="0.2">
      <c r="B27" s="1975"/>
      <c r="C27" s="1975"/>
      <c r="D27" s="1975"/>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6"/>
      <c r="C35" s="1976"/>
      <c r="D35" s="1976"/>
    </row>
    <row r="36" spans="2:5" ht="13.5" customHeight="1" x14ac:dyDescent="0.2"/>
    <row r="37" spans="2:5" ht="13.5" customHeight="1" x14ac:dyDescent="0.2">
      <c r="B37" s="1977"/>
      <c r="C37" s="1977"/>
      <c r="D37" s="1977"/>
    </row>
    <row r="38" spans="2:5" ht="13.5" customHeight="1" x14ac:dyDescent="0.2">
      <c r="B38" s="1977"/>
      <c r="C38" s="1977"/>
      <c r="D38" s="1977"/>
    </row>
    <row r="39" spans="2:5" ht="13.5" customHeight="1" x14ac:dyDescent="0.2">
      <c r="B39" s="1977"/>
      <c r="C39" s="1977"/>
      <c r="D39" s="1977"/>
    </row>
    <row r="40" spans="2:5" ht="13.5" customHeight="1" x14ac:dyDescent="0.2">
      <c r="B40" s="1977"/>
      <c r="C40" s="1977"/>
      <c r="D40" s="1977"/>
    </row>
    <row r="41" spans="2:5" ht="13.5" customHeight="1" x14ac:dyDescent="0.2">
      <c r="B41" s="1978"/>
      <c r="C41" s="1978"/>
      <c r="D41" s="1978"/>
      <c r="E41" s="1979"/>
    </row>
    <row r="42" spans="2:5" ht="12.2" customHeight="1" x14ac:dyDescent="0.2">
      <c r="B42" s="1980" t="s">
        <v>2135</v>
      </c>
      <c r="C42" s="1980"/>
      <c r="D42" s="1980"/>
    </row>
    <row r="43" spans="2:5" ht="12.2" customHeight="1" x14ac:dyDescent="0.2">
      <c r="B43" s="1981"/>
      <c r="C43" s="1981"/>
      <c r="D43" s="1981"/>
    </row>
    <row r="44" spans="2:5" ht="12.75" customHeight="1" x14ac:dyDescent="0.2">
      <c r="B44" s="1982"/>
      <c r="C44" s="1982"/>
      <c r="D44" s="1982"/>
    </row>
    <row r="45" spans="2:5" ht="12.75" customHeight="1" x14ac:dyDescent="0.2">
      <c r="B45" s="1982"/>
      <c r="C45" s="1982"/>
      <c r="D45" s="1982"/>
    </row>
    <row r="46" spans="2:5" x14ac:dyDescent="0.2">
      <c r="B46" s="1982"/>
      <c r="C46" s="1982"/>
      <c r="D46" s="1982"/>
    </row>
    <row r="47" spans="2:5" x14ac:dyDescent="0.2">
      <c r="B47" s="1982"/>
      <c r="C47" s="1982"/>
      <c r="D47" s="1982"/>
    </row>
    <row r="51" spans="2:9" x14ac:dyDescent="0.2">
      <c r="B51" s="1983"/>
      <c r="C51" s="1983"/>
      <c r="D51" s="1983"/>
    </row>
    <row r="52" spans="2:9" ht="12.75" customHeight="1" x14ac:dyDescent="0.2"/>
    <row r="53" spans="2:9" ht="12.75" customHeight="1" x14ac:dyDescent="0.2">
      <c r="B53" s="1963"/>
      <c r="C53" s="1963"/>
      <c r="D53" s="1963"/>
      <c r="E53" s="1963"/>
      <c r="F53" s="1963"/>
      <c r="G53" s="1963"/>
      <c r="H53" s="1963"/>
      <c r="I53" s="1963"/>
    </row>
    <row r="54" spans="2:9" ht="12.75" customHeight="1" x14ac:dyDescent="0.2">
      <c r="B54" s="1963"/>
      <c r="C54" s="1963"/>
      <c r="D54" s="1963"/>
      <c r="E54" s="1963"/>
      <c r="F54" s="1963"/>
      <c r="G54" s="1963"/>
      <c r="H54" s="1963"/>
      <c r="I54" s="1963"/>
    </row>
    <row r="55" spans="2:9" ht="12.75" customHeight="1" x14ac:dyDescent="0.2">
      <c r="B55" s="1963"/>
      <c r="C55" s="1963"/>
      <c r="D55" s="1963"/>
      <c r="E55" s="1963"/>
      <c r="F55" s="1963"/>
      <c r="G55" s="1963"/>
      <c r="H55" s="1963"/>
      <c r="I55" s="1963"/>
    </row>
    <row r="56" spans="2:9" ht="12.75" customHeight="1" x14ac:dyDescent="0.2">
      <c r="B56" s="1963"/>
      <c r="C56" s="1963"/>
      <c r="D56" s="1963"/>
      <c r="E56" s="1963"/>
      <c r="F56" s="1963"/>
      <c r="G56" s="1963"/>
      <c r="H56" s="1963"/>
      <c r="I56" s="1963"/>
    </row>
    <row r="57" spans="2:9" ht="12.75" customHeight="1" x14ac:dyDescent="0.2">
      <c r="B57" s="1963"/>
      <c r="C57" s="1963"/>
      <c r="D57" s="1963"/>
      <c r="E57" s="1963"/>
      <c r="F57" s="1963"/>
      <c r="G57" s="1963"/>
      <c r="H57" s="1963"/>
      <c r="I57" s="1963"/>
    </row>
    <row r="58" spans="2:9" ht="12.75" customHeight="1" x14ac:dyDescent="0.2">
      <c r="B58" s="1963"/>
      <c r="C58" s="1963"/>
      <c r="D58" s="1963"/>
      <c r="E58" s="1963"/>
      <c r="F58" s="1963"/>
      <c r="G58" s="1963"/>
      <c r="H58" s="1963"/>
      <c r="I58" s="1963"/>
    </row>
    <row r="59" spans="2:9" ht="12.75" customHeight="1" x14ac:dyDescent="0.2">
      <c r="B59" s="1963"/>
      <c r="C59" s="1963"/>
      <c r="D59" s="1963"/>
      <c r="E59" s="1963"/>
      <c r="F59" s="1963"/>
    </row>
    <row r="60" spans="2:9" ht="12.75" customHeight="1" x14ac:dyDescent="0.2">
      <c r="B60" s="1963"/>
      <c r="C60" s="1963"/>
      <c r="D60" s="1963"/>
      <c r="E60" s="1963"/>
      <c r="F60" s="1963"/>
      <c r="G60" s="1963"/>
      <c r="H60" s="1963"/>
      <c r="I60" s="1963"/>
    </row>
    <row r="64" spans="2:9" x14ac:dyDescent="0.2">
      <c r="B64" s="1984"/>
      <c r="C64" s="1984"/>
      <c r="D64" s="1984"/>
    </row>
    <row r="65" spans="2:4" x14ac:dyDescent="0.2">
      <c r="B65" s="1982"/>
      <c r="C65" s="1982"/>
      <c r="D65" s="1982"/>
    </row>
    <row r="66" spans="2:4" x14ac:dyDescent="0.2">
      <c r="B66" s="1982"/>
      <c r="C66" s="1982"/>
      <c r="D66" s="1982"/>
    </row>
    <row r="67" spans="2:4" x14ac:dyDescent="0.2">
      <c r="B67" s="1985"/>
      <c r="C67" s="1985"/>
      <c r="D67" s="1985"/>
    </row>
    <row r="68" spans="2:4" x14ac:dyDescent="0.2">
      <c r="B68" s="1985"/>
      <c r="C68" s="1985"/>
      <c r="D68" s="1985"/>
    </row>
    <row r="69" spans="2:4" x14ac:dyDescent="0.2">
      <c r="B69" s="1985"/>
      <c r="C69" s="1985"/>
      <c r="D69" s="1985"/>
    </row>
    <row r="70" spans="2:4" x14ac:dyDescent="0.2">
      <c r="B70" s="1982"/>
      <c r="C70" s="1982"/>
      <c r="D70" s="198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339" t="s">
        <v>404</v>
      </c>
      <c r="B1" s="2339"/>
      <c r="C1" s="2339"/>
      <c r="D1" s="2339"/>
      <c r="E1" s="2339"/>
      <c r="F1" s="2339"/>
      <c r="G1" s="2339"/>
      <c r="H1" s="2339"/>
      <c r="I1" s="2339"/>
      <c r="J1" s="2339"/>
      <c r="K1" s="2339"/>
      <c r="L1" s="2339"/>
      <c r="M1" s="233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0">
        <f>ROUND(D10+F10+H10,5)</f>
        <v>0</v>
      </c>
      <c r="K10" s="222"/>
      <c r="L10" s="355"/>
      <c r="M10" s="222"/>
    </row>
    <row r="11" spans="1:14" ht="7.5" customHeight="1" x14ac:dyDescent="0.2">
      <c r="B11" s="222"/>
      <c r="C11" s="222"/>
      <c r="D11" s="2349" t="str">
        <f>IF(SUM(J10)&lt;=0.0999999,"","Enter the Tax Rates by moving the decimal two places to the left.")</f>
        <v/>
      </c>
      <c r="E11" s="2350"/>
      <c r="F11" s="2350"/>
      <c r="G11" s="2350"/>
      <c r="H11" s="2350"/>
      <c r="I11" s="2350"/>
      <c r="J11" s="235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5587412</v>
      </c>
      <c r="E16" s="356"/>
      <c r="F16" s="1751">
        <f>SUM('Acct Summary 7-8'!C17,'Acct Summary 7-8'!D17,'Acct Summary 7-8'!F17)</f>
        <v>5702146</v>
      </c>
      <c r="G16" s="356"/>
      <c r="H16" s="1751">
        <f>SUM(D16-F16)</f>
        <v>-114734</v>
      </c>
      <c r="I16" s="222"/>
      <c r="J16" s="1751">
        <f>SUM('Acct Summary 7-8'!C81,'Acct Summary 7-8'!D81,'Acct Summary 7-8'!F81,'Acct Summary 7-8'!I81)</f>
        <v>47890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340"/>
      <c r="C54" s="2341"/>
      <c r="D54" s="2341"/>
      <c r="E54" s="2341"/>
      <c r="F54" s="2341"/>
      <c r="G54" s="2341"/>
      <c r="H54" s="2341"/>
      <c r="I54" s="2341"/>
      <c r="J54" s="2341"/>
      <c r="K54" s="2341"/>
      <c r="L54" s="2342"/>
      <c r="M54" s="380"/>
    </row>
    <row r="55" spans="1:13" ht="12.75" customHeight="1" x14ac:dyDescent="0.2">
      <c r="B55" s="2343"/>
      <c r="C55" s="2344"/>
      <c r="D55" s="2344"/>
      <c r="E55" s="2344"/>
      <c r="F55" s="2344"/>
      <c r="G55" s="2344"/>
      <c r="H55" s="2344"/>
      <c r="I55" s="2344"/>
      <c r="J55" s="2344"/>
      <c r="K55" s="2344"/>
      <c r="L55" s="2345"/>
      <c r="M55" s="380"/>
    </row>
    <row r="56" spans="1:13" ht="12.75" customHeight="1" x14ac:dyDescent="0.2">
      <c r="B56" s="2343"/>
      <c r="C56" s="2344"/>
      <c r="D56" s="2344"/>
      <c r="E56" s="2344"/>
      <c r="F56" s="2344"/>
      <c r="G56" s="2344"/>
      <c r="H56" s="2344"/>
      <c r="I56" s="2344"/>
      <c r="J56" s="2344"/>
      <c r="K56" s="2344"/>
      <c r="L56" s="2345"/>
      <c r="M56" s="222"/>
    </row>
    <row r="57" spans="1:13" ht="12.75" customHeight="1" x14ac:dyDescent="0.2">
      <c r="B57" s="2343"/>
      <c r="C57" s="2344"/>
      <c r="D57" s="2344"/>
      <c r="E57" s="2344"/>
      <c r="F57" s="2344"/>
      <c r="G57" s="2344"/>
      <c r="H57" s="2344"/>
      <c r="I57" s="2344"/>
      <c r="J57" s="2344"/>
      <c r="K57" s="2344"/>
      <c r="L57" s="2345"/>
      <c r="M57" s="222"/>
    </row>
    <row r="58" spans="1:13" x14ac:dyDescent="0.2">
      <c r="B58" s="2346"/>
      <c r="C58" s="2347"/>
      <c r="D58" s="2347"/>
      <c r="E58" s="2347"/>
      <c r="F58" s="2347"/>
      <c r="G58" s="2347"/>
      <c r="H58" s="2347"/>
      <c r="I58" s="2347"/>
      <c r="J58" s="2347"/>
      <c r="K58" s="2347"/>
      <c r="L58" s="234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351"/>
      <c r="D61" s="235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354"/>
      <c r="B1" s="2355"/>
      <c r="C1" s="2355"/>
      <c r="D1" s="384"/>
      <c r="E1" s="384"/>
      <c r="F1" s="384"/>
      <c r="G1" s="384"/>
      <c r="H1" s="384"/>
      <c r="I1" s="384"/>
      <c r="J1" s="384"/>
      <c r="K1" s="384"/>
      <c r="L1" s="384"/>
      <c r="M1" s="384"/>
      <c r="N1" s="384"/>
      <c r="O1" s="2354"/>
      <c r="P1" s="2355"/>
      <c r="Q1" s="2355"/>
    </row>
    <row r="2" spans="1:18" ht="15" x14ac:dyDescent="0.2">
      <c r="A2" s="2358" t="s">
        <v>577</v>
      </c>
      <c r="B2" s="2358"/>
      <c r="C2" s="2358"/>
      <c r="D2" s="2358"/>
      <c r="E2" s="2358"/>
      <c r="F2" s="2358"/>
      <c r="G2" s="2358"/>
      <c r="H2" s="2358"/>
      <c r="I2" s="2358"/>
      <c r="J2" s="2358"/>
      <c r="K2" s="2358"/>
      <c r="L2" s="2358"/>
      <c r="M2" s="2358"/>
      <c r="N2" s="2358"/>
      <c r="O2" s="2358"/>
      <c r="P2" s="2358"/>
      <c r="Q2" s="2358"/>
      <c r="R2" s="2358"/>
    </row>
    <row r="3" spans="1:18" ht="12.75" x14ac:dyDescent="0.2">
      <c r="A3" s="2359" t="s">
        <v>1480</v>
      </c>
      <c r="B3" s="2359"/>
      <c r="C3" s="2359"/>
      <c r="D3" s="2359"/>
      <c r="E3" s="2359"/>
      <c r="F3" s="2359"/>
      <c r="G3" s="2359"/>
      <c r="H3" s="2359"/>
      <c r="I3" s="2359"/>
      <c r="J3" s="2359"/>
      <c r="K3" s="2359"/>
      <c r="L3" s="2359"/>
      <c r="M3" s="2359"/>
      <c r="N3" s="2359"/>
      <c r="O3" s="2359"/>
      <c r="P3" s="2359"/>
      <c r="Q3" s="2359"/>
      <c r="R3" s="2359"/>
    </row>
    <row r="4" spans="1:18" x14ac:dyDescent="0.2">
      <c r="A4" s="2360" t="s">
        <v>1635</v>
      </c>
      <c r="B4" s="2360"/>
      <c r="C4" s="2360"/>
      <c r="D4" s="2360"/>
      <c r="E4" s="2360"/>
      <c r="F4" s="2360"/>
      <c r="G4" s="2360"/>
      <c r="H4" s="2360"/>
      <c r="I4" s="2360"/>
      <c r="J4" s="2360"/>
      <c r="K4" s="2360"/>
      <c r="L4" s="2360"/>
      <c r="M4" s="2360"/>
      <c r="N4" s="2360"/>
      <c r="O4" s="2360"/>
      <c r="P4" s="2360"/>
      <c r="Q4" s="2360"/>
      <c r="R4" s="236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Bi County Sp Ed Co-op</v>
      </c>
      <c r="E7" s="391"/>
      <c r="G7" s="252"/>
      <c r="H7" s="387"/>
      <c r="I7" s="387"/>
      <c r="J7" s="387"/>
      <c r="K7" s="387"/>
      <c r="L7" s="329"/>
      <c r="M7" s="329"/>
      <c r="N7" s="329"/>
      <c r="O7" s="329"/>
      <c r="P7" s="329"/>
    </row>
    <row r="8" spans="1:18" ht="12.75" x14ac:dyDescent="0.2">
      <c r="A8" s="329"/>
      <c r="B8" s="329"/>
      <c r="C8" s="389" t="s">
        <v>1187</v>
      </c>
      <c r="D8" s="392">
        <f>COVER!A13</f>
        <v>47098000061</v>
      </c>
      <c r="E8" s="393"/>
      <c r="G8" s="329"/>
      <c r="H8" s="329"/>
      <c r="I8" s="329"/>
      <c r="J8" s="329"/>
      <c r="K8" s="329"/>
      <c r="L8" s="329"/>
      <c r="M8" s="329"/>
      <c r="N8" s="329"/>
      <c r="O8" s="329"/>
      <c r="P8" s="329"/>
    </row>
    <row r="9" spans="1:18" ht="12.75" x14ac:dyDescent="0.2">
      <c r="A9" s="329"/>
      <c r="B9" s="329"/>
      <c r="C9" s="389" t="s">
        <v>737</v>
      </c>
      <c r="D9" s="394" t="str">
        <f>COVER!A15</f>
        <v>Whiteside/Carroll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47890</v>
      </c>
      <c r="I12" s="404"/>
      <c r="J12" s="404"/>
      <c r="K12" s="405">
        <f>TRUNC((H12/H13*100000),5)/100000</f>
        <v>8.5710522000000001E-3</v>
      </c>
      <c r="L12" s="406"/>
      <c r="M12" s="360" t="s">
        <v>1206</v>
      </c>
      <c r="N12" s="360"/>
      <c r="O12" s="407">
        <v>0.35</v>
      </c>
      <c r="P12" s="218"/>
      <c r="Q12" s="218"/>
    </row>
    <row r="13" spans="1:18" s="408" customFormat="1" ht="12.75" x14ac:dyDescent="0.2">
      <c r="A13" s="218"/>
      <c r="B13" s="401"/>
      <c r="C13" s="2356" t="s">
        <v>1391</v>
      </c>
      <c r="D13" s="2357"/>
      <c r="E13" s="218"/>
      <c r="F13" s="409" t="s">
        <v>826</v>
      </c>
      <c r="G13" s="402"/>
      <c r="H13" s="403">
        <f>SUM('Acct Summary 7-8'!C8+'Acct Summary 7-8'!D8+'Acct Summary 7-8'!F8+'Acct Summary 7-8'!I8)+H14</f>
        <v>5587412</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5702146</v>
      </c>
      <c r="I17" s="404"/>
      <c r="J17" s="416"/>
      <c r="K17" s="405">
        <f>TRUNC((H17/H18*100000),5)/100000</f>
        <v>1.0205343726</v>
      </c>
      <c r="L17" s="406"/>
      <c r="M17" s="417" t="s">
        <v>1233</v>
      </c>
      <c r="O17" s="418" t="str">
        <f>IF(AND(O16="2", J20 &gt; 2),"1",IF(AND(O16 = "1", J20 &gt; 2),"2",IF(AND(O16="1", J20 &gt;1),"1","0")))</f>
        <v>0</v>
      </c>
      <c r="P17" s="218"/>
    </row>
    <row r="18" spans="1:18" s="408" customFormat="1" ht="11.25" x14ac:dyDescent="0.2">
      <c r="A18" s="218"/>
      <c r="B18" s="401"/>
      <c r="C18" s="2356" t="s">
        <v>1384</v>
      </c>
      <c r="D18" s="2357"/>
      <c r="E18" s="218"/>
      <c r="F18" s="419" t="s">
        <v>827</v>
      </c>
      <c r="G18" s="402"/>
      <c r="H18" s="403">
        <f>SUM('Acct Summary 7-8'!C8+'Acct Summary 7-8'!D8+'Acct Summary 7-8'!F8+'Acct Summary 7-8'!I8)+H19</f>
        <v>5587412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-4.4524831000000002</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353" t="s">
        <v>1479</v>
      </c>
      <c r="D24" s="2353"/>
      <c r="E24" s="218"/>
      <c r="F24" s="218" t="s">
        <v>465</v>
      </c>
      <c r="G24" s="402"/>
      <c r="H24" s="403">
        <f>SUM('Assets-Liab 5-6'!C4+'Assets-Liab 5-6'!D4+'Assets-Liab 5-6'!F4+'Assets-Liab 5-6'!I4+'Assets-Liab 5-6'!C5+'Assets-Liab 5-6'!D5+'Assets-Liab 5-6'!F5+'Assets-Liab 5-6'!I5)</f>
        <v>58945</v>
      </c>
      <c r="I24" s="422"/>
      <c r="J24" s="422"/>
      <c r="K24" s="423">
        <f>TRUNC(((H24/H25*100000)/100000),2)</f>
        <v>3.72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15839.29444</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36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36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363" t="s">
        <v>1030</v>
      </c>
      <c r="B3" s="2364"/>
      <c r="C3" s="1577"/>
      <c r="D3" s="1578"/>
      <c r="E3" s="1578"/>
      <c r="F3" s="1578"/>
      <c r="G3" s="1578"/>
      <c r="H3" s="1578"/>
      <c r="I3" s="1578"/>
      <c r="J3" s="1578"/>
      <c r="K3" s="1578"/>
      <c r="L3" s="1578"/>
      <c r="M3" s="1579"/>
      <c r="N3" s="1580"/>
    </row>
    <row r="4" spans="1:14" ht="13.5" customHeight="1" x14ac:dyDescent="0.2">
      <c r="A4" s="463" t="s">
        <v>1750</v>
      </c>
      <c r="B4" s="464"/>
      <c r="C4" s="465">
        <v>58945</v>
      </c>
      <c r="D4" s="465">
        <v>0</v>
      </c>
      <c r="E4" s="466">
        <v>0</v>
      </c>
      <c r="F4" s="466">
        <v>0</v>
      </c>
      <c r="G4" s="466">
        <v>0</v>
      </c>
      <c r="H4" s="466">
        <v>0</v>
      </c>
      <c r="I4" s="466">
        <v>0</v>
      </c>
      <c r="J4" s="467">
        <v>0</v>
      </c>
      <c r="K4" s="466">
        <v>0</v>
      </c>
      <c r="L4" s="466">
        <v>3962</v>
      </c>
      <c r="M4" s="468"/>
      <c r="N4" s="469"/>
    </row>
    <row r="5" spans="1:14" x14ac:dyDescent="0.2">
      <c r="A5" s="463" t="s">
        <v>1049</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4" t="s">
        <v>665</v>
      </c>
      <c r="B13" s="1727"/>
      <c r="C13" s="1755">
        <f>SUM(C4:C12)</f>
        <v>58945</v>
      </c>
      <c r="D13" s="1755">
        <f t="shared" ref="D13:L13" si="0">SUM(D4:D12)</f>
        <v>0</v>
      </c>
      <c r="E13" s="1755">
        <f t="shared" si="0"/>
        <v>0</v>
      </c>
      <c r="F13" s="1755">
        <f t="shared" si="0"/>
        <v>0</v>
      </c>
      <c r="G13" s="1755">
        <f t="shared" si="0"/>
        <v>0</v>
      </c>
      <c r="H13" s="1755">
        <f t="shared" si="0"/>
        <v>0</v>
      </c>
      <c r="I13" s="1755">
        <f t="shared" si="0"/>
        <v>0</v>
      </c>
      <c r="J13" s="1755">
        <f t="shared" si="0"/>
        <v>0</v>
      </c>
      <c r="K13" s="1755">
        <f t="shared" si="0"/>
        <v>0</v>
      </c>
      <c r="L13" s="1755">
        <f t="shared" si="0"/>
        <v>3962</v>
      </c>
      <c r="M13" s="468"/>
      <c r="N13" s="469"/>
    </row>
    <row r="14" spans="1:14" ht="18" customHeight="1" thickTop="1" x14ac:dyDescent="0.2">
      <c r="A14" s="2365" t="s">
        <v>149</v>
      </c>
      <c r="B14" s="2366"/>
      <c r="C14" s="1581"/>
      <c r="D14" s="1582"/>
      <c r="E14" s="1582"/>
      <c r="F14" s="1582"/>
      <c r="G14" s="1582"/>
      <c r="H14" s="1582"/>
      <c r="I14" s="1582"/>
      <c r="J14" s="1582"/>
      <c r="K14" s="1582"/>
      <c r="L14" s="1582"/>
      <c r="M14" s="1583"/>
      <c r="N14" s="1584"/>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0</v>
      </c>
      <c r="N16" s="483"/>
    </row>
    <row r="17" spans="1:14" s="484" customFormat="1" ht="12.75" customHeight="1" x14ac:dyDescent="0.2">
      <c r="A17" s="481" t="s">
        <v>1470</v>
      </c>
      <c r="B17" s="482">
        <v>230</v>
      </c>
      <c r="C17" s="476"/>
      <c r="D17" s="476"/>
      <c r="E17" s="476"/>
      <c r="F17" s="476"/>
      <c r="G17" s="476"/>
      <c r="H17" s="476"/>
      <c r="I17" s="476"/>
      <c r="J17" s="476"/>
      <c r="K17" s="476"/>
      <c r="L17" s="476"/>
      <c r="M17" s="467">
        <v>0</v>
      </c>
      <c r="N17" s="483"/>
    </row>
    <row r="18" spans="1:14" s="484" customFormat="1" ht="12.75" customHeight="1" x14ac:dyDescent="0.2">
      <c r="A18" s="481" t="s">
        <v>1471</v>
      </c>
      <c r="B18" s="482">
        <v>240</v>
      </c>
      <c r="C18" s="476"/>
      <c r="D18" s="476"/>
      <c r="E18" s="476"/>
      <c r="F18" s="476"/>
      <c r="G18" s="476"/>
      <c r="H18" s="476"/>
      <c r="I18" s="476"/>
      <c r="J18" s="476"/>
      <c r="K18" s="476"/>
      <c r="L18" s="476"/>
      <c r="M18" s="467">
        <v>0</v>
      </c>
      <c r="N18" s="483"/>
    </row>
    <row r="19" spans="1:14" s="484" customFormat="1" ht="12.75" customHeight="1" x14ac:dyDescent="0.2">
      <c r="A19" s="481" t="s">
        <v>1472</v>
      </c>
      <c r="B19" s="482">
        <v>250</v>
      </c>
      <c r="C19" s="476"/>
      <c r="D19" s="476"/>
      <c r="E19" s="476"/>
      <c r="F19" s="476"/>
      <c r="G19" s="476"/>
      <c r="H19" s="476"/>
      <c r="I19" s="476"/>
      <c r="J19" s="476"/>
      <c r="K19" s="476"/>
      <c r="L19" s="476"/>
      <c r="M19" s="467">
        <v>989563</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0</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0</v>
      </c>
    </row>
    <row r="23" spans="1:14" ht="13.5" customHeight="1" thickBot="1" x14ac:dyDescent="0.25">
      <c r="A23" s="1754" t="s">
        <v>664</v>
      </c>
      <c r="B23" s="1759"/>
      <c r="C23" s="468"/>
      <c r="D23" s="468"/>
      <c r="E23" s="468"/>
      <c r="F23" s="468"/>
      <c r="G23" s="468"/>
      <c r="H23" s="468"/>
      <c r="I23" s="468"/>
      <c r="J23" s="468"/>
      <c r="K23" s="468"/>
      <c r="L23" s="468"/>
      <c r="M23" s="1706">
        <f>SUM(M15:M22)</f>
        <v>989563</v>
      </c>
      <c r="N23" s="1706">
        <f>SUM(N21:N22)</f>
        <v>0</v>
      </c>
    </row>
    <row r="24" spans="1:14" ht="18" customHeight="1" thickTop="1" x14ac:dyDescent="0.2">
      <c r="A24" s="2367" t="s">
        <v>619</v>
      </c>
      <c r="B24" s="2368"/>
      <c r="C24" s="1586"/>
      <c r="D24" s="1583"/>
      <c r="E24" s="1583"/>
      <c r="F24" s="1583"/>
      <c r="G24" s="1583"/>
      <c r="H24" s="1583"/>
      <c r="I24" s="1583"/>
      <c r="J24" s="1583"/>
      <c r="K24" s="1583"/>
      <c r="L24" s="1583"/>
      <c r="M24" s="1582"/>
      <c r="N24" s="1587"/>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11055</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0</v>
      </c>
      <c r="M33" s="468"/>
      <c r="N33" s="469"/>
    </row>
    <row r="34" spans="1:14" ht="13.5" customHeight="1" thickBot="1" x14ac:dyDescent="0.25">
      <c r="A34" s="1756" t="s">
        <v>675</v>
      </c>
      <c r="B34" s="1757"/>
      <c r="C34" s="1758">
        <f>SUM(C25:C33)</f>
        <v>11055</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0</v>
      </c>
      <c r="M34" s="468"/>
      <c r="N34" s="479"/>
    </row>
    <row r="35" spans="1:14" ht="18" customHeight="1" thickTop="1" x14ac:dyDescent="0.2">
      <c r="A35" s="2369" t="s">
        <v>550</v>
      </c>
      <c r="B35" s="2370"/>
      <c r="C35" s="1588"/>
      <c r="D35" s="1589"/>
      <c r="E35" s="1589"/>
      <c r="F35" s="1589"/>
      <c r="G35" s="1589"/>
      <c r="H35" s="1589"/>
      <c r="I35" s="1589"/>
      <c r="J35" s="1589"/>
      <c r="K35" s="1589"/>
      <c r="L35" s="1589"/>
      <c r="M35" s="1583"/>
      <c r="N35" s="1587"/>
    </row>
    <row r="36" spans="1:14" x14ac:dyDescent="0.2">
      <c r="A36" s="492" t="s">
        <v>1</v>
      </c>
      <c r="B36" s="470">
        <v>511</v>
      </c>
      <c r="C36" s="476"/>
      <c r="D36" s="476"/>
      <c r="E36" s="476"/>
      <c r="F36" s="476"/>
      <c r="G36" s="476"/>
      <c r="H36" s="476"/>
      <c r="I36" s="476"/>
      <c r="J36" s="476"/>
      <c r="K36" s="476"/>
      <c r="L36" s="468"/>
      <c r="M36" s="468"/>
      <c r="N36" s="493">
        <f>'Short-Term Long-Term Debt 24'!I49</f>
        <v>0</v>
      </c>
    </row>
    <row r="37" spans="1:14" ht="13.5" thickBot="1" x14ac:dyDescent="0.25">
      <c r="A37" s="1754" t="s">
        <v>674</v>
      </c>
      <c r="B37" s="1759"/>
      <c r="C37" s="476"/>
      <c r="D37" s="476"/>
      <c r="E37" s="476"/>
      <c r="F37" s="476"/>
      <c r="G37" s="476"/>
      <c r="H37" s="476"/>
      <c r="I37" s="476"/>
      <c r="J37" s="476"/>
      <c r="K37" s="476"/>
      <c r="L37" s="479"/>
      <c r="M37" s="468"/>
      <c r="N37" s="1706">
        <f>SUM(N36:N36)</f>
        <v>0</v>
      </c>
    </row>
    <row r="38" spans="1:14" s="329" customFormat="1" ht="13.5" customHeight="1" thickTop="1" x14ac:dyDescent="0.2">
      <c r="A38" s="494" t="s">
        <v>440</v>
      </c>
      <c r="B38" s="482">
        <v>714</v>
      </c>
      <c r="C38" s="465">
        <v>0</v>
      </c>
      <c r="D38" s="465">
        <v>0</v>
      </c>
      <c r="E38" s="465">
        <v>0</v>
      </c>
      <c r="F38" s="465">
        <v>0</v>
      </c>
      <c r="G38" s="465">
        <v>0</v>
      </c>
      <c r="H38" s="465">
        <v>0</v>
      </c>
      <c r="I38" s="465">
        <v>0</v>
      </c>
      <c r="J38" s="465">
        <v>0</v>
      </c>
      <c r="K38" s="465">
        <v>0</v>
      </c>
      <c r="L38" s="465">
        <v>3962</v>
      </c>
      <c r="M38" s="495"/>
      <c r="N38" s="495"/>
    </row>
    <row r="39" spans="1:14" s="329" customFormat="1" ht="13.5" customHeight="1" x14ac:dyDescent="0.2">
      <c r="A39" s="494" t="s">
        <v>360</v>
      </c>
      <c r="B39" s="482">
        <v>730</v>
      </c>
      <c r="C39" s="465">
        <v>47890</v>
      </c>
      <c r="D39" s="465">
        <v>0</v>
      </c>
      <c r="E39" s="465">
        <v>0</v>
      </c>
      <c r="F39" s="465">
        <v>0</v>
      </c>
      <c r="G39" s="465">
        <v>0</v>
      </c>
      <c r="H39" s="465">
        <v>0</v>
      </c>
      <c r="I39" s="465">
        <v>0</v>
      </c>
      <c r="J39" s="465">
        <v>0</v>
      </c>
      <c r="K39" s="465">
        <v>0</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989563</v>
      </c>
      <c r="N40" s="495"/>
    </row>
    <row r="41" spans="1:14" ht="13.5" customHeight="1" thickBot="1" x14ac:dyDescent="0.25">
      <c r="A41" s="1754" t="s">
        <v>676</v>
      </c>
      <c r="B41" s="1724"/>
      <c r="C41" s="1706">
        <f>(SUM(C34,C37,C38,C39))</f>
        <v>58945</v>
      </c>
      <c r="D41" s="1706">
        <f t="shared" ref="D41:L41" si="2">SUM(D34,D37,D38:D39)</f>
        <v>0</v>
      </c>
      <c r="E41" s="1706">
        <f t="shared" si="2"/>
        <v>0</v>
      </c>
      <c r="F41" s="1706">
        <f t="shared" si="2"/>
        <v>0</v>
      </c>
      <c r="G41" s="1706">
        <f t="shared" si="2"/>
        <v>0</v>
      </c>
      <c r="H41" s="1706">
        <f t="shared" si="2"/>
        <v>0</v>
      </c>
      <c r="I41" s="1706">
        <f t="shared" si="2"/>
        <v>0</v>
      </c>
      <c r="J41" s="1706">
        <f t="shared" si="2"/>
        <v>0</v>
      </c>
      <c r="K41" s="1706">
        <f t="shared" si="2"/>
        <v>0</v>
      </c>
      <c r="L41" s="1706">
        <f t="shared" si="2"/>
        <v>3962</v>
      </c>
      <c r="M41" s="1706">
        <f>SUM(M40)</f>
        <v>989563</v>
      </c>
      <c r="N41" s="1706">
        <f>SUM(N37)</f>
        <v>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sqref="A1:A2"/>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379"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380"/>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391" t="s">
        <v>1237</v>
      </c>
      <c r="B3" s="2392"/>
      <c r="C3" s="1591"/>
      <c r="D3" s="1592"/>
      <c r="E3" s="1592"/>
      <c r="F3" s="1592"/>
      <c r="G3" s="1592"/>
      <c r="H3" s="1592"/>
      <c r="I3" s="1592"/>
      <c r="J3" s="1592"/>
      <c r="K3" s="1593"/>
      <c r="L3" s="504"/>
    </row>
    <row r="4" spans="1:13" ht="15.75" customHeight="1" x14ac:dyDescent="0.2">
      <c r="A4" s="1950" t="s">
        <v>1579</v>
      </c>
      <c r="B4" s="1951">
        <v>1000</v>
      </c>
      <c r="C4" s="1760">
        <f>'Revenues 9-14'!C109</f>
        <v>2126797</v>
      </c>
      <c r="D4" s="1760">
        <f>'Revenues 9-14'!D109</f>
        <v>0</v>
      </c>
      <c r="E4" s="1760">
        <f>'Revenues 9-14'!E109</f>
        <v>0</v>
      </c>
      <c r="F4" s="1760">
        <f>'Revenues 9-14'!F109</f>
        <v>0</v>
      </c>
      <c r="G4" s="1760">
        <f>'Revenues 9-14'!G109</f>
        <v>0</v>
      </c>
      <c r="H4" s="1760">
        <f>'Revenues 9-14'!H109</f>
        <v>0</v>
      </c>
      <c r="I4" s="1760">
        <f>'Revenues 9-14'!I109</f>
        <v>0</v>
      </c>
      <c r="J4" s="1760">
        <f>'Revenues 9-14'!J109</f>
        <v>0</v>
      </c>
      <c r="K4" s="1760">
        <f>'Revenues 9-14'!K109</f>
        <v>0</v>
      </c>
      <c r="L4" s="347"/>
    </row>
    <row r="5" spans="1:13" ht="15.75" customHeight="1" x14ac:dyDescent="0.2">
      <c r="A5" s="1594" t="s">
        <v>1580</v>
      </c>
      <c r="B5" s="1595">
        <v>2000</v>
      </c>
      <c r="C5" s="1761">
        <f>'Revenues 9-14'!C114</f>
        <v>76025</v>
      </c>
      <c r="D5" s="1761">
        <f>'Revenues 9-14'!D114</f>
        <v>0</v>
      </c>
      <c r="E5" s="506"/>
      <c r="F5" s="1761">
        <f>'Revenues 9-14'!F114</f>
        <v>0</v>
      </c>
      <c r="G5" s="1761">
        <f>'Revenues 9-14'!G114</f>
        <v>0</v>
      </c>
      <c r="H5" s="507" t="s">
        <v>1231</v>
      </c>
      <c r="I5" s="508" t="s">
        <v>1231</v>
      </c>
      <c r="J5" s="509" t="s">
        <v>1231</v>
      </c>
      <c r="K5" s="510" t="s">
        <v>1231</v>
      </c>
      <c r="L5" s="347"/>
    </row>
    <row r="6" spans="1:13" ht="15.75" customHeight="1" x14ac:dyDescent="0.2">
      <c r="A6" s="1594" t="s">
        <v>1581</v>
      </c>
      <c r="B6" s="1596">
        <v>3000</v>
      </c>
      <c r="C6" s="1761">
        <f>'Revenues 9-14'!C173</f>
        <v>825590</v>
      </c>
      <c r="D6" s="1761">
        <f>'Revenues 9-14'!D173</f>
        <v>0</v>
      </c>
      <c r="E6" s="1761">
        <f>'Revenues 9-14'!E173</f>
        <v>0</v>
      </c>
      <c r="F6" s="1761">
        <f>'Revenues 9-14'!F173</f>
        <v>0</v>
      </c>
      <c r="G6" s="1761">
        <f>'Revenues 9-14'!G173</f>
        <v>0</v>
      </c>
      <c r="H6" s="1761">
        <f>'Revenues 9-14'!H173</f>
        <v>0</v>
      </c>
      <c r="I6" s="1761">
        <f>'Revenues 9-14'!I173</f>
        <v>0</v>
      </c>
      <c r="J6" s="1761">
        <f>'Revenues 9-14'!J173</f>
        <v>0</v>
      </c>
      <c r="K6" s="1761">
        <f>'Revenues 9-14'!K173</f>
        <v>0</v>
      </c>
      <c r="L6" s="347"/>
      <c r="M6" s="511"/>
    </row>
    <row r="7" spans="1:13" ht="15.75" customHeight="1" x14ac:dyDescent="0.2">
      <c r="A7" s="1594" t="s">
        <v>1582</v>
      </c>
      <c r="B7" s="1596">
        <v>4000</v>
      </c>
      <c r="C7" s="1761">
        <f>'Revenues 9-14'!C274</f>
        <v>2559000</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1"/>
    </row>
    <row r="8" spans="1:13" ht="13.5" thickBot="1" x14ac:dyDescent="0.25">
      <c r="A8" s="1754" t="s">
        <v>1234</v>
      </c>
      <c r="B8" s="1727"/>
      <c r="C8" s="1706">
        <f>SUM(C4:C7)</f>
        <v>5587412</v>
      </c>
      <c r="D8" s="1706">
        <f t="shared" ref="D8:K8" si="0">SUM(D4:D7)</f>
        <v>0</v>
      </c>
      <c r="E8" s="1706">
        <f t="shared" si="0"/>
        <v>0</v>
      </c>
      <c r="F8" s="1706">
        <f t="shared" si="0"/>
        <v>0</v>
      </c>
      <c r="G8" s="1706">
        <f t="shared" si="0"/>
        <v>0</v>
      </c>
      <c r="H8" s="1706">
        <f t="shared" si="0"/>
        <v>0</v>
      </c>
      <c r="I8" s="1706">
        <f t="shared" si="0"/>
        <v>0</v>
      </c>
      <c r="J8" s="1706">
        <f t="shared" si="0"/>
        <v>0</v>
      </c>
      <c r="K8" s="1706">
        <f t="shared" si="0"/>
        <v>0</v>
      </c>
      <c r="L8" s="347"/>
    </row>
    <row r="9" spans="1:13" ht="15.75" thickTop="1" x14ac:dyDescent="0.2">
      <c r="A9" s="512" t="s">
        <v>1752</v>
      </c>
      <c r="B9" s="513">
        <v>3998</v>
      </c>
      <c r="C9" s="465">
        <v>1765849</v>
      </c>
      <c r="D9" s="514"/>
      <c r="E9" s="480"/>
      <c r="F9" s="480"/>
      <c r="G9" s="515"/>
      <c r="H9" s="480"/>
      <c r="I9" s="507" t="s">
        <v>1231</v>
      </c>
      <c r="J9" s="477"/>
      <c r="K9" s="480"/>
      <c r="L9" s="347"/>
    </row>
    <row r="10" spans="1:13" s="517" customFormat="1" ht="13.5" thickBot="1" x14ac:dyDescent="0.25">
      <c r="A10" s="1754" t="s">
        <v>1235</v>
      </c>
      <c r="B10" s="1727"/>
      <c r="C10" s="1706">
        <f>SUM(C8:C9)</f>
        <v>7353261</v>
      </c>
      <c r="D10" s="1706">
        <f t="shared" ref="D10:K10" si="1">SUM(D8:D9)</f>
        <v>0</v>
      </c>
      <c r="E10" s="1706">
        <f t="shared" si="1"/>
        <v>0</v>
      </c>
      <c r="F10" s="1706">
        <f t="shared" si="1"/>
        <v>0</v>
      </c>
      <c r="G10" s="1706">
        <f t="shared" si="1"/>
        <v>0</v>
      </c>
      <c r="H10" s="1706">
        <f t="shared" si="1"/>
        <v>0</v>
      </c>
      <c r="I10" s="1706">
        <f t="shared" si="1"/>
        <v>0</v>
      </c>
      <c r="J10" s="1706">
        <f t="shared" si="1"/>
        <v>0</v>
      </c>
      <c r="K10" s="1706">
        <f t="shared" si="1"/>
        <v>0</v>
      </c>
      <c r="L10" s="516"/>
    </row>
    <row r="11" spans="1:13" s="517" customFormat="1" ht="16.7" customHeight="1" thickTop="1" x14ac:dyDescent="0.2">
      <c r="A11" s="2365" t="s">
        <v>1238</v>
      </c>
      <c r="B11" s="2366"/>
      <c r="C11" s="1588"/>
      <c r="D11" s="1589"/>
      <c r="E11" s="1589"/>
      <c r="F11" s="1589"/>
      <c r="G11" s="1589"/>
      <c r="H11" s="1589"/>
      <c r="I11" s="1589"/>
      <c r="J11" s="1589"/>
      <c r="K11" s="1590"/>
      <c r="L11" s="516"/>
    </row>
    <row r="12" spans="1:13" ht="15.75" customHeight="1" x14ac:dyDescent="0.2">
      <c r="A12" s="1594" t="s">
        <v>476</v>
      </c>
      <c r="B12" s="1596">
        <v>1000</v>
      </c>
      <c r="C12" s="1760">
        <f>'Expenditures 15-22'!K33</f>
        <v>2644344</v>
      </c>
      <c r="D12" s="518" t="s">
        <v>1231</v>
      </c>
      <c r="E12" s="468" t="s">
        <v>1231</v>
      </c>
      <c r="F12" s="468" t="s">
        <v>1231</v>
      </c>
      <c r="G12" s="1760">
        <f>'Expenditures 15-22'!K229</f>
        <v>0</v>
      </c>
      <c r="H12" s="519"/>
      <c r="I12" s="468" t="s">
        <v>1231</v>
      </c>
      <c r="J12" s="468" t="s">
        <v>1231</v>
      </c>
      <c r="K12" s="519" t="s">
        <v>1231</v>
      </c>
      <c r="L12" s="347"/>
    </row>
    <row r="13" spans="1:13" ht="15.75" customHeight="1" x14ac:dyDescent="0.2">
      <c r="A13" s="1594" t="s">
        <v>477</v>
      </c>
      <c r="B13" s="1596">
        <v>2000</v>
      </c>
      <c r="C13" s="1761">
        <f>'Expenditures 15-22'!K74</f>
        <v>2730397</v>
      </c>
      <c r="D13" s="1761">
        <f>'Expenditures 15-22'!K129</f>
        <v>0</v>
      </c>
      <c r="E13" s="469" t="s">
        <v>1231</v>
      </c>
      <c r="F13" s="1761">
        <f>'Expenditures 15-22'!K184</f>
        <v>0</v>
      </c>
      <c r="G13" s="1761">
        <f>'Expenditures 15-22'!K279</f>
        <v>0</v>
      </c>
      <c r="H13" s="1761">
        <f>'Expenditures 15-22'!K303</f>
        <v>0</v>
      </c>
      <c r="I13" s="468" t="s">
        <v>1231</v>
      </c>
      <c r="J13" s="1761">
        <f>'Expenditures 15-22'!K330</f>
        <v>0</v>
      </c>
      <c r="K13" s="1765">
        <f>'Expenditures 15-22'!K352</f>
        <v>0</v>
      </c>
      <c r="L13" s="347"/>
    </row>
    <row r="14" spans="1:13" ht="15.75" customHeight="1" x14ac:dyDescent="0.2">
      <c r="A14" s="1594" t="s">
        <v>469</v>
      </c>
      <c r="B14" s="1596">
        <v>3000</v>
      </c>
      <c r="C14" s="1761">
        <f>'Expenditures 15-22'!K75</f>
        <v>0</v>
      </c>
      <c r="D14" s="1761">
        <f>'Expenditures 15-22'!K130</f>
        <v>0</v>
      </c>
      <c r="E14" s="518" t="s">
        <v>1231</v>
      </c>
      <c r="F14" s="1761">
        <f>'Expenditures 15-22'!K185</f>
        <v>0</v>
      </c>
      <c r="G14" s="1761">
        <f>'Expenditures 15-22'!K280</f>
        <v>0</v>
      </c>
      <c r="H14" s="510"/>
      <c r="I14" s="468" t="s">
        <v>1231</v>
      </c>
      <c r="J14" s="468" t="s">
        <v>1231</v>
      </c>
      <c r="K14" s="510" t="s">
        <v>1231</v>
      </c>
      <c r="L14" s="347"/>
    </row>
    <row r="15" spans="1:13" ht="15.75" customHeight="1" x14ac:dyDescent="0.2">
      <c r="A15" s="1594" t="s">
        <v>109</v>
      </c>
      <c r="B15" s="1596">
        <v>4000</v>
      </c>
      <c r="C15" s="1761">
        <f>'Expenditures 15-22'!K102</f>
        <v>327405</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4" t="s">
        <v>470</v>
      </c>
      <c r="B16" s="1596">
        <v>5000</v>
      </c>
      <c r="C16" s="1761">
        <f>'Expenditures 15-22'!K112</f>
        <v>0</v>
      </c>
      <c r="D16" s="1761">
        <f>'Expenditures 15-22'!K149</f>
        <v>0</v>
      </c>
      <c r="E16" s="1761">
        <f>'Expenditures 15-22'!K172</f>
        <v>0</v>
      </c>
      <c r="F16" s="1761">
        <f>'Expenditures 15-22'!K208</f>
        <v>0</v>
      </c>
      <c r="G16" s="1761">
        <f>'Expenditures 15-22'!K293</f>
        <v>0</v>
      </c>
      <c r="H16" s="521"/>
      <c r="I16" s="468" t="s">
        <v>1231</v>
      </c>
      <c r="J16" s="1766">
        <f>'Expenditures 15-22'!K340</f>
        <v>0</v>
      </c>
      <c r="K16" s="1761">
        <f>'Expenditures 15-22'!K365</f>
        <v>0</v>
      </c>
      <c r="L16" s="347"/>
    </row>
    <row r="17" spans="1:12" ht="13.5" thickBot="1" x14ac:dyDescent="0.25">
      <c r="A17" s="1726" t="s">
        <v>50</v>
      </c>
      <c r="B17" s="1727"/>
      <c r="C17" s="1706">
        <f t="shared" ref="C17:H17" si="2">SUM(C12:C16)</f>
        <v>5702146</v>
      </c>
      <c r="D17" s="1706">
        <f t="shared" si="2"/>
        <v>0</v>
      </c>
      <c r="E17" s="1706">
        <f t="shared" si="2"/>
        <v>0</v>
      </c>
      <c r="F17" s="1706">
        <f t="shared" si="2"/>
        <v>0</v>
      </c>
      <c r="G17" s="1706">
        <f t="shared" si="2"/>
        <v>0</v>
      </c>
      <c r="H17" s="1706">
        <f t="shared" si="2"/>
        <v>0</v>
      </c>
      <c r="I17" s="468"/>
      <c r="J17" s="1706">
        <f>SUM(J12:J16)</f>
        <v>0</v>
      </c>
      <c r="K17" s="1706">
        <f>SUM(K12:K16)</f>
        <v>0</v>
      </c>
      <c r="L17" s="347"/>
    </row>
    <row r="18" spans="1:12" ht="15" customHeight="1" thickTop="1" x14ac:dyDescent="0.2">
      <c r="A18" s="1762" t="s">
        <v>1753</v>
      </c>
      <c r="B18" s="1763">
        <v>4180</v>
      </c>
      <c r="C18" s="1760">
        <f t="shared" ref="C18:H18" si="3">C9</f>
        <v>1765849</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7467995</v>
      </c>
      <c r="D19" s="1706">
        <f t="shared" si="4"/>
        <v>0</v>
      </c>
      <c r="E19" s="1706">
        <f t="shared" si="4"/>
        <v>0</v>
      </c>
      <c r="F19" s="1706">
        <f t="shared" si="4"/>
        <v>0</v>
      </c>
      <c r="G19" s="1706">
        <f t="shared" si="4"/>
        <v>0</v>
      </c>
      <c r="H19" s="1706">
        <f t="shared" si="4"/>
        <v>0</v>
      </c>
      <c r="I19" s="468"/>
      <c r="J19" s="1706">
        <f>SUM(J17:J18)</f>
        <v>0</v>
      </c>
      <c r="K19" s="1706">
        <f>SUM(K17:K18)</f>
        <v>0</v>
      </c>
      <c r="L19" s="347"/>
    </row>
    <row r="20" spans="1:12" ht="16.5" thickTop="1" thickBot="1" x14ac:dyDescent="0.25">
      <c r="A20" s="2381" t="s">
        <v>1754</v>
      </c>
      <c r="B20" s="2382"/>
      <c r="C20" s="1764">
        <f>C8-C17</f>
        <v>-114734</v>
      </c>
      <c r="D20" s="1764">
        <f t="shared" ref="D20:K20" si="5">D8-D17</f>
        <v>0</v>
      </c>
      <c r="E20" s="1764">
        <f t="shared" si="5"/>
        <v>0</v>
      </c>
      <c r="F20" s="1764">
        <f t="shared" si="5"/>
        <v>0</v>
      </c>
      <c r="G20" s="1764">
        <f t="shared" si="5"/>
        <v>0</v>
      </c>
      <c r="H20" s="1764">
        <f t="shared" si="5"/>
        <v>0</v>
      </c>
      <c r="I20" s="1764">
        <f t="shared" si="5"/>
        <v>0</v>
      </c>
      <c r="J20" s="1764">
        <f t="shared" si="5"/>
        <v>0</v>
      </c>
      <c r="K20" s="1764">
        <f t="shared" si="5"/>
        <v>0</v>
      </c>
      <c r="L20" s="347"/>
    </row>
    <row r="21" spans="1:12" ht="16.7" customHeight="1" thickTop="1" x14ac:dyDescent="0.2">
      <c r="A21" s="2393" t="s">
        <v>616</v>
      </c>
      <c r="B21" s="2394"/>
      <c r="C21" s="1588"/>
      <c r="D21" s="1589"/>
      <c r="E21" s="1589"/>
      <c r="F21" s="1589"/>
      <c r="G21" s="1589"/>
      <c r="H21" s="1589"/>
      <c r="I21" s="1589"/>
      <c r="J21" s="1589"/>
      <c r="K21" s="1590"/>
      <c r="L21" s="522"/>
    </row>
    <row r="22" spans="1:12" ht="15.75" customHeight="1" collapsed="1" x14ac:dyDescent="0.2">
      <c r="A22" s="2389" t="s">
        <v>617</v>
      </c>
      <c r="B22" s="2390"/>
      <c r="C22" s="476"/>
      <c r="D22" s="476"/>
      <c r="E22" s="476"/>
      <c r="F22" s="476"/>
      <c r="G22" s="476"/>
      <c r="H22" s="476"/>
      <c r="I22" s="476"/>
      <c r="J22" s="476"/>
      <c r="K22" s="476"/>
      <c r="L22" s="347"/>
    </row>
    <row r="23" spans="1:12" s="484" customFormat="1" ht="15.75" customHeight="1" x14ac:dyDescent="0.2">
      <c r="A23" s="2385" t="s">
        <v>311</v>
      </c>
      <c r="B23" s="2386"/>
      <c r="C23" s="479"/>
      <c r="D23" s="476"/>
      <c r="E23" s="476"/>
      <c r="F23" s="476"/>
      <c r="G23" s="476"/>
      <c r="H23" s="476"/>
      <c r="I23" s="476"/>
      <c r="J23" s="476"/>
      <c r="K23" s="476"/>
      <c r="L23" s="522"/>
    </row>
    <row r="24" spans="1:12" s="484" customFormat="1" ht="13.5" customHeight="1" x14ac:dyDescent="0.2">
      <c r="A24" s="1507" t="s">
        <v>1755</v>
      </c>
      <c r="B24" s="523">
        <v>7110</v>
      </c>
      <c r="C24" s="465">
        <v>0</v>
      </c>
      <c r="D24" s="476"/>
      <c r="E24" s="476"/>
      <c r="F24" s="476"/>
      <c r="G24" s="476"/>
      <c r="H24" s="476"/>
      <c r="I24" s="476"/>
      <c r="J24" s="476"/>
      <c r="K24" s="476"/>
      <c r="L24" s="522"/>
    </row>
    <row r="25" spans="1:12" s="484" customFormat="1" ht="13.5" customHeight="1" x14ac:dyDescent="0.2">
      <c r="A25" s="1507"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7"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7" t="s">
        <v>194</v>
      </c>
      <c r="B27" s="482">
        <v>7130</v>
      </c>
      <c r="C27" s="465">
        <v>0</v>
      </c>
      <c r="D27" s="467">
        <v>0</v>
      </c>
      <c r="E27" s="524"/>
      <c r="F27" s="467">
        <v>0</v>
      </c>
      <c r="G27" s="479"/>
      <c r="H27" s="479"/>
      <c r="I27" s="479"/>
      <c r="J27" s="479"/>
      <c r="K27" s="479"/>
      <c r="L27" s="522"/>
    </row>
    <row r="28" spans="1:12" s="484" customFormat="1" ht="13.5" customHeight="1" x14ac:dyDescent="0.2">
      <c r="A28" s="1507"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7" t="s">
        <v>312</v>
      </c>
      <c r="B29" s="482">
        <v>7150</v>
      </c>
      <c r="C29" s="475"/>
      <c r="D29" s="467">
        <v>0</v>
      </c>
      <c r="E29" s="475"/>
      <c r="F29" s="475"/>
      <c r="G29" s="475"/>
      <c r="H29" s="475"/>
      <c r="I29" s="475"/>
      <c r="J29" s="475"/>
      <c r="K29" s="475"/>
      <c r="L29" s="522"/>
    </row>
    <row r="30" spans="1:12" s="484" customFormat="1" ht="26.25" x14ac:dyDescent="0.2">
      <c r="A30" s="1507" t="s">
        <v>1893</v>
      </c>
      <c r="B30" s="525">
        <v>7160</v>
      </c>
      <c r="C30" s="476"/>
      <c r="D30" s="467">
        <v>0</v>
      </c>
      <c r="E30" s="476"/>
      <c r="F30" s="476"/>
      <c r="G30" s="476"/>
      <c r="H30" s="476"/>
      <c r="I30" s="476"/>
      <c r="J30" s="476"/>
      <c r="K30" s="476"/>
      <c r="L30" s="522"/>
    </row>
    <row r="31" spans="1:12" s="484" customFormat="1" ht="26.25" x14ac:dyDescent="0.2">
      <c r="A31" s="1507" t="s">
        <v>1897</v>
      </c>
      <c r="B31" s="525">
        <v>7170</v>
      </c>
      <c r="C31" s="476"/>
      <c r="D31" s="476"/>
      <c r="E31" s="474">
        <v>0</v>
      </c>
      <c r="F31" s="476"/>
      <c r="G31" s="476"/>
      <c r="H31" s="476"/>
      <c r="I31" s="476"/>
      <c r="J31" s="476"/>
      <c r="K31" s="476"/>
      <c r="L31" s="522"/>
    </row>
    <row r="32" spans="1:12" s="484" customFormat="1" ht="15.75" customHeight="1" x14ac:dyDescent="0.2">
      <c r="A32" s="2387" t="s">
        <v>1038</v>
      </c>
      <c r="B32" s="2388"/>
      <c r="C32" s="476"/>
      <c r="D32" s="476"/>
      <c r="E32" s="475"/>
      <c r="F32" s="476"/>
      <c r="G32" s="476"/>
      <c r="H32" s="476"/>
      <c r="I32" s="476"/>
      <c r="J32" s="476"/>
      <c r="K32" s="476"/>
      <c r="L32" s="522"/>
    </row>
    <row r="33" spans="1:12" s="484" customFormat="1" x14ac:dyDescent="0.2">
      <c r="A33" s="1507" t="s">
        <v>432</v>
      </c>
      <c r="B33" s="523">
        <v>7210</v>
      </c>
      <c r="C33" s="465">
        <v>0</v>
      </c>
      <c r="D33" s="467">
        <v>0</v>
      </c>
      <c r="E33" s="467">
        <v>0</v>
      </c>
      <c r="F33" s="467">
        <v>0</v>
      </c>
      <c r="G33" s="476"/>
      <c r="H33" s="467">
        <v>0</v>
      </c>
      <c r="I33" s="467">
        <v>0</v>
      </c>
      <c r="J33" s="467">
        <v>0</v>
      </c>
      <c r="K33" s="467">
        <v>0</v>
      </c>
      <c r="L33" s="522"/>
    </row>
    <row r="34" spans="1:12" s="484" customFormat="1" x14ac:dyDescent="0.2">
      <c r="A34" s="1507" t="s">
        <v>1058</v>
      </c>
      <c r="B34" s="523">
        <v>7220</v>
      </c>
      <c r="C34" s="465">
        <v>0</v>
      </c>
      <c r="D34" s="467">
        <v>0</v>
      </c>
      <c r="E34" s="467">
        <v>0</v>
      </c>
      <c r="F34" s="467">
        <v>0</v>
      </c>
      <c r="G34" s="476"/>
      <c r="H34" s="477">
        <v>0</v>
      </c>
      <c r="I34" s="477">
        <v>0</v>
      </c>
      <c r="J34" s="477">
        <v>0</v>
      </c>
      <c r="K34" s="477">
        <v>0</v>
      </c>
      <c r="L34" s="522"/>
    </row>
    <row r="35" spans="1:12" s="484" customFormat="1" x14ac:dyDescent="0.2">
      <c r="A35" s="1507" t="s">
        <v>1047</v>
      </c>
      <c r="B35" s="523">
        <v>7230</v>
      </c>
      <c r="C35" s="465">
        <v>0</v>
      </c>
      <c r="D35" s="467">
        <v>0</v>
      </c>
      <c r="E35" s="467">
        <v>0</v>
      </c>
      <c r="F35" s="467">
        <v>0</v>
      </c>
      <c r="G35" s="479"/>
      <c r="H35" s="467">
        <v>0</v>
      </c>
      <c r="I35" s="467">
        <v>0</v>
      </c>
      <c r="J35" s="467">
        <v>0</v>
      </c>
      <c r="K35" s="467">
        <v>0</v>
      </c>
      <c r="L35" s="522"/>
    </row>
    <row r="36" spans="1:12" s="484" customFormat="1" ht="15" x14ac:dyDescent="0.2">
      <c r="A36" s="1507" t="s">
        <v>1757</v>
      </c>
      <c r="B36" s="523">
        <v>7300</v>
      </c>
      <c r="C36" s="465">
        <v>0</v>
      </c>
      <c r="D36" s="467">
        <v>0</v>
      </c>
      <c r="E36" s="467">
        <v>0</v>
      </c>
      <c r="F36" s="467">
        <v>0</v>
      </c>
      <c r="G36" s="467">
        <v>0</v>
      </c>
      <c r="H36" s="467">
        <v>0</v>
      </c>
      <c r="I36" s="475"/>
      <c r="J36" s="467">
        <v>0</v>
      </c>
      <c r="K36" s="467">
        <v>0</v>
      </c>
      <c r="L36" s="522"/>
    </row>
    <row r="37" spans="1:12" s="484" customFormat="1" x14ac:dyDescent="0.2">
      <c r="A37" s="1507" t="s">
        <v>461</v>
      </c>
      <c r="B37" s="523">
        <v>7400</v>
      </c>
      <c r="C37" s="475"/>
      <c r="D37" s="475"/>
      <c r="E37" s="1761">
        <f>SUM(C54:D57,H54:H57)</f>
        <v>0</v>
      </c>
      <c r="F37" s="475"/>
      <c r="G37" s="475"/>
      <c r="H37" s="475"/>
      <c r="I37" s="476"/>
      <c r="J37" s="475"/>
      <c r="K37" s="475"/>
      <c r="L37" s="522"/>
    </row>
    <row r="38" spans="1:12" s="484" customFormat="1" x14ac:dyDescent="0.2">
      <c r="A38" s="1507" t="s">
        <v>462</v>
      </c>
      <c r="B38" s="523">
        <v>7500</v>
      </c>
      <c r="C38" s="476"/>
      <c r="D38" s="476"/>
      <c r="E38" s="1761">
        <f>SUM(C58:D61,H58:H61)</f>
        <v>0</v>
      </c>
      <c r="F38" s="476"/>
      <c r="G38" s="476"/>
      <c r="H38" s="476"/>
      <c r="I38" s="476"/>
      <c r="J38" s="476"/>
      <c r="K38" s="476"/>
      <c r="L38" s="522"/>
    </row>
    <row r="39" spans="1:12" s="484" customFormat="1" x14ac:dyDescent="0.2">
      <c r="A39" s="1507" t="s">
        <v>463</v>
      </c>
      <c r="B39" s="523">
        <v>7600</v>
      </c>
      <c r="C39" s="476"/>
      <c r="D39" s="476"/>
      <c r="E39" s="1761">
        <f>SUM(C62:D65)</f>
        <v>0</v>
      </c>
      <c r="F39" s="476"/>
      <c r="G39" s="476"/>
      <c r="H39" s="476"/>
      <c r="I39" s="476"/>
      <c r="J39" s="476"/>
      <c r="K39" s="476"/>
      <c r="L39" s="522"/>
    </row>
    <row r="40" spans="1:12" s="484" customFormat="1" ht="13.5" customHeight="1" x14ac:dyDescent="0.2">
      <c r="A40" s="1507" t="s">
        <v>663</v>
      </c>
      <c r="B40" s="482">
        <v>7700</v>
      </c>
      <c r="C40" s="476"/>
      <c r="D40" s="476"/>
      <c r="E40" s="1761">
        <f>SUM(C66:D69)</f>
        <v>0</v>
      </c>
      <c r="F40" s="476"/>
      <c r="G40" s="476"/>
      <c r="H40" s="479"/>
      <c r="I40" s="476"/>
      <c r="J40" s="476"/>
      <c r="K40" s="476"/>
      <c r="L40" s="522"/>
    </row>
    <row r="41" spans="1:12" s="484" customFormat="1" ht="13.5" customHeight="1" x14ac:dyDescent="0.2">
      <c r="A41" s="1507" t="s">
        <v>661</v>
      </c>
      <c r="B41" s="482">
        <v>7800</v>
      </c>
      <c r="C41" s="479"/>
      <c r="D41" s="479"/>
      <c r="E41" s="524"/>
      <c r="F41" s="479"/>
      <c r="G41" s="479"/>
      <c r="H41" s="1761">
        <f>SUM(C70:D73)</f>
        <v>0</v>
      </c>
      <c r="I41" s="476"/>
      <c r="J41" s="476"/>
      <c r="K41" s="479"/>
      <c r="L41" s="522"/>
    </row>
    <row r="42" spans="1:12" s="484" customFormat="1" ht="13.5" customHeight="1" x14ac:dyDescent="0.2">
      <c r="A42" s="1507"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7"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395" t="s">
        <v>392</v>
      </c>
      <c r="B44" s="2396"/>
      <c r="C44" s="1721">
        <f>SUM(C24:C43)</f>
        <v>0</v>
      </c>
      <c r="D44" s="1721">
        <f t="shared" ref="D44:K44" si="6">SUM(D24:D43)</f>
        <v>0</v>
      </c>
      <c r="E44" s="1721">
        <f t="shared" si="6"/>
        <v>0</v>
      </c>
      <c r="F44" s="1721">
        <f t="shared" si="6"/>
        <v>0</v>
      </c>
      <c r="G44" s="1721">
        <f t="shared" si="6"/>
        <v>0</v>
      </c>
      <c r="H44" s="1721">
        <f t="shared" si="6"/>
        <v>0</v>
      </c>
      <c r="I44" s="1721">
        <f t="shared" si="6"/>
        <v>0</v>
      </c>
      <c r="J44" s="1721">
        <f t="shared" si="6"/>
        <v>0</v>
      </c>
      <c r="K44" s="1721">
        <f t="shared" si="6"/>
        <v>0</v>
      </c>
      <c r="L44" s="522"/>
    </row>
    <row r="45" spans="1:12" ht="15.75" customHeight="1" thickTop="1" x14ac:dyDescent="0.2">
      <c r="A45" s="2389" t="s">
        <v>110</v>
      </c>
      <c r="B45" s="2390"/>
      <c r="C45" s="526"/>
      <c r="D45" s="526"/>
      <c r="E45" s="526"/>
      <c r="F45" s="526"/>
      <c r="G45" s="526"/>
      <c r="H45" s="526"/>
      <c r="I45" s="526"/>
      <c r="J45" s="526"/>
      <c r="K45" s="526"/>
      <c r="L45" s="347"/>
    </row>
    <row r="46" spans="1:12" s="484" customFormat="1" ht="15.75" customHeight="1" x14ac:dyDescent="0.2">
      <c r="A46" s="2397" t="s">
        <v>111</v>
      </c>
      <c r="B46" s="2398"/>
      <c r="C46" s="476"/>
      <c r="D46" s="476"/>
      <c r="E46" s="476"/>
      <c r="F46" s="476"/>
      <c r="G46" s="476"/>
      <c r="H46" s="476"/>
      <c r="I46" s="479"/>
      <c r="J46" s="476"/>
      <c r="K46" s="476"/>
      <c r="L46" s="527"/>
    </row>
    <row r="47" spans="1:12" s="484" customFormat="1" ht="15" x14ac:dyDescent="0.2">
      <c r="A47" s="1508" t="s">
        <v>1758</v>
      </c>
      <c r="B47" s="482">
        <v>8110</v>
      </c>
      <c r="C47" s="476"/>
      <c r="D47" s="476"/>
      <c r="E47" s="476"/>
      <c r="F47" s="476"/>
      <c r="G47" s="476"/>
      <c r="H47" s="476"/>
      <c r="I47" s="1761">
        <f>SUM(C24,C25:H25,J25:K25)</f>
        <v>0</v>
      </c>
      <c r="J47" s="476"/>
      <c r="K47" s="476"/>
      <c r="L47" s="527"/>
    </row>
    <row r="48" spans="1:12" s="484" customFormat="1" ht="15" x14ac:dyDescent="0.2">
      <c r="A48" s="1508" t="s">
        <v>1759</v>
      </c>
      <c r="B48" s="482">
        <v>8120</v>
      </c>
      <c r="C48" s="479"/>
      <c r="D48" s="479"/>
      <c r="E48" s="476"/>
      <c r="F48" s="479"/>
      <c r="G48" s="476"/>
      <c r="H48" s="476"/>
      <c r="I48" s="1761">
        <f>SUM(C26:H26,J26,K26)</f>
        <v>0</v>
      </c>
      <c r="J48" s="476"/>
      <c r="K48" s="476"/>
      <c r="L48" s="527"/>
    </row>
    <row r="49" spans="1:12" s="484" customFormat="1" x14ac:dyDescent="0.2">
      <c r="A49" s="1508" t="s">
        <v>194</v>
      </c>
      <c r="B49" s="482">
        <v>8130</v>
      </c>
      <c r="C49" s="465">
        <v>0</v>
      </c>
      <c r="D49" s="467">
        <v>0</v>
      </c>
      <c r="E49" s="479"/>
      <c r="F49" s="467">
        <v>0</v>
      </c>
      <c r="G49" s="479"/>
      <c r="H49" s="479"/>
      <c r="I49" s="476"/>
      <c r="J49" s="479"/>
      <c r="K49" s="476"/>
      <c r="L49" s="522"/>
    </row>
    <row r="50" spans="1:12" s="484" customFormat="1" x14ac:dyDescent="0.2">
      <c r="A50" s="1508" t="s">
        <v>1465</v>
      </c>
      <c r="B50" s="482">
        <v>8140</v>
      </c>
      <c r="C50" s="465">
        <v>0</v>
      </c>
      <c r="D50" s="467">
        <v>0</v>
      </c>
      <c r="E50" s="467">
        <v>0</v>
      </c>
      <c r="F50" s="467">
        <v>0</v>
      </c>
      <c r="G50" s="467">
        <v>0</v>
      </c>
      <c r="H50" s="467">
        <v>0</v>
      </c>
      <c r="I50" s="476"/>
      <c r="J50" s="467">
        <v>0</v>
      </c>
      <c r="K50" s="476"/>
      <c r="L50" s="522"/>
    </row>
    <row r="51" spans="1:12" s="484" customFormat="1" x14ac:dyDescent="0.2">
      <c r="A51" s="1508" t="s">
        <v>312</v>
      </c>
      <c r="B51" s="482">
        <v>8150</v>
      </c>
      <c r="C51" s="475"/>
      <c r="D51" s="475"/>
      <c r="E51" s="475"/>
      <c r="F51" s="475"/>
      <c r="G51" s="475"/>
      <c r="H51" s="1761">
        <f>SUM(D29)</f>
        <v>0</v>
      </c>
      <c r="I51" s="476"/>
      <c r="J51" s="475"/>
      <c r="K51" s="479"/>
      <c r="L51" s="522"/>
    </row>
    <row r="52" spans="1:12" s="484" customFormat="1" ht="26.25" x14ac:dyDescent="0.2">
      <c r="A52" s="1508" t="s">
        <v>1896</v>
      </c>
      <c r="B52" s="482">
        <v>8160</v>
      </c>
      <c r="C52" s="476"/>
      <c r="D52" s="476"/>
      <c r="E52" s="476"/>
      <c r="F52" s="476"/>
      <c r="G52" s="476"/>
      <c r="H52" s="476"/>
      <c r="I52" s="476"/>
      <c r="J52" s="476"/>
      <c r="K52" s="1761">
        <f>D30</f>
        <v>0</v>
      </c>
      <c r="L52" s="522"/>
    </row>
    <row r="53" spans="1:12" s="484" customFormat="1" ht="26.25" x14ac:dyDescent="0.2">
      <c r="A53" s="1508" t="s">
        <v>1895</v>
      </c>
      <c r="B53" s="482">
        <v>8170</v>
      </c>
      <c r="C53" s="479"/>
      <c r="D53" s="479"/>
      <c r="E53" s="476"/>
      <c r="F53" s="476"/>
      <c r="G53" s="476"/>
      <c r="H53" s="479"/>
      <c r="I53" s="476"/>
      <c r="J53" s="476"/>
      <c r="K53" s="1761">
        <f>E31</f>
        <v>0</v>
      </c>
      <c r="L53" s="522"/>
    </row>
    <row r="54" spans="1:12" s="484" customFormat="1" ht="13.5" thickBot="1" x14ac:dyDescent="0.25">
      <c r="A54" s="1508" t="s">
        <v>716</v>
      </c>
      <c r="B54" s="482">
        <v>8410</v>
      </c>
      <c r="C54" s="528">
        <v>0</v>
      </c>
      <c r="D54" s="528">
        <v>0</v>
      </c>
      <c r="E54" s="476"/>
      <c r="F54" s="476"/>
      <c r="G54" s="476"/>
      <c r="H54" s="528">
        <v>0</v>
      </c>
      <c r="I54" s="476"/>
      <c r="J54" s="476"/>
      <c r="K54" s="475"/>
      <c r="L54" s="522"/>
    </row>
    <row r="55" spans="1:12" s="484" customFormat="1" ht="14.25" thickTop="1" thickBot="1" x14ac:dyDescent="0.25">
      <c r="A55" s="1509" t="s">
        <v>717</v>
      </c>
      <c r="B55" s="482">
        <v>8420</v>
      </c>
      <c r="C55" s="528">
        <v>0</v>
      </c>
      <c r="D55" s="529">
        <v>0</v>
      </c>
      <c r="E55" s="476"/>
      <c r="F55" s="476"/>
      <c r="G55" s="476"/>
      <c r="H55" s="528">
        <v>0</v>
      </c>
      <c r="I55" s="476"/>
      <c r="J55" s="476"/>
      <c r="K55" s="476"/>
      <c r="L55" s="522"/>
    </row>
    <row r="56" spans="1:12" s="484" customFormat="1" ht="14.25" thickTop="1" thickBot="1" x14ac:dyDescent="0.25">
      <c r="A56" s="1508" t="s">
        <v>602</v>
      </c>
      <c r="B56" s="482">
        <v>8430</v>
      </c>
      <c r="C56" s="528">
        <v>0</v>
      </c>
      <c r="D56" s="529">
        <v>0</v>
      </c>
      <c r="E56" s="476"/>
      <c r="F56" s="476"/>
      <c r="G56" s="476"/>
      <c r="H56" s="528">
        <v>0</v>
      </c>
      <c r="I56" s="476"/>
      <c r="J56" s="476"/>
      <c r="K56" s="476"/>
      <c r="L56" s="522"/>
    </row>
    <row r="57" spans="1:12" s="484" customFormat="1" ht="14.25" thickTop="1" thickBot="1" x14ac:dyDescent="0.25">
      <c r="A57" s="1509" t="s">
        <v>599</v>
      </c>
      <c r="B57" s="482">
        <v>8440</v>
      </c>
      <c r="C57" s="528">
        <v>0</v>
      </c>
      <c r="D57" s="529">
        <v>0</v>
      </c>
      <c r="E57" s="476"/>
      <c r="F57" s="476"/>
      <c r="G57" s="476"/>
      <c r="H57" s="528">
        <v>0</v>
      </c>
      <c r="I57" s="476"/>
      <c r="J57" s="476"/>
      <c r="K57" s="476"/>
      <c r="L57" s="522"/>
    </row>
    <row r="58" spans="1:12" s="484" customFormat="1" ht="14.25" thickTop="1" thickBot="1" x14ac:dyDescent="0.25">
      <c r="A58" s="1508" t="s">
        <v>600</v>
      </c>
      <c r="B58" s="482">
        <v>8510</v>
      </c>
      <c r="C58" s="528">
        <v>0</v>
      </c>
      <c r="D58" s="529">
        <v>0</v>
      </c>
      <c r="E58" s="476"/>
      <c r="F58" s="476"/>
      <c r="G58" s="476"/>
      <c r="H58" s="528">
        <v>0</v>
      </c>
      <c r="I58" s="476"/>
      <c r="J58" s="476"/>
      <c r="K58" s="476"/>
      <c r="L58" s="522"/>
    </row>
    <row r="59" spans="1:12" s="484" customFormat="1" ht="14.25" thickTop="1" thickBot="1" x14ac:dyDescent="0.25">
      <c r="A59" s="1510" t="s">
        <v>718</v>
      </c>
      <c r="B59" s="482">
        <v>8520</v>
      </c>
      <c r="C59" s="528">
        <v>0</v>
      </c>
      <c r="D59" s="529">
        <v>0</v>
      </c>
      <c r="E59" s="476"/>
      <c r="F59" s="476"/>
      <c r="G59" s="476"/>
      <c r="H59" s="528">
        <v>0</v>
      </c>
      <c r="I59" s="476"/>
      <c r="J59" s="476"/>
      <c r="K59" s="476"/>
      <c r="L59" s="522"/>
    </row>
    <row r="60" spans="1:12" s="484" customFormat="1" ht="14.25" thickTop="1" thickBot="1" x14ac:dyDescent="0.25">
      <c r="A60" s="1508" t="s">
        <v>601</v>
      </c>
      <c r="B60" s="482">
        <v>8530</v>
      </c>
      <c r="C60" s="528">
        <v>0</v>
      </c>
      <c r="D60" s="529">
        <v>0</v>
      </c>
      <c r="E60" s="476"/>
      <c r="F60" s="476"/>
      <c r="G60" s="476"/>
      <c r="H60" s="528">
        <v>0</v>
      </c>
      <c r="I60" s="476"/>
      <c r="J60" s="476"/>
      <c r="K60" s="476"/>
      <c r="L60" s="522"/>
    </row>
    <row r="61" spans="1:12" s="484" customFormat="1" ht="14.25" thickTop="1" thickBot="1" x14ac:dyDescent="0.25">
      <c r="A61" s="1509"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8" t="s">
        <v>768</v>
      </c>
      <c r="B62" s="482">
        <v>8610</v>
      </c>
      <c r="C62" s="528">
        <v>0</v>
      </c>
      <c r="D62" s="529">
        <v>0</v>
      </c>
      <c r="E62" s="476"/>
      <c r="F62" s="476"/>
      <c r="G62" s="476"/>
      <c r="H62" s="476"/>
      <c r="I62" s="476"/>
      <c r="J62" s="476"/>
      <c r="K62" s="476"/>
      <c r="L62" s="522"/>
    </row>
    <row r="63" spans="1:12" s="484" customFormat="1" ht="14.25" thickTop="1" thickBot="1" x14ac:dyDescent="0.25">
      <c r="A63" s="1509" t="s">
        <v>719</v>
      </c>
      <c r="B63" s="482">
        <v>8620</v>
      </c>
      <c r="C63" s="528">
        <v>0</v>
      </c>
      <c r="D63" s="529">
        <v>0</v>
      </c>
      <c r="E63" s="476"/>
      <c r="F63" s="476"/>
      <c r="G63" s="476"/>
      <c r="H63" s="476"/>
      <c r="I63" s="476"/>
      <c r="J63" s="476"/>
      <c r="K63" s="476"/>
      <c r="L63" s="522"/>
    </row>
    <row r="64" spans="1:12" s="484" customFormat="1" ht="13.5" customHeight="1" thickTop="1" thickBot="1" x14ac:dyDescent="0.25">
      <c r="A64" s="1508" t="s">
        <v>769</v>
      </c>
      <c r="B64" s="482">
        <v>8630</v>
      </c>
      <c r="C64" s="528">
        <v>0</v>
      </c>
      <c r="D64" s="529">
        <v>0</v>
      </c>
      <c r="E64" s="476"/>
      <c r="F64" s="476"/>
      <c r="G64" s="476"/>
      <c r="H64" s="476"/>
      <c r="I64" s="476"/>
      <c r="J64" s="476"/>
      <c r="K64" s="476"/>
      <c r="L64" s="522"/>
    </row>
    <row r="65" spans="1:12" s="484" customFormat="1" ht="14.25" thickTop="1" thickBot="1" x14ac:dyDescent="0.25">
      <c r="A65" s="1509" t="s">
        <v>770</v>
      </c>
      <c r="B65" s="482">
        <v>8640</v>
      </c>
      <c r="C65" s="528">
        <v>0</v>
      </c>
      <c r="D65" s="529">
        <v>0</v>
      </c>
      <c r="E65" s="476"/>
      <c r="F65" s="476"/>
      <c r="G65" s="476"/>
      <c r="H65" s="476"/>
      <c r="I65" s="476"/>
      <c r="J65" s="476"/>
      <c r="K65" s="476"/>
      <c r="L65" s="522"/>
    </row>
    <row r="66" spans="1:12" s="484" customFormat="1" ht="14.25" thickTop="1" thickBot="1" x14ac:dyDescent="0.25">
      <c r="A66" s="1508" t="s">
        <v>771</v>
      </c>
      <c r="B66" s="482">
        <v>8710</v>
      </c>
      <c r="C66" s="528">
        <v>0</v>
      </c>
      <c r="D66" s="529">
        <v>0</v>
      </c>
      <c r="E66" s="476"/>
      <c r="F66" s="476"/>
      <c r="G66" s="476"/>
      <c r="H66" s="476"/>
      <c r="I66" s="476"/>
      <c r="J66" s="476"/>
      <c r="K66" s="476"/>
      <c r="L66" s="522"/>
    </row>
    <row r="67" spans="1:12" s="484" customFormat="1" ht="14.25" thickTop="1" thickBot="1" x14ac:dyDescent="0.25">
      <c r="A67" s="1509" t="s">
        <v>720</v>
      </c>
      <c r="B67" s="482">
        <v>8720</v>
      </c>
      <c r="C67" s="528">
        <v>0</v>
      </c>
      <c r="D67" s="529">
        <v>0</v>
      </c>
      <c r="E67" s="476"/>
      <c r="F67" s="476"/>
      <c r="G67" s="476"/>
      <c r="H67" s="476"/>
      <c r="I67" s="476"/>
      <c r="J67" s="476"/>
      <c r="K67" s="476"/>
      <c r="L67" s="522"/>
    </row>
    <row r="68" spans="1:12" s="484" customFormat="1" ht="14.25" thickTop="1" thickBot="1" x14ac:dyDescent="0.25">
      <c r="A68" s="1510" t="s">
        <v>772</v>
      </c>
      <c r="B68" s="482">
        <v>8730</v>
      </c>
      <c r="C68" s="528">
        <v>0</v>
      </c>
      <c r="D68" s="529">
        <v>0</v>
      </c>
      <c r="E68" s="476"/>
      <c r="F68" s="476"/>
      <c r="G68" s="476"/>
      <c r="H68" s="476"/>
      <c r="I68" s="476"/>
      <c r="J68" s="476"/>
      <c r="K68" s="476"/>
      <c r="L68" s="522"/>
    </row>
    <row r="69" spans="1:12" s="484" customFormat="1" ht="14.25" thickTop="1" thickBot="1" x14ac:dyDescent="0.25">
      <c r="A69" s="1509" t="s">
        <v>773</v>
      </c>
      <c r="B69" s="482">
        <v>8740</v>
      </c>
      <c r="C69" s="528">
        <v>0</v>
      </c>
      <c r="D69" s="529">
        <v>0</v>
      </c>
      <c r="E69" s="476"/>
      <c r="F69" s="476"/>
      <c r="G69" s="476"/>
      <c r="H69" s="476"/>
      <c r="I69" s="476"/>
      <c r="J69" s="476"/>
      <c r="K69" s="476"/>
      <c r="L69" s="522"/>
    </row>
    <row r="70" spans="1:12" s="484" customFormat="1" ht="14.25" thickTop="1" thickBot="1" x14ac:dyDescent="0.25">
      <c r="A70" s="1508" t="s">
        <v>774</v>
      </c>
      <c r="B70" s="482">
        <v>8810</v>
      </c>
      <c r="C70" s="528">
        <v>0</v>
      </c>
      <c r="D70" s="529">
        <v>0</v>
      </c>
      <c r="E70" s="476"/>
      <c r="F70" s="476"/>
      <c r="G70" s="476"/>
      <c r="H70" s="476"/>
      <c r="I70" s="476"/>
      <c r="J70" s="476"/>
      <c r="K70" s="476"/>
      <c r="L70" s="522"/>
    </row>
    <row r="71" spans="1:12" s="484" customFormat="1" ht="14.25" thickTop="1" thickBot="1" x14ac:dyDescent="0.25">
      <c r="A71" s="1508" t="s">
        <v>778</v>
      </c>
      <c r="B71" s="482">
        <v>8820</v>
      </c>
      <c r="C71" s="528">
        <v>0</v>
      </c>
      <c r="D71" s="529">
        <v>0</v>
      </c>
      <c r="E71" s="476"/>
      <c r="F71" s="476"/>
      <c r="G71" s="476"/>
      <c r="H71" s="476"/>
      <c r="I71" s="476"/>
      <c r="J71" s="476"/>
      <c r="K71" s="476"/>
      <c r="L71" s="522"/>
    </row>
    <row r="72" spans="1:12" s="484" customFormat="1" ht="14.25" thickTop="1" thickBot="1" x14ac:dyDescent="0.25">
      <c r="A72" s="1508" t="s">
        <v>775</v>
      </c>
      <c r="B72" s="482">
        <v>8830</v>
      </c>
      <c r="C72" s="528">
        <v>0</v>
      </c>
      <c r="D72" s="529">
        <v>0</v>
      </c>
      <c r="E72" s="476"/>
      <c r="F72" s="476"/>
      <c r="G72" s="476"/>
      <c r="H72" s="476"/>
      <c r="I72" s="476"/>
      <c r="J72" s="476"/>
      <c r="K72" s="476"/>
      <c r="L72" s="522"/>
    </row>
    <row r="73" spans="1:12" s="484" customFormat="1" ht="14.25" thickTop="1" thickBot="1" x14ac:dyDescent="0.25">
      <c r="A73" s="1508" t="s">
        <v>776</v>
      </c>
      <c r="B73" s="482">
        <v>8840</v>
      </c>
      <c r="C73" s="528">
        <v>0</v>
      </c>
      <c r="D73" s="529">
        <v>0</v>
      </c>
      <c r="E73" s="476"/>
      <c r="F73" s="476"/>
      <c r="G73" s="476"/>
      <c r="H73" s="476"/>
      <c r="I73" s="476"/>
      <c r="J73" s="476"/>
      <c r="K73" s="479"/>
      <c r="L73" s="522"/>
    </row>
    <row r="74" spans="1:12" s="484" customFormat="1" ht="14.25" thickTop="1" thickBot="1" x14ac:dyDescent="0.25">
      <c r="A74" s="1508"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1"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371" t="s">
        <v>460</v>
      </c>
      <c r="B76" s="2372"/>
      <c r="C76" s="1721">
        <f t="shared" ref="C76:K76" si="7">SUM(C47:C75)</f>
        <v>0</v>
      </c>
      <c r="D76" s="1721">
        <f t="shared" si="7"/>
        <v>0</v>
      </c>
      <c r="E76" s="1721">
        <f t="shared" si="7"/>
        <v>0</v>
      </c>
      <c r="F76" s="1721">
        <f t="shared" si="7"/>
        <v>0</v>
      </c>
      <c r="G76" s="1721">
        <f t="shared" si="7"/>
        <v>0</v>
      </c>
      <c r="H76" s="1721">
        <f t="shared" si="7"/>
        <v>0</v>
      </c>
      <c r="I76" s="1721">
        <f t="shared" si="7"/>
        <v>0</v>
      </c>
      <c r="J76" s="1721">
        <f t="shared" si="7"/>
        <v>0</v>
      </c>
      <c r="K76" s="1721">
        <f t="shared" si="7"/>
        <v>0</v>
      </c>
      <c r="L76" s="522"/>
    </row>
    <row r="77" spans="1:12" ht="14.25" thickTop="1" thickBot="1" x14ac:dyDescent="0.25">
      <c r="A77" s="2373" t="s">
        <v>1239</v>
      </c>
      <c r="B77" s="2374"/>
      <c r="C77" s="1721">
        <f t="shared" ref="C77:K77" si="8">C44-C76</f>
        <v>0</v>
      </c>
      <c r="D77" s="1721">
        <f t="shared" si="8"/>
        <v>0</v>
      </c>
      <c r="E77" s="1721">
        <f t="shared" si="8"/>
        <v>0</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377" t="s">
        <v>618</v>
      </c>
      <c r="B78" s="2378"/>
      <c r="C78" s="1720">
        <f t="shared" ref="C78:K78" si="9">C20+C77</f>
        <v>-114734</v>
      </c>
      <c r="D78" s="1720">
        <f t="shared" si="9"/>
        <v>0</v>
      </c>
      <c r="E78" s="1720">
        <f t="shared" si="9"/>
        <v>0</v>
      </c>
      <c r="F78" s="1720">
        <f t="shared" si="9"/>
        <v>0</v>
      </c>
      <c r="G78" s="1720">
        <f t="shared" si="9"/>
        <v>0</v>
      </c>
      <c r="H78" s="1720">
        <f t="shared" si="9"/>
        <v>0</v>
      </c>
      <c r="I78" s="1720">
        <f t="shared" si="9"/>
        <v>0</v>
      </c>
      <c r="J78" s="1720">
        <f t="shared" si="9"/>
        <v>0</v>
      </c>
      <c r="K78" s="1720">
        <f t="shared" si="9"/>
        <v>0</v>
      </c>
      <c r="L78" s="531"/>
    </row>
    <row r="79" spans="1:12" ht="13.5" thickTop="1" x14ac:dyDescent="0.2">
      <c r="A79" s="1512" t="s">
        <v>2069</v>
      </c>
      <c r="B79" s="532"/>
      <c r="C79" s="467">
        <v>162624</v>
      </c>
      <c r="D79" s="467">
        <v>0</v>
      </c>
      <c r="E79" s="467">
        <v>0</v>
      </c>
      <c r="F79" s="467">
        <v>0</v>
      </c>
      <c r="G79" s="467">
        <v>0</v>
      </c>
      <c r="H79" s="467">
        <v>0</v>
      </c>
      <c r="I79" s="467">
        <v>0</v>
      </c>
      <c r="J79" s="467">
        <v>0</v>
      </c>
      <c r="K79" s="467">
        <v>0</v>
      </c>
      <c r="L79" s="347"/>
    </row>
    <row r="80" spans="1:12" x14ac:dyDescent="0.2">
      <c r="A80" s="2383" t="s">
        <v>1894</v>
      </c>
      <c r="B80" s="2384"/>
      <c r="C80" s="467">
        <v>0</v>
      </c>
      <c r="D80" s="467">
        <v>0</v>
      </c>
      <c r="E80" s="467">
        <v>0</v>
      </c>
      <c r="F80" s="467">
        <v>0</v>
      </c>
      <c r="G80" s="467">
        <v>0</v>
      </c>
      <c r="H80" s="467">
        <v>0</v>
      </c>
      <c r="I80" s="467">
        <v>0</v>
      </c>
      <c r="J80" s="467">
        <v>0</v>
      </c>
      <c r="K80" s="467">
        <v>0</v>
      </c>
      <c r="L80" s="347"/>
    </row>
    <row r="81" spans="1:12" ht="13.5" thickBot="1" x14ac:dyDescent="0.25">
      <c r="A81" s="2375" t="s">
        <v>2070</v>
      </c>
      <c r="B81" s="2376"/>
      <c r="C81" s="1706">
        <f>(SUM(C78:C80))</f>
        <v>47890</v>
      </c>
      <c r="D81" s="1706">
        <f>SUM(D78:D80)</f>
        <v>0</v>
      </c>
      <c r="E81" s="1706">
        <f t="shared" ref="E81:K81" si="10">SUM(E78:E80)</f>
        <v>0</v>
      </c>
      <c r="F81" s="1706">
        <f t="shared" si="10"/>
        <v>0</v>
      </c>
      <c r="G81" s="1706">
        <f t="shared" si="10"/>
        <v>0</v>
      </c>
      <c r="H81" s="1706">
        <f t="shared" si="10"/>
        <v>0</v>
      </c>
      <c r="I81" s="1706">
        <f t="shared" si="10"/>
        <v>0</v>
      </c>
      <c r="J81" s="1706">
        <f t="shared" si="10"/>
        <v>0</v>
      </c>
      <c r="K81" s="1706">
        <f t="shared" si="10"/>
        <v>0</v>
      </c>
      <c r="L81" s="347"/>
    </row>
    <row r="82" spans="1:12" ht="0.75" customHeight="1" thickTop="1" thickBot="1" x14ac:dyDescent="0.25">
      <c r="A82" s="534" t="s">
        <v>361</v>
      </c>
      <c r="B82" s="535"/>
      <c r="C82" s="536">
        <f>(C81-C79)</f>
        <v>-114734</v>
      </c>
      <c r="D82" s="536">
        <f t="shared" ref="D82:K82" si="11">(D81-D79)</f>
        <v>0</v>
      </c>
      <c r="E82" s="536">
        <f t="shared" si="11"/>
        <v>0</v>
      </c>
      <c r="F82" s="536">
        <f t="shared" si="11"/>
        <v>0</v>
      </c>
      <c r="G82" s="536">
        <f t="shared" si="11"/>
        <v>0</v>
      </c>
      <c r="H82" s="536">
        <f t="shared" si="11"/>
        <v>0</v>
      </c>
      <c r="I82" s="536">
        <f t="shared" si="11"/>
        <v>0</v>
      </c>
      <c r="J82" s="536">
        <f t="shared" si="11"/>
        <v>0</v>
      </c>
      <c r="K82" s="536">
        <f t="shared" si="11"/>
        <v>0</v>
      </c>
    </row>
    <row r="83" spans="1:12" ht="14.25" hidden="1" thickTop="1" thickBot="1" x14ac:dyDescent="0.25">
      <c r="A83" s="537" t="s">
        <v>362</v>
      </c>
      <c r="B83" s="464"/>
      <c r="C83" s="538">
        <f>C82/C81</f>
        <v>-2.3957820004176238</v>
      </c>
      <c r="D83" s="538" t="e">
        <f t="shared" ref="D83:K83" si="12">D82/D81</f>
        <v>#DIV/0!</v>
      </c>
      <c r="E83" s="538" t="e">
        <f t="shared" si="12"/>
        <v>#DIV/0!</v>
      </c>
      <c r="F83" s="538" t="e">
        <f t="shared" si="12"/>
        <v>#DIV/0!</v>
      </c>
      <c r="G83" s="538" t="e">
        <f t="shared" si="12"/>
        <v>#DIV/0!</v>
      </c>
      <c r="H83" s="538" t="e">
        <f t="shared" si="12"/>
        <v>#DIV/0!</v>
      </c>
      <c r="I83" s="538" t="e">
        <f t="shared" si="12"/>
        <v>#DIV/0!</v>
      </c>
      <c r="J83" s="538" t="e">
        <f t="shared" si="12"/>
        <v>#DIV/0!</v>
      </c>
      <c r="K83" s="538" t="e">
        <f t="shared" si="12"/>
        <v>#DIV/0!</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3" right="0.15" top="0.86" bottom="0" header="0.28000000000000003" footer="0.1"/>
  <pageSetup scale="70" firstPageNumber="7"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3" sqref="A23:H23"/>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379" t="s">
        <v>1901</v>
      </c>
      <c r="B1" s="452"/>
      <c r="C1" s="453" t="s">
        <v>445</v>
      </c>
      <c r="D1" s="453" t="s">
        <v>446</v>
      </c>
      <c r="E1" s="453" t="s">
        <v>447</v>
      </c>
      <c r="F1" s="453" t="s">
        <v>448</v>
      </c>
      <c r="G1" s="453" t="s">
        <v>449</v>
      </c>
      <c r="H1" s="453" t="s">
        <v>450</v>
      </c>
      <c r="I1" s="453" t="s">
        <v>451</v>
      </c>
      <c r="J1" s="453" t="s">
        <v>452</v>
      </c>
      <c r="K1" s="453" t="s">
        <v>780</v>
      </c>
    </row>
    <row r="2" spans="1:12" ht="36" x14ac:dyDescent="0.2">
      <c r="A2" s="238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1"/>
      <c r="D4" s="541"/>
      <c r="E4" s="541"/>
      <c r="F4" s="542"/>
      <c r="G4" s="543"/>
      <c r="H4" s="544"/>
      <c r="I4" s="544"/>
      <c r="J4" s="544"/>
      <c r="K4" s="544"/>
    </row>
    <row r="5" spans="1:12" ht="15" x14ac:dyDescent="0.2">
      <c r="A5" s="491" t="s">
        <v>1760</v>
      </c>
      <c r="B5" s="545"/>
      <c r="C5" s="480">
        <v>0</v>
      </c>
      <c r="D5" s="480">
        <v>0</v>
      </c>
      <c r="E5" s="480">
        <v>0</v>
      </c>
      <c r="F5" s="546">
        <v>0</v>
      </c>
      <c r="G5" s="466">
        <v>0</v>
      </c>
      <c r="H5" s="466">
        <v>0</v>
      </c>
      <c r="I5" s="466">
        <v>0</v>
      </c>
      <c r="J5" s="466">
        <v>0</v>
      </c>
      <c r="K5" s="466">
        <v>0</v>
      </c>
    </row>
    <row r="6" spans="1:12" ht="15" x14ac:dyDescent="0.2">
      <c r="A6" s="463" t="s">
        <v>1761</v>
      </c>
      <c r="B6" s="470">
        <v>1130</v>
      </c>
      <c r="C6" s="466">
        <v>0</v>
      </c>
      <c r="D6" s="466">
        <v>0</v>
      </c>
      <c r="E6" s="475"/>
      <c r="F6" s="475"/>
      <c r="G6" s="468"/>
      <c r="H6" s="468"/>
      <c r="I6" s="468"/>
      <c r="J6" s="468"/>
      <c r="K6" s="468"/>
    </row>
    <row r="7" spans="1:12" x14ac:dyDescent="0.2">
      <c r="A7" s="463" t="s">
        <v>112</v>
      </c>
      <c r="B7" s="547">
        <v>1140</v>
      </c>
      <c r="C7" s="466">
        <v>0</v>
      </c>
      <c r="D7" s="466">
        <v>0</v>
      </c>
      <c r="E7" s="468"/>
      <c r="F7" s="467">
        <v>0</v>
      </c>
      <c r="G7" s="467">
        <v>0</v>
      </c>
      <c r="H7" s="467">
        <v>0</v>
      </c>
      <c r="I7" s="468"/>
      <c r="J7" s="468"/>
      <c r="K7" s="468"/>
    </row>
    <row r="8" spans="1:12" x14ac:dyDescent="0.2">
      <c r="A8" s="463" t="s">
        <v>433</v>
      </c>
      <c r="B8" s="470">
        <v>1150</v>
      </c>
      <c r="C8" s="475"/>
      <c r="D8" s="475"/>
      <c r="E8" s="476"/>
      <c r="F8" s="476"/>
      <c r="G8" s="480">
        <v>0</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3" t="s">
        <v>29</v>
      </c>
      <c r="B12" s="1724"/>
      <c r="C12" s="1725">
        <f t="shared" ref="C12:K12" si="0">SUM(C5:C11)</f>
        <v>0</v>
      </c>
      <c r="D12" s="1725">
        <f t="shared" si="0"/>
        <v>0</v>
      </c>
      <c r="E12" s="1725">
        <f t="shared" si="0"/>
        <v>0</v>
      </c>
      <c r="F12" s="1725">
        <f t="shared" si="0"/>
        <v>0</v>
      </c>
      <c r="G12" s="1725">
        <f t="shared" si="0"/>
        <v>0</v>
      </c>
      <c r="H12" s="1725">
        <f t="shared" si="0"/>
        <v>0</v>
      </c>
      <c r="I12" s="1725">
        <f t="shared" si="0"/>
        <v>0</v>
      </c>
      <c r="J12" s="1725">
        <f t="shared" si="0"/>
        <v>0</v>
      </c>
      <c r="K12" s="1706">
        <f t="shared" si="0"/>
        <v>0</v>
      </c>
    </row>
    <row r="13" spans="1:12" ht="15.75" customHeight="1" thickTop="1" x14ac:dyDescent="0.2">
      <c r="A13" s="1610" t="s">
        <v>471</v>
      </c>
      <c r="B13" s="1611">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0</v>
      </c>
      <c r="D16" s="466">
        <v>0</v>
      </c>
      <c r="E16" s="466">
        <v>0</v>
      </c>
      <c r="F16" s="466">
        <v>0</v>
      </c>
      <c r="G16" s="466">
        <v>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6" t="s">
        <v>558</v>
      </c>
      <c r="B18" s="1727"/>
      <c r="C18" s="1728">
        <f>SUM(C14:C17)</f>
        <v>0</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0" t="s">
        <v>472</v>
      </c>
      <c r="B19" s="1611">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89499</v>
      </c>
      <c r="D32" s="468"/>
      <c r="E32" s="468"/>
      <c r="F32" s="468"/>
      <c r="G32" s="468"/>
      <c r="H32" s="468"/>
      <c r="I32" s="468"/>
      <c r="J32" s="468"/>
      <c r="K32" s="468"/>
    </row>
    <row r="33" spans="1:11" ht="12.75" customHeight="1" x14ac:dyDescent="0.2">
      <c r="A33" s="463" t="s">
        <v>890</v>
      </c>
      <c r="B33" s="470">
        <v>1342</v>
      </c>
      <c r="C33" s="549">
        <v>2031569</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3" t="s">
        <v>615</v>
      </c>
      <c r="B39" s="554">
        <v>1354</v>
      </c>
      <c r="C39" s="487">
        <v>0</v>
      </c>
      <c r="D39" s="468"/>
      <c r="E39" s="468"/>
      <c r="F39" s="468"/>
      <c r="G39" s="468"/>
      <c r="H39" s="468"/>
      <c r="I39" s="468"/>
      <c r="J39" s="468"/>
      <c r="K39" s="468"/>
    </row>
    <row r="40" spans="1:11" ht="12.75" customHeight="1" thickBot="1" x14ac:dyDescent="0.25">
      <c r="A40" s="1726" t="s">
        <v>559</v>
      </c>
      <c r="B40" s="1727"/>
      <c r="C40" s="1706">
        <f>SUM(C20:C39)</f>
        <v>2121068</v>
      </c>
      <c r="D40" s="468"/>
      <c r="E40" s="468"/>
      <c r="F40" s="468"/>
      <c r="G40" s="468"/>
      <c r="H40" s="468"/>
      <c r="I40" s="468"/>
      <c r="J40" s="468"/>
      <c r="K40" s="468"/>
    </row>
    <row r="41" spans="1:11" ht="15.75" customHeight="1" thickTop="1" x14ac:dyDescent="0.2">
      <c r="A41" s="1610" t="s">
        <v>292</v>
      </c>
      <c r="B41" s="1611">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4" t="s">
        <v>62</v>
      </c>
      <c r="B51" s="555">
        <v>1431</v>
      </c>
      <c r="C51" s="468"/>
      <c r="D51" s="468"/>
      <c r="E51" s="468"/>
      <c r="F51" s="466">
        <v>0</v>
      </c>
      <c r="G51" s="468"/>
      <c r="H51" s="468"/>
      <c r="I51" s="468"/>
      <c r="J51" s="468"/>
      <c r="K51" s="468"/>
    </row>
    <row r="52" spans="1:11" ht="12.75" customHeight="1" x14ac:dyDescent="0.2">
      <c r="A52" s="1514" t="s">
        <v>1168</v>
      </c>
      <c r="B52" s="555">
        <v>1432</v>
      </c>
      <c r="C52" s="468"/>
      <c r="D52" s="468"/>
      <c r="E52" s="468"/>
      <c r="F52" s="466">
        <v>0</v>
      </c>
      <c r="G52" s="468"/>
      <c r="H52" s="468"/>
      <c r="I52" s="468"/>
      <c r="J52" s="468"/>
      <c r="K52" s="468"/>
    </row>
    <row r="53" spans="1:11" ht="12.75" customHeight="1" x14ac:dyDescent="0.2">
      <c r="A53" s="1514" t="s">
        <v>63</v>
      </c>
      <c r="B53" s="555">
        <v>1433</v>
      </c>
      <c r="C53" s="468"/>
      <c r="D53" s="468"/>
      <c r="E53" s="468"/>
      <c r="F53" s="466">
        <v>0</v>
      </c>
      <c r="G53" s="468"/>
      <c r="H53" s="468"/>
      <c r="I53" s="468"/>
      <c r="J53" s="468"/>
      <c r="K53" s="468"/>
    </row>
    <row r="54" spans="1:11" ht="12.75" customHeight="1" x14ac:dyDescent="0.2">
      <c r="A54" s="1514" t="s">
        <v>64</v>
      </c>
      <c r="B54" s="555">
        <v>1434</v>
      </c>
      <c r="C54" s="468"/>
      <c r="D54" s="468"/>
      <c r="E54" s="468"/>
      <c r="F54" s="467">
        <v>0</v>
      </c>
      <c r="G54" s="468"/>
      <c r="H54" s="468"/>
      <c r="I54" s="468"/>
      <c r="J54" s="468"/>
      <c r="K54" s="468"/>
    </row>
    <row r="55" spans="1:11" ht="12.75" customHeight="1" x14ac:dyDescent="0.2">
      <c r="A55" s="1514" t="s">
        <v>65</v>
      </c>
      <c r="B55" s="555">
        <v>1441</v>
      </c>
      <c r="C55" s="468"/>
      <c r="D55" s="468"/>
      <c r="E55" s="468"/>
      <c r="F55" s="466">
        <v>0</v>
      </c>
      <c r="G55" s="468"/>
      <c r="H55" s="468"/>
      <c r="I55" s="468"/>
      <c r="J55" s="468"/>
      <c r="K55" s="468"/>
    </row>
    <row r="56" spans="1:11" ht="12.75" customHeight="1" x14ac:dyDescent="0.2">
      <c r="A56" s="1514" t="s">
        <v>1169</v>
      </c>
      <c r="B56" s="555">
        <v>1442</v>
      </c>
      <c r="C56" s="468"/>
      <c r="D56" s="468"/>
      <c r="E56" s="468"/>
      <c r="F56" s="466">
        <v>0</v>
      </c>
      <c r="G56" s="468"/>
      <c r="H56" s="468"/>
      <c r="I56" s="468"/>
      <c r="J56" s="468"/>
      <c r="K56" s="468"/>
    </row>
    <row r="57" spans="1:11" ht="12.75" customHeight="1" x14ac:dyDescent="0.2">
      <c r="A57" s="1514" t="s">
        <v>510</v>
      </c>
      <c r="B57" s="555">
        <v>1443</v>
      </c>
      <c r="C57" s="468"/>
      <c r="D57" s="468"/>
      <c r="E57" s="468"/>
      <c r="F57" s="466">
        <v>0</v>
      </c>
      <c r="G57" s="468"/>
      <c r="H57" s="468"/>
      <c r="I57" s="468"/>
      <c r="J57" s="468"/>
      <c r="K57" s="468"/>
    </row>
    <row r="58" spans="1:11" ht="12.75" customHeight="1" x14ac:dyDescent="0.2">
      <c r="A58" s="1514" t="s">
        <v>67</v>
      </c>
      <c r="B58" s="555">
        <v>1444</v>
      </c>
      <c r="C58" s="468"/>
      <c r="D58" s="468"/>
      <c r="E58" s="468"/>
      <c r="F58" s="466">
        <v>0</v>
      </c>
      <c r="G58" s="468"/>
      <c r="H58" s="468"/>
      <c r="I58" s="468"/>
      <c r="J58" s="468"/>
      <c r="K58" s="468"/>
    </row>
    <row r="59" spans="1:11" ht="12.75" customHeight="1" x14ac:dyDescent="0.2">
      <c r="A59" s="1514" t="s">
        <v>933</v>
      </c>
      <c r="B59" s="555">
        <v>1451</v>
      </c>
      <c r="C59" s="468"/>
      <c r="D59" s="468"/>
      <c r="E59" s="468"/>
      <c r="F59" s="466">
        <v>0</v>
      </c>
      <c r="G59" s="468"/>
      <c r="H59" s="468"/>
      <c r="I59" s="468"/>
      <c r="J59" s="468"/>
      <c r="K59" s="468"/>
    </row>
    <row r="60" spans="1:11" ht="12.75" customHeight="1" x14ac:dyDescent="0.2">
      <c r="A60" s="1514"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5" t="s">
        <v>935</v>
      </c>
      <c r="B62" s="556">
        <v>1454</v>
      </c>
      <c r="C62" s="468"/>
      <c r="D62" s="468"/>
      <c r="E62" s="468"/>
      <c r="F62" s="467">
        <v>0</v>
      </c>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0" t="s">
        <v>474</v>
      </c>
      <c r="B64" s="1611">
        <v>1500</v>
      </c>
      <c r="C64" s="468"/>
      <c r="D64" s="468"/>
      <c r="E64" s="468"/>
      <c r="F64" s="468"/>
      <c r="G64" s="468"/>
      <c r="H64" s="468"/>
      <c r="I64" s="468"/>
      <c r="J64" s="468"/>
      <c r="K64" s="468"/>
    </row>
    <row r="65" spans="1:11" ht="12.75" customHeight="1" x14ac:dyDescent="0.2">
      <c r="A65" s="463" t="s">
        <v>568</v>
      </c>
      <c r="B65" s="470">
        <v>1510</v>
      </c>
      <c r="C65" s="466">
        <v>58</v>
      </c>
      <c r="D65" s="466">
        <v>0</v>
      </c>
      <c r="E65" s="466">
        <v>0</v>
      </c>
      <c r="F65" s="467">
        <v>0</v>
      </c>
      <c r="G65" s="466">
        <v>0</v>
      </c>
      <c r="H65" s="466">
        <v>0</v>
      </c>
      <c r="I65" s="466">
        <v>0</v>
      </c>
      <c r="J65" s="467">
        <v>0</v>
      </c>
      <c r="K65" s="466">
        <v>0</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6" t="s">
        <v>507</v>
      </c>
      <c r="B67" s="1727"/>
      <c r="C67" s="1706">
        <f>SUM(C65:C66)</f>
        <v>58</v>
      </c>
      <c r="D67" s="1706">
        <f t="shared" ref="D67:K67" si="2">SUM(D65:D66)</f>
        <v>0</v>
      </c>
      <c r="E67" s="1706">
        <f t="shared" si="2"/>
        <v>0</v>
      </c>
      <c r="F67" s="1706">
        <f t="shared" si="2"/>
        <v>0</v>
      </c>
      <c r="G67" s="1706">
        <f t="shared" si="2"/>
        <v>0</v>
      </c>
      <c r="H67" s="1706">
        <f t="shared" si="2"/>
        <v>0</v>
      </c>
      <c r="I67" s="1706">
        <f t="shared" si="2"/>
        <v>0</v>
      </c>
      <c r="J67" s="1706">
        <f t="shared" si="2"/>
        <v>0</v>
      </c>
      <c r="K67" s="1706">
        <f t="shared" si="2"/>
        <v>0</v>
      </c>
    </row>
    <row r="68" spans="1:11" ht="15.75" customHeight="1" thickTop="1" x14ac:dyDescent="0.2">
      <c r="A68" s="1610" t="s">
        <v>475</v>
      </c>
      <c r="B68" s="1612">
        <v>1600</v>
      </c>
      <c r="C68" s="551"/>
      <c r="D68" s="468"/>
      <c r="E68" s="468"/>
      <c r="F68" s="468"/>
      <c r="G68" s="468"/>
      <c r="H68" s="468"/>
      <c r="I68" s="468"/>
      <c r="J68" s="468"/>
      <c r="K68" s="468"/>
    </row>
    <row r="69" spans="1:11" ht="12.75" customHeight="1" x14ac:dyDescent="0.2">
      <c r="A69" s="463" t="s">
        <v>687</v>
      </c>
      <c r="B69" s="470">
        <v>1611</v>
      </c>
      <c r="C69" s="466">
        <v>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0</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6" t="s">
        <v>569</v>
      </c>
      <c r="B75" s="1727"/>
      <c r="C75" s="1706">
        <f>SUM(C69:C74)</f>
        <v>0</v>
      </c>
      <c r="D75" s="468"/>
      <c r="E75" s="468"/>
      <c r="F75" s="468"/>
      <c r="G75" s="468"/>
      <c r="H75" s="468"/>
      <c r="I75" s="468"/>
      <c r="J75" s="468"/>
      <c r="K75" s="468"/>
    </row>
    <row r="76" spans="1:11" ht="15.75" customHeight="1" thickTop="1" x14ac:dyDescent="0.2">
      <c r="A76" s="1610" t="s">
        <v>936</v>
      </c>
      <c r="B76" s="1612">
        <v>1700</v>
      </c>
      <c r="C76" s="551"/>
      <c r="D76" s="468"/>
      <c r="E76" s="468"/>
      <c r="F76" s="468"/>
      <c r="G76" s="468"/>
      <c r="H76" s="468"/>
      <c r="I76" s="468"/>
      <c r="J76" s="468"/>
      <c r="K76" s="468"/>
    </row>
    <row r="77" spans="1:11" ht="12.75" customHeight="1" x14ac:dyDescent="0.2">
      <c r="A77" s="463" t="s">
        <v>570</v>
      </c>
      <c r="B77" s="470">
        <v>1711</v>
      </c>
      <c r="C77" s="514">
        <v>0</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6" t="s">
        <v>259</v>
      </c>
      <c r="B82" s="1727"/>
      <c r="C82" s="1725">
        <f>SUM(C77:C81)</f>
        <v>0</v>
      </c>
      <c r="D82" s="1706">
        <f>SUM(D77:D81)</f>
        <v>0</v>
      </c>
      <c r="E82" s="468"/>
      <c r="F82" s="468"/>
      <c r="G82" s="468"/>
      <c r="H82" s="468"/>
      <c r="I82" s="468"/>
      <c r="J82" s="468"/>
      <c r="K82" s="468"/>
    </row>
    <row r="83" spans="1:11" ht="15.75" customHeight="1" thickTop="1" x14ac:dyDescent="0.2">
      <c r="A83" s="1610" t="s">
        <v>260</v>
      </c>
      <c r="B83" s="1612">
        <v>1800</v>
      </c>
      <c r="C83" s="551"/>
      <c r="D83" s="468"/>
      <c r="E83" s="468"/>
      <c r="F83" s="468"/>
      <c r="G83" s="468"/>
      <c r="H83" s="468"/>
      <c r="I83" s="468"/>
      <c r="J83" s="468"/>
      <c r="K83" s="468"/>
    </row>
    <row r="84" spans="1:11" ht="12.75" customHeight="1" x14ac:dyDescent="0.2">
      <c r="A84" s="463" t="s">
        <v>573</v>
      </c>
      <c r="B84" s="470">
        <v>1811</v>
      </c>
      <c r="C84" s="466">
        <v>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6" t="s">
        <v>261</v>
      </c>
      <c r="B93" s="1727"/>
      <c r="C93" s="1706">
        <f>SUM(C84:C92)</f>
        <v>0</v>
      </c>
      <c r="D93" s="468"/>
      <c r="E93" s="468"/>
      <c r="F93" s="468"/>
      <c r="G93" s="468"/>
      <c r="H93" s="468"/>
      <c r="I93" s="468"/>
      <c r="J93" s="468"/>
      <c r="K93" s="468"/>
    </row>
    <row r="94" spans="1:11" ht="15.75" customHeight="1" thickTop="1" x14ac:dyDescent="0.2">
      <c r="A94" s="1610" t="s">
        <v>1199</v>
      </c>
      <c r="B94" s="1612">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4298</v>
      </c>
      <c r="D96" s="549">
        <v>0</v>
      </c>
      <c r="E96" s="478">
        <v>0</v>
      </c>
      <c r="F96" s="477">
        <v>0</v>
      </c>
      <c r="G96" s="477">
        <v>0</v>
      </c>
      <c r="H96" s="477">
        <v>0</v>
      </c>
      <c r="I96" s="477">
        <v>0</v>
      </c>
      <c r="J96" s="477">
        <v>0</v>
      </c>
      <c r="K96" s="477">
        <v>0</v>
      </c>
    </row>
    <row r="97" spans="1:12" ht="12.75" customHeight="1" x14ac:dyDescent="0.2">
      <c r="A97" s="1513"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1286</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87</v>
      </c>
      <c r="D107" s="466">
        <v>0</v>
      </c>
      <c r="E107" s="466">
        <v>0</v>
      </c>
      <c r="F107" s="466">
        <v>0</v>
      </c>
      <c r="G107" s="466">
        <v>0</v>
      </c>
      <c r="H107" s="466">
        <v>0</v>
      </c>
      <c r="I107" s="466">
        <v>0</v>
      </c>
      <c r="J107" s="467">
        <v>0</v>
      </c>
      <c r="K107" s="466">
        <v>0</v>
      </c>
    </row>
    <row r="108" spans="1:12" ht="12.75" customHeight="1" thickBot="1" x14ac:dyDescent="0.25">
      <c r="A108" s="1726" t="s">
        <v>508</v>
      </c>
      <c r="B108" s="1730"/>
      <c r="C108" s="1725">
        <f>SUM(C95:C107)</f>
        <v>5671</v>
      </c>
      <c r="D108" s="1725">
        <f t="shared" ref="D108:K108" si="3">SUM(D95:D107)</f>
        <v>0</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2126797</v>
      </c>
      <c r="D109" s="1733">
        <f t="shared" si="4"/>
        <v>0</v>
      </c>
      <c r="E109" s="1733">
        <f t="shared" si="4"/>
        <v>0</v>
      </c>
      <c r="F109" s="1733">
        <f t="shared" si="4"/>
        <v>0</v>
      </c>
      <c r="G109" s="1733">
        <f t="shared" si="4"/>
        <v>0</v>
      </c>
      <c r="H109" s="1733">
        <f t="shared" si="4"/>
        <v>0</v>
      </c>
      <c r="I109" s="1733">
        <f t="shared" si="4"/>
        <v>0</v>
      </c>
      <c r="J109" s="1733">
        <f t="shared" si="4"/>
        <v>0</v>
      </c>
      <c r="K109" s="1720">
        <f t="shared" si="4"/>
        <v>0</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1" t="s">
        <v>877</v>
      </c>
      <c r="B111" s="489">
        <v>2100</v>
      </c>
      <c r="C111" s="514">
        <v>564</v>
      </c>
      <c r="D111" s="480">
        <v>0</v>
      </c>
      <c r="E111" s="559"/>
      <c r="F111" s="480">
        <v>0</v>
      </c>
      <c r="G111" s="480">
        <v>0</v>
      </c>
      <c r="H111" s="559"/>
      <c r="I111" s="468"/>
      <c r="J111" s="468"/>
      <c r="K111" s="468"/>
    </row>
    <row r="112" spans="1:12" ht="12.75" customHeight="1" x14ac:dyDescent="0.2">
      <c r="A112" s="463" t="s">
        <v>878</v>
      </c>
      <c r="B112" s="470">
        <v>2200</v>
      </c>
      <c r="C112" s="549">
        <v>75461</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4" t="s">
        <v>839</v>
      </c>
      <c r="B114" s="1735" t="s">
        <v>590</v>
      </c>
      <c r="C114" s="1736">
        <f>SUM(C111:C113)</f>
        <v>76025</v>
      </c>
      <c r="D114" s="1736">
        <f>SUM(D111:D113)</f>
        <v>0</v>
      </c>
      <c r="E114" s="559" t="s">
        <v>1231</v>
      </c>
      <c r="F114" s="1736">
        <f>SUM(F111:F113)</f>
        <v>0</v>
      </c>
      <c r="G114" s="1736">
        <f>SUM(G111:G113)</f>
        <v>0</v>
      </c>
      <c r="H114" s="559"/>
      <c r="I114" s="468"/>
      <c r="J114" s="468"/>
      <c r="K114" s="468"/>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0"/>
      <c r="D116" s="519"/>
      <c r="E116" s="559"/>
      <c r="F116" s="519"/>
      <c r="G116" s="519"/>
      <c r="H116" s="559"/>
      <c r="I116" s="468"/>
      <c r="J116" s="519"/>
      <c r="K116" s="519"/>
    </row>
    <row r="117" spans="1:11" ht="12.75" customHeight="1" x14ac:dyDescent="0.2">
      <c r="A117" s="463" t="s">
        <v>1766</v>
      </c>
      <c r="B117" s="560">
        <v>3001</v>
      </c>
      <c r="C117" s="514">
        <v>541793</v>
      </c>
      <c r="D117" s="480">
        <v>0</v>
      </c>
      <c r="E117" s="466">
        <v>0</v>
      </c>
      <c r="F117" s="480">
        <v>0</v>
      </c>
      <c r="G117" s="480">
        <v>0</v>
      </c>
      <c r="H117" s="466">
        <v>0</v>
      </c>
      <c r="I117" s="468"/>
      <c r="J117" s="467">
        <v>0</v>
      </c>
      <c r="K117" s="466">
        <v>0</v>
      </c>
    </row>
    <row r="118" spans="1:11" ht="12.75" customHeight="1" x14ac:dyDescent="0.2">
      <c r="A118" s="463" t="s">
        <v>1898</v>
      </c>
      <c r="B118" s="560">
        <v>3002</v>
      </c>
      <c r="C118" s="549">
        <v>0</v>
      </c>
      <c r="D118" s="466">
        <v>0</v>
      </c>
      <c r="E118" s="466">
        <v>0</v>
      </c>
      <c r="F118" s="466">
        <v>0</v>
      </c>
      <c r="G118" s="466">
        <v>0</v>
      </c>
      <c r="H118" s="466">
        <v>0</v>
      </c>
      <c r="I118" s="468"/>
      <c r="J118" s="467">
        <v>0</v>
      </c>
      <c r="K118" s="466">
        <v>0</v>
      </c>
    </row>
    <row r="119" spans="1:11" ht="12.75" customHeight="1" x14ac:dyDescent="0.2">
      <c r="A119" s="463" t="s">
        <v>1899</v>
      </c>
      <c r="B119" s="560">
        <v>3005</v>
      </c>
      <c r="C119" s="549">
        <v>0</v>
      </c>
      <c r="D119" s="466">
        <v>0</v>
      </c>
      <c r="E119" s="466">
        <v>0</v>
      </c>
      <c r="F119" s="466">
        <v>0</v>
      </c>
      <c r="G119" s="466">
        <v>0</v>
      </c>
      <c r="H119" s="466">
        <v>0</v>
      </c>
      <c r="I119" s="468"/>
      <c r="J119" s="467">
        <v>0</v>
      </c>
      <c r="K119" s="466">
        <v>0</v>
      </c>
    </row>
    <row r="120" spans="1:11" x14ac:dyDescent="0.2">
      <c r="A120" s="1514" t="s">
        <v>1900</v>
      </c>
      <c r="B120" s="562">
        <v>3099</v>
      </c>
      <c r="C120" s="549">
        <v>0</v>
      </c>
      <c r="D120" s="466">
        <v>0</v>
      </c>
      <c r="E120" s="466">
        <v>0</v>
      </c>
      <c r="F120" s="466">
        <v>0</v>
      </c>
      <c r="G120" s="466">
        <v>0</v>
      </c>
      <c r="H120" s="466">
        <v>0</v>
      </c>
      <c r="I120" s="468"/>
      <c r="J120" s="467">
        <v>0</v>
      </c>
      <c r="K120" s="466">
        <v>0</v>
      </c>
    </row>
    <row r="121" spans="1:11" ht="12.6" customHeight="1" thickBot="1" x14ac:dyDescent="0.25">
      <c r="A121" s="1726" t="s">
        <v>509</v>
      </c>
      <c r="B121" s="1737"/>
      <c r="C121" s="1725">
        <f t="shared" ref="C121:H121" si="5">SUM(C117:C120)</f>
        <v>541793</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0" t="s">
        <v>1570</v>
      </c>
      <c r="B122" s="1615"/>
      <c r="C122" s="563"/>
      <c r="D122" s="507"/>
      <c r="E122" s="468"/>
      <c r="F122" s="564"/>
      <c r="G122" s="468"/>
      <c r="H122" s="468"/>
      <c r="I122" s="468"/>
      <c r="J122" s="468"/>
      <c r="K122" s="468"/>
    </row>
    <row r="123" spans="1:11" ht="15" customHeight="1" x14ac:dyDescent="0.2">
      <c r="A123" s="1616" t="s">
        <v>688</v>
      </c>
      <c r="B123" s="1617"/>
      <c r="C123" s="519"/>
      <c r="D123" s="507"/>
      <c r="E123" s="468"/>
      <c r="F123" s="519"/>
      <c r="G123" s="468"/>
      <c r="H123" s="468"/>
      <c r="I123" s="468"/>
      <c r="J123" s="468"/>
      <c r="K123" s="468"/>
    </row>
    <row r="124" spans="1:11" ht="12.75" customHeight="1" x14ac:dyDescent="0.2">
      <c r="A124" s="463" t="s">
        <v>921</v>
      </c>
      <c r="B124" s="565">
        <v>3100</v>
      </c>
      <c r="C124" s="480">
        <v>0</v>
      </c>
      <c r="D124" s="559"/>
      <c r="E124" s="468"/>
      <c r="F124" s="546">
        <v>0</v>
      </c>
      <c r="G124" s="468"/>
      <c r="H124" s="468"/>
      <c r="I124" s="468"/>
      <c r="J124" s="468"/>
      <c r="K124" s="468"/>
    </row>
    <row r="125" spans="1:11" ht="12.75" customHeight="1" x14ac:dyDescent="0.2">
      <c r="A125" s="463" t="s">
        <v>1521</v>
      </c>
      <c r="B125" s="560">
        <v>3105</v>
      </c>
      <c r="C125" s="466">
        <v>0</v>
      </c>
      <c r="D125" s="559"/>
      <c r="E125" s="468"/>
      <c r="F125" s="466">
        <v>0</v>
      </c>
      <c r="G125" s="468"/>
      <c r="H125" s="468"/>
      <c r="I125" s="468"/>
      <c r="J125" s="468"/>
      <c r="K125" s="468"/>
    </row>
    <row r="126" spans="1:11" ht="12.75" customHeight="1" x14ac:dyDescent="0.2">
      <c r="A126" s="463" t="s">
        <v>922</v>
      </c>
      <c r="B126" s="560">
        <v>3110</v>
      </c>
      <c r="C126" s="549">
        <v>283797</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0</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6" t="s">
        <v>1092</v>
      </c>
      <c r="B131" s="1738"/>
      <c r="C131" s="1725">
        <f>SUM(C124:C130)</f>
        <v>283797</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18" t="s">
        <v>268</v>
      </c>
      <c r="B132" s="1619"/>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6" t="s">
        <v>624</v>
      </c>
      <c r="B140" s="1738"/>
      <c r="C140" s="1725">
        <f>SUM(C133:C139)</f>
        <v>0</v>
      </c>
      <c r="D140" s="1725">
        <f>SUM(D133:D139)</f>
        <v>0</v>
      </c>
      <c r="E140" s="559" t="s">
        <v>1231</v>
      </c>
      <c r="F140" s="476"/>
      <c r="G140" s="1725">
        <f>SUM(G133:G139)</f>
        <v>0</v>
      </c>
      <c r="H140" s="468" t="s">
        <v>1231</v>
      </c>
      <c r="I140" s="468" t="s">
        <v>1231</v>
      </c>
      <c r="J140" s="468" t="s">
        <v>1231</v>
      </c>
      <c r="K140" s="468" t="s">
        <v>1231</v>
      </c>
    </row>
    <row r="141" spans="1:11" ht="15.75" customHeight="1" thickTop="1" x14ac:dyDescent="0.2">
      <c r="A141" s="1618" t="s">
        <v>691</v>
      </c>
      <c r="B141" s="1619"/>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6" t="s">
        <v>414</v>
      </c>
      <c r="B144" s="1738"/>
      <c r="C144" s="1706">
        <f>SUM(C142:C143)</f>
        <v>0</v>
      </c>
      <c r="D144" s="468"/>
      <c r="E144" s="507"/>
      <c r="F144" s="468"/>
      <c r="G144" s="1739">
        <f>SUM(G142:G143)</f>
        <v>0</v>
      </c>
      <c r="H144" s="468"/>
      <c r="I144" s="468"/>
      <c r="J144" s="468"/>
      <c r="K144" s="468"/>
    </row>
    <row r="145" spans="1:11" s="202" customFormat="1" ht="12.75" customHeight="1" thickTop="1" x14ac:dyDescent="0.2">
      <c r="A145" s="1516" t="s">
        <v>1116</v>
      </c>
      <c r="B145" s="566">
        <v>3360</v>
      </c>
      <c r="C145" s="567">
        <v>0</v>
      </c>
      <c r="D145" s="568"/>
      <c r="E145" s="507"/>
      <c r="F145" s="468"/>
      <c r="G145" s="569"/>
      <c r="H145" s="468"/>
      <c r="I145" s="468"/>
      <c r="J145" s="468"/>
      <c r="K145" s="468"/>
    </row>
    <row r="146" spans="1:11" ht="12.75" customHeight="1" thickBot="1" x14ac:dyDescent="0.25">
      <c r="A146" s="1517" t="s">
        <v>979</v>
      </c>
      <c r="B146" s="570">
        <v>3365</v>
      </c>
      <c r="C146" s="571">
        <v>0</v>
      </c>
      <c r="D146" s="530">
        <v>0</v>
      </c>
      <c r="E146" s="559"/>
      <c r="F146" s="468"/>
      <c r="G146" s="530">
        <v>0</v>
      </c>
      <c r="H146" s="468"/>
      <c r="I146" s="468"/>
      <c r="J146" s="468"/>
      <c r="K146" s="468"/>
    </row>
    <row r="147" spans="1:11" ht="12.75" customHeight="1" thickTop="1" thickBot="1" x14ac:dyDescent="0.25">
      <c r="A147" s="1518" t="s">
        <v>140</v>
      </c>
      <c r="B147" s="572">
        <v>3370</v>
      </c>
      <c r="C147" s="571">
        <v>0</v>
      </c>
      <c r="D147" s="571">
        <v>0</v>
      </c>
      <c r="E147" s="507"/>
      <c r="F147" s="468"/>
      <c r="G147" s="468"/>
      <c r="H147" s="468"/>
      <c r="I147" s="468"/>
      <c r="J147" s="468"/>
      <c r="K147" s="468"/>
    </row>
    <row r="148" spans="1:11" ht="12.75" customHeight="1" thickTop="1" thickBot="1" x14ac:dyDescent="0.25">
      <c r="A148" s="1518"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8"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8" t="s">
        <v>473</v>
      </c>
      <c r="B150" s="1620"/>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0</v>
      </c>
      <c r="G151" s="467">
        <v>0</v>
      </c>
      <c r="H151" s="468"/>
      <c r="I151" s="468"/>
      <c r="J151" s="468"/>
      <c r="K151" s="468"/>
    </row>
    <row r="152" spans="1:11" ht="12.75" customHeight="1" x14ac:dyDescent="0.2">
      <c r="A152" s="463" t="s">
        <v>1117</v>
      </c>
      <c r="B152" s="560">
        <v>3510</v>
      </c>
      <c r="C152" s="549">
        <v>0</v>
      </c>
      <c r="D152" s="466">
        <v>0</v>
      </c>
      <c r="E152" s="559"/>
      <c r="F152" s="466">
        <v>0</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6" t="s">
        <v>96</v>
      </c>
      <c r="B154" s="1738"/>
      <c r="C154" s="1725">
        <f>SUM(C151:C153)</f>
        <v>0</v>
      </c>
      <c r="D154" s="1725">
        <f>SUM(D151:D153)</f>
        <v>0</v>
      </c>
      <c r="E154" s="559"/>
      <c r="F154" s="1725">
        <f>SUM(F151:F153)</f>
        <v>0</v>
      </c>
      <c r="G154" s="1725">
        <f>SUM(G151:G153)</f>
        <v>0</v>
      </c>
      <c r="H154" s="468"/>
      <c r="I154" s="468"/>
      <c r="J154" s="468"/>
      <c r="K154" s="468"/>
    </row>
    <row r="155" spans="1:11" ht="12.75" customHeight="1" thickTop="1" thickBot="1" x14ac:dyDescent="0.25">
      <c r="A155" s="1518" t="s">
        <v>398</v>
      </c>
      <c r="B155" s="572">
        <v>3610</v>
      </c>
      <c r="C155" s="574">
        <v>0</v>
      </c>
      <c r="D155" s="468"/>
      <c r="E155" s="507"/>
      <c r="F155" s="468"/>
      <c r="G155" s="468"/>
      <c r="H155" s="468"/>
      <c r="I155" s="468"/>
      <c r="J155" s="468"/>
      <c r="K155" s="468"/>
    </row>
    <row r="156" spans="1:11" ht="12.75" customHeight="1" thickTop="1" thickBot="1" x14ac:dyDescent="0.25">
      <c r="A156" s="1518" t="s">
        <v>52</v>
      </c>
      <c r="B156" s="572">
        <v>3660</v>
      </c>
      <c r="C156" s="571">
        <v>0</v>
      </c>
      <c r="D156" s="576">
        <v>0</v>
      </c>
      <c r="E156" s="559"/>
      <c r="F156" s="576">
        <v>0</v>
      </c>
      <c r="G156" s="576">
        <v>0</v>
      </c>
      <c r="H156" s="468"/>
      <c r="I156" s="468"/>
      <c r="J156" s="468"/>
      <c r="K156" s="468"/>
    </row>
    <row r="157" spans="1:11" ht="12.75" customHeight="1" thickTop="1" thickBot="1" x14ac:dyDescent="0.25">
      <c r="A157" s="1518" t="s">
        <v>1057</v>
      </c>
      <c r="B157" s="572">
        <v>3695</v>
      </c>
      <c r="C157" s="574">
        <v>0</v>
      </c>
      <c r="D157" s="468"/>
      <c r="E157" s="559"/>
      <c r="F157" s="574">
        <v>0</v>
      </c>
      <c r="G157" s="574">
        <v>0</v>
      </c>
      <c r="H157" s="468"/>
      <c r="I157" s="468"/>
      <c r="J157" s="468"/>
      <c r="K157" s="468"/>
    </row>
    <row r="158" spans="1:11" ht="12.75" customHeight="1" thickTop="1" thickBot="1" x14ac:dyDescent="0.25">
      <c r="A158" s="1518" t="s">
        <v>1111</v>
      </c>
      <c r="B158" s="572">
        <v>3705</v>
      </c>
      <c r="C158" s="574">
        <v>0</v>
      </c>
      <c r="D158" s="576">
        <v>0</v>
      </c>
      <c r="E158" s="559"/>
      <c r="F158" s="574">
        <v>0</v>
      </c>
      <c r="G158" s="574">
        <v>0</v>
      </c>
      <c r="H158" s="468"/>
      <c r="I158" s="468"/>
      <c r="J158" s="468"/>
      <c r="K158" s="468"/>
    </row>
    <row r="159" spans="1:11" ht="12.75" customHeight="1" thickTop="1" thickBot="1" x14ac:dyDescent="0.25">
      <c r="A159" s="1518" t="s">
        <v>39</v>
      </c>
      <c r="B159" s="572">
        <v>3715</v>
      </c>
      <c r="C159" s="574">
        <v>0</v>
      </c>
      <c r="D159" s="468"/>
      <c r="E159" s="559"/>
      <c r="F159" s="574">
        <v>0</v>
      </c>
      <c r="G159" s="574">
        <v>0</v>
      </c>
      <c r="H159" s="468"/>
      <c r="I159" s="468"/>
      <c r="J159" s="468"/>
      <c r="K159" s="468"/>
    </row>
    <row r="160" spans="1:11" ht="12.75" customHeight="1" thickTop="1" thickBot="1" x14ac:dyDescent="0.25">
      <c r="A160" s="1518" t="s">
        <v>40</v>
      </c>
      <c r="B160" s="572">
        <v>3720</v>
      </c>
      <c r="C160" s="574">
        <v>0</v>
      </c>
      <c r="D160" s="468"/>
      <c r="E160" s="559"/>
      <c r="F160" s="574">
        <v>0</v>
      </c>
      <c r="G160" s="574">
        <v>0</v>
      </c>
      <c r="H160" s="468"/>
      <c r="I160" s="468"/>
      <c r="J160" s="468"/>
      <c r="K160" s="468"/>
    </row>
    <row r="161" spans="1:11" ht="12.75" customHeight="1" thickTop="1" thickBot="1" x14ac:dyDescent="0.25">
      <c r="A161" s="1518" t="s">
        <v>415</v>
      </c>
      <c r="B161" s="572">
        <v>3725</v>
      </c>
      <c r="C161" s="529">
        <v>0</v>
      </c>
      <c r="D161" s="468"/>
      <c r="E161" s="559"/>
      <c r="F161" s="529">
        <v>0</v>
      </c>
      <c r="G161" s="529">
        <v>0</v>
      </c>
      <c r="H161" s="468"/>
      <c r="I161" s="468"/>
      <c r="J161" s="468"/>
      <c r="K161" s="468"/>
    </row>
    <row r="162" spans="1:11" ht="12.75" customHeight="1" thickTop="1" thickBot="1" x14ac:dyDescent="0.25">
      <c r="A162" s="1518" t="s">
        <v>416</v>
      </c>
      <c r="B162" s="572">
        <v>3726</v>
      </c>
      <c r="C162" s="529">
        <v>0</v>
      </c>
      <c r="D162" s="468"/>
      <c r="E162" s="559"/>
      <c r="F162" s="529">
        <v>0</v>
      </c>
      <c r="G162" s="529">
        <v>0</v>
      </c>
      <c r="H162" s="468"/>
      <c r="I162" s="468"/>
      <c r="J162" s="468"/>
      <c r="K162" s="468"/>
    </row>
    <row r="163" spans="1:11" ht="12.75" customHeight="1" thickTop="1" thickBot="1" x14ac:dyDescent="0.25">
      <c r="A163" s="1518" t="s">
        <v>41</v>
      </c>
      <c r="B163" s="572">
        <v>3766</v>
      </c>
      <c r="C163" s="574"/>
      <c r="D163" s="576"/>
      <c r="E163" s="559"/>
      <c r="F163" s="574"/>
      <c r="G163" s="529"/>
      <c r="H163" s="468"/>
      <c r="I163" s="468"/>
      <c r="J163" s="468"/>
      <c r="K163" s="468"/>
    </row>
    <row r="164" spans="1:11" ht="12.75" customHeight="1" thickTop="1" thickBot="1" x14ac:dyDescent="0.25">
      <c r="A164" s="1518" t="s">
        <v>1042</v>
      </c>
      <c r="B164" s="572">
        <v>3767</v>
      </c>
      <c r="C164" s="574"/>
      <c r="D164" s="529"/>
      <c r="E164" s="559"/>
      <c r="F164" s="529"/>
      <c r="G164" s="529"/>
      <c r="H164" s="468"/>
      <c r="I164" s="468"/>
      <c r="J164" s="468"/>
      <c r="K164" s="468"/>
    </row>
    <row r="165" spans="1:11" ht="12.75" customHeight="1" thickTop="1" thickBot="1" x14ac:dyDescent="0.25">
      <c r="A165" s="1518"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8"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8" t="s">
        <v>913</v>
      </c>
      <c r="B167" s="572">
        <v>3815</v>
      </c>
      <c r="C167" s="574">
        <v>0</v>
      </c>
      <c r="D167" s="468"/>
      <c r="E167" s="559"/>
      <c r="F167" s="574">
        <v>0</v>
      </c>
      <c r="G167" s="468"/>
      <c r="H167" s="468"/>
      <c r="I167" s="468"/>
      <c r="J167" s="468"/>
      <c r="K167" s="468"/>
    </row>
    <row r="168" spans="1:11" ht="12.75" customHeight="1" thickTop="1" thickBot="1" x14ac:dyDescent="0.25">
      <c r="A168" s="1518" t="s">
        <v>417</v>
      </c>
      <c r="B168" s="572">
        <v>3825</v>
      </c>
      <c r="C168" s="574">
        <v>0</v>
      </c>
      <c r="D168" s="468"/>
      <c r="E168" s="559"/>
      <c r="F168" s="574">
        <v>0</v>
      </c>
      <c r="G168" s="468"/>
      <c r="H168" s="468"/>
      <c r="I168" s="468"/>
      <c r="J168" s="468"/>
      <c r="K168" s="468"/>
    </row>
    <row r="169" spans="1:11" ht="12.75" customHeight="1" thickTop="1" thickBot="1" x14ac:dyDescent="0.25">
      <c r="A169" s="1518" t="s">
        <v>366</v>
      </c>
      <c r="B169" s="572">
        <v>3920</v>
      </c>
      <c r="C169" s="564"/>
      <c r="D169" s="576">
        <v>0</v>
      </c>
      <c r="E169" s="468"/>
      <c r="F169" s="564"/>
      <c r="G169" s="468"/>
      <c r="H169" s="528">
        <v>0</v>
      </c>
      <c r="I169" s="468"/>
      <c r="J169" s="468"/>
      <c r="K169" s="468"/>
    </row>
    <row r="170" spans="1:11" ht="12.75" customHeight="1" thickTop="1" thickBot="1" x14ac:dyDescent="0.25">
      <c r="A170" s="1518" t="s">
        <v>367</v>
      </c>
      <c r="B170" s="572">
        <v>3925</v>
      </c>
      <c r="C170" s="519"/>
      <c r="D170" s="574">
        <v>0</v>
      </c>
      <c r="E170" s="519"/>
      <c r="F170" s="519"/>
      <c r="G170" s="468"/>
      <c r="H170" s="529">
        <v>0</v>
      </c>
      <c r="I170" s="468"/>
      <c r="J170" s="468"/>
      <c r="K170" s="528">
        <v>0</v>
      </c>
    </row>
    <row r="171" spans="1:11" ht="14.25" thickTop="1" thickBot="1" x14ac:dyDescent="0.25">
      <c r="A171" s="1518"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399" t="s">
        <v>418</v>
      </c>
      <c r="B172" s="2400"/>
      <c r="C172" s="1740">
        <f t="shared" ref="C172:K172" si="6">SUM(C131,C140,C144,C145:C149,C154,C155:C170,C171)</f>
        <v>283797</v>
      </c>
      <c r="D172" s="1740">
        <f t="shared" si="6"/>
        <v>0</v>
      </c>
      <c r="E172" s="1740">
        <f t="shared" si="6"/>
        <v>0</v>
      </c>
      <c r="F172" s="1740">
        <f t="shared" si="6"/>
        <v>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825590</v>
      </c>
      <c r="D173" s="1733">
        <f>SUM(D121,D172)</f>
        <v>0</v>
      </c>
      <c r="E173" s="1733">
        <f>SUM(E121,E172)</f>
        <v>0</v>
      </c>
      <c r="F173" s="1733">
        <f t="shared" ref="F173:K173" si="7">SUM(F121,F172)</f>
        <v>0</v>
      </c>
      <c r="G173" s="1733">
        <f t="shared" si="7"/>
        <v>0</v>
      </c>
      <c r="H173" s="1733">
        <f t="shared" si="7"/>
        <v>0</v>
      </c>
      <c r="I173" s="1733">
        <f t="shared" si="7"/>
        <v>0</v>
      </c>
      <c r="J173" s="1733">
        <f t="shared" si="7"/>
        <v>0</v>
      </c>
      <c r="K173" s="1720">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401" t="s">
        <v>1572</v>
      </c>
      <c r="B175" s="2402"/>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405" t="s">
        <v>1764</v>
      </c>
      <c r="B178" s="2406"/>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409" t="s">
        <v>1763</v>
      </c>
      <c r="B179" s="2410"/>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407" t="s">
        <v>818</v>
      </c>
      <c r="B184" s="2408"/>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403" t="s">
        <v>1902</v>
      </c>
      <c r="B185" s="2404"/>
      <c r="C185" s="582"/>
      <c r="D185" s="564"/>
      <c r="E185" s="507"/>
      <c r="F185" s="564"/>
      <c r="G185" s="564"/>
      <c r="H185" s="468"/>
      <c r="I185" s="468"/>
      <c r="J185" s="468"/>
      <c r="K185" s="468"/>
    </row>
    <row r="186" spans="1:11" ht="15.75" customHeight="1" x14ac:dyDescent="0.2">
      <c r="A186" s="1621" t="s">
        <v>1692</v>
      </c>
      <c r="B186" s="1622"/>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6" t="s">
        <v>1697</v>
      </c>
      <c r="B191" s="1727"/>
      <c r="C191" s="1725">
        <f>SUM(C187:C190)</f>
        <v>0</v>
      </c>
      <c r="D191" s="1725">
        <f>SUM(D187:D190)</f>
        <v>0</v>
      </c>
      <c r="E191" s="559"/>
      <c r="F191" s="1725">
        <f>SUM(F187:F190)</f>
        <v>0</v>
      </c>
      <c r="G191" s="1725">
        <f>SUM(G187:G190)</f>
        <v>0</v>
      </c>
      <c r="H191" s="468"/>
      <c r="I191" s="468"/>
      <c r="J191" s="468"/>
      <c r="K191" s="468"/>
    </row>
    <row r="192" spans="1:11" ht="15.75" customHeight="1" thickTop="1" x14ac:dyDescent="0.2">
      <c r="A192" s="1618" t="s">
        <v>475</v>
      </c>
      <c r="B192" s="1623"/>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0</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0</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6" t="s">
        <v>569</v>
      </c>
      <c r="B201" s="1727"/>
      <c r="C201" s="1706">
        <f>SUM(C193:C200)</f>
        <v>0</v>
      </c>
      <c r="D201" s="468"/>
      <c r="E201" s="468"/>
      <c r="F201" s="468"/>
      <c r="G201" s="1706">
        <f>SUM(G193:G200)</f>
        <v>0</v>
      </c>
      <c r="H201" s="468"/>
      <c r="I201" s="468"/>
      <c r="J201" s="468"/>
      <c r="K201" s="468"/>
    </row>
    <row r="202" spans="1:11" ht="15.75" customHeight="1" thickTop="1" x14ac:dyDescent="0.2">
      <c r="A202" s="1618" t="s">
        <v>1200</v>
      </c>
      <c r="B202" s="1623"/>
      <c r="C202" s="551"/>
      <c r="D202" s="468"/>
      <c r="E202" s="468"/>
      <c r="F202" s="468"/>
      <c r="G202" s="468"/>
      <c r="H202" s="468"/>
      <c r="I202" s="468"/>
      <c r="J202" s="468"/>
      <c r="K202" s="468"/>
    </row>
    <row r="203" spans="1:11" ht="12.75" customHeight="1" x14ac:dyDescent="0.2">
      <c r="A203" s="463" t="s">
        <v>974</v>
      </c>
      <c r="B203" s="470">
        <v>4300</v>
      </c>
      <c r="C203" s="466">
        <v>0</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6" t="s">
        <v>420</v>
      </c>
      <c r="B211" s="1727"/>
      <c r="C211" s="1725">
        <f>SUM(C203:C210)</f>
        <v>0</v>
      </c>
      <c r="D211" s="1725">
        <f>SUM(D203:D210)</f>
        <v>0</v>
      </c>
      <c r="E211" s="468"/>
      <c r="F211" s="1725">
        <f>SUM(F203:F210)</f>
        <v>0</v>
      </c>
      <c r="G211" s="1725">
        <f>SUM(G203:G210)</f>
        <v>0</v>
      </c>
      <c r="H211" s="468"/>
      <c r="I211" s="468"/>
      <c r="J211" s="468"/>
      <c r="K211" s="468"/>
    </row>
    <row r="212" spans="1:11" ht="15.75" customHeight="1" thickTop="1" x14ac:dyDescent="0.2">
      <c r="A212" s="1618" t="s">
        <v>1201</v>
      </c>
      <c r="B212" s="1623"/>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18" t="s">
        <v>1154</v>
      </c>
      <c r="B217" s="1623"/>
      <c r="C217" s="551"/>
      <c r="D217" s="551"/>
      <c r="E217" s="468"/>
      <c r="F217" s="551"/>
      <c r="G217" s="551"/>
      <c r="H217" s="468"/>
      <c r="I217" s="468"/>
      <c r="J217" s="468"/>
      <c r="K217" s="468"/>
    </row>
    <row r="218" spans="1:11" ht="12.75" customHeight="1" x14ac:dyDescent="0.2">
      <c r="A218" s="463" t="s">
        <v>1112</v>
      </c>
      <c r="B218" s="470">
        <v>4600</v>
      </c>
      <c r="C218" s="549">
        <v>106643</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2226792</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19" t="s">
        <v>76</v>
      </c>
      <c r="B223" s="555">
        <v>4699</v>
      </c>
      <c r="C223" s="549">
        <v>0</v>
      </c>
      <c r="D223" s="466">
        <v>0</v>
      </c>
      <c r="E223" s="468"/>
      <c r="F223" s="466">
        <v>0</v>
      </c>
      <c r="G223" s="466">
        <v>0</v>
      </c>
      <c r="H223" s="468"/>
      <c r="I223" s="468"/>
      <c r="J223" s="468"/>
      <c r="K223" s="468"/>
    </row>
    <row r="224" spans="1:11" ht="12.75" customHeight="1" thickBot="1" x14ac:dyDescent="0.25">
      <c r="A224" s="1726" t="s">
        <v>467</v>
      </c>
      <c r="B224" s="1727"/>
      <c r="C224" s="1725">
        <f>SUM(C218:C223)</f>
        <v>2333435</v>
      </c>
      <c r="D224" s="1725">
        <f>SUM(D218:D223)</f>
        <v>0</v>
      </c>
      <c r="E224" s="468"/>
      <c r="F224" s="1725">
        <f>SUM(F218:F223)</f>
        <v>0</v>
      </c>
      <c r="G224" s="1725">
        <f>SUM(G218:G223)</f>
        <v>0</v>
      </c>
      <c r="H224" s="468"/>
      <c r="I224" s="468"/>
      <c r="J224" s="468"/>
      <c r="K224" s="468"/>
    </row>
    <row r="225" spans="1:11" ht="15.75" customHeight="1" thickTop="1" x14ac:dyDescent="0.2">
      <c r="A225" s="1618" t="s">
        <v>1155</v>
      </c>
      <c r="B225" s="1623"/>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0" t="s">
        <v>1493</v>
      </c>
      <c r="B260" s="586">
        <v>4901</v>
      </c>
      <c r="C260" s="587">
        <v>0</v>
      </c>
      <c r="D260" s="469"/>
      <c r="E260" s="468"/>
      <c r="F260" s="468"/>
      <c r="G260" s="468"/>
      <c r="H260" s="468"/>
      <c r="I260" s="468"/>
      <c r="J260" s="468"/>
      <c r="K260" s="468"/>
    </row>
    <row r="261" spans="1:11" ht="12.75" customHeight="1" thickTop="1" thickBot="1" x14ac:dyDescent="0.25">
      <c r="A261" s="1521"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0</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72997</v>
      </c>
      <c r="D270" s="574">
        <v>0</v>
      </c>
      <c r="E270" s="468"/>
      <c r="F270" s="574">
        <v>0</v>
      </c>
      <c r="G270" s="574">
        <v>0</v>
      </c>
      <c r="H270" s="468"/>
      <c r="I270" s="468"/>
      <c r="J270" s="468"/>
      <c r="K270" s="468"/>
    </row>
    <row r="271" spans="1:11" ht="12.75" customHeight="1" thickTop="1" thickBot="1" x14ac:dyDescent="0.25">
      <c r="A271" s="463" t="s">
        <v>395</v>
      </c>
      <c r="B271" s="470">
        <v>4992</v>
      </c>
      <c r="C271" s="573">
        <v>148551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4017</v>
      </c>
      <c r="D272" s="574">
        <v>0</v>
      </c>
      <c r="E272" s="468"/>
      <c r="F272" s="574">
        <v>0</v>
      </c>
      <c r="G272" s="574">
        <v>0</v>
      </c>
      <c r="H272" s="528">
        <v>0</v>
      </c>
      <c r="I272" s="468"/>
      <c r="J272" s="468"/>
      <c r="K272" s="528">
        <v>0</v>
      </c>
    </row>
    <row r="273" spans="1:11" ht="14.25" thickTop="1" thickBot="1" x14ac:dyDescent="0.25">
      <c r="A273" s="1726" t="s">
        <v>1765</v>
      </c>
      <c r="B273" s="1745"/>
      <c r="C273" s="1733">
        <f t="shared" ref="C273:H273" si="10">SUM(C191,C201,C211,C216,C224,C228,C229,C259:C272)</f>
        <v>2559000</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2559000</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5587412</v>
      </c>
      <c r="D275" s="1733">
        <f t="shared" si="12"/>
        <v>0</v>
      </c>
      <c r="E275" s="1733">
        <f t="shared" si="12"/>
        <v>0</v>
      </c>
      <c r="F275" s="1733">
        <f t="shared" si="12"/>
        <v>0</v>
      </c>
      <c r="G275" s="1733">
        <f t="shared" si="12"/>
        <v>0</v>
      </c>
      <c r="H275" s="1733">
        <f t="shared" si="12"/>
        <v>0</v>
      </c>
      <c r="I275" s="1733">
        <f t="shared" si="12"/>
        <v>0</v>
      </c>
      <c r="J275" s="1733">
        <f t="shared" si="12"/>
        <v>0</v>
      </c>
      <c r="K275" s="1720">
        <f t="shared" si="12"/>
        <v>0</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pageMargins left="0.25" right="0.15" top="0.66" bottom="0.46" header="0.26" footer="0.17"/>
  <pageSetup scale="74" firstPageNumber="9"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23" sqref="A23:H23"/>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379" t="s">
        <v>1901</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411"/>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417" t="s">
        <v>315</v>
      </c>
      <c r="B3" s="2418"/>
      <c r="C3" s="1566"/>
      <c r="D3" s="1566"/>
      <c r="E3" s="1566"/>
      <c r="F3" s="1566"/>
      <c r="G3" s="1566"/>
      <c r="H3" s="1566"/>
      <c r="I3" s="1566"/>
      <c r="J3" s="1566"/>
      <c r="K3" s="1567"/>
      <c r="L3" s="1568"/>
      <c r="M3" s="608"/>
      <c r="N3" s="608"/>
    </row>
    <row r="4" spans="1:14" s="259" customFormat="1" ht="15.75" customHeight="1" x14ac:dyDescent="0.2">
      <c r="A4" s="1624" t="s">
        <v>46</v>
      </c>
      <c r="B4" s="1625" t="s">
        <v>591</v>
      </c>
      <c r="C4" s="609"/>
      <c r="D4" s="609"/>
      <c r="E4" s="609"/>
      <c r="F4" s="609"/>
      <c r="G4" s="609"/>
      <c r="H4" s="609"/>
      <c r="I4" s="610"/>
      <c r="J4" s="609"/>
      <c r="K4" s="611"/>
      <c r="L4" s="609"/>
      <c r="M4" s="612"/>
      <c r="N4" s="612"/>
    </row>
    <row r="5" spans="1:14" x14ac:dyDescent="0.2">
      <c r="A5" s="1522" t="s">
        <v>1018</v>
      </c>
      <c r="B5" s="613">
        <v>1100</v>
      </c>
      <c r="C5" s="466">
        <v>0</v>
      </c>
      <c r="D5" s="466">
        <v>0</v>
      </c>
      <c r="E5" s="466">
        <v>0</v>
      </c>
      <c r="F5" s="466">
        <v>0</v>
      </c>
      <c r="G5" s="466">
        <v>0</v>
      </c>
      <c r="H5" s="466">
        <v>0</v>
      </c>
      <c r="I5" s="467">
        <v>0</v>
      </c>
      <c r="J5" s="467">
        <v>0</v>
      </c>
      <c r="K5" s="1689">
        <f>SUM(C5:J5)</f>
        <v>0</v>
      </c>
      <c r="L5" s="466">
        <v>0</v>
      </c>
    </row>
    <row r="6" spans="1:14" x14ac:dyDescent="0.2">
      <c r="A6" s="1522" t="s">
        <v>1508</v>
      </c>
      <c r="B6" s="613" t="s">
        <v>1506</v>
      </c>
      <c r="C6" s="476"/>
      <c r="D6" s="476"/>
      <c r="E6" s="466">
        <v>0</v>
      </c>
      <c r="F6" s="476"/>
      <c r="G6" s="476"/>
      <c r="H6" s="476"/>
      <c r="I6" s="476"/>
      <c r="J6" s="476"/>
      <c r="K6" s="1689">
        <f>SUM(C6,E6)</f>
        <v>0</v>
      </c>
      <c r="L6" s="466">
        <v>0</v>
      </c>
    </row>
    <row r="7" spans="1:14" x14ac:dyDescent="0.2">
      <c r="A7" s="1522" t="s">
        <v>165</v>
      </c>
      <c r="B7" s="613" t="s">
        <v>1024</v>
      </c>
      <c r="C7" s="467">
        <v>0</v>
      </c>
      <c r="D7" s="467">
        <v>0</v>
      </c>
      <c r="E7" s="467">
        <v>0</v>
      </c>
      <c r="F7" s="467">
        <v>0</v>
      </c>
      <c r="G7" s="467">
        <v>0</v>
      </c>
      <c r="H7" s="467">
        <v>0</v>
      </c>
      <c r="I7" s="467">
        <v>0</v>
      </c>
      <c r="J7" s="467">
        <v>0</v>
      </c>
      <c r="K7" s="1689">
        <f t="shared" ref="K7:K32" si="0">SUM(C7:J7)</f>
        <v>0</v>
      </c>
      <c r="L7" s="466">
        <v>0</v>
      </c>
    </row>
    <row r="8" spans="1:14" x14ac:dyDescent="0.2">
      <c r="A8" s="1522" t="s">
        <v>166</v>
      </c>
      <c r="B8" s="613">
        <v>1200</v>
      </c>
      <c r="C8" s="466">
        <v>1830538</v>
      </c>
      <c r="D8" s="466">
        <v>453532</v>
      </c>
      <c r="E8" s="466">
        <v>34648</v>
      </c>
      <c r="F8" s="466">
        <v>18021</v>
      </c>
      <c r="G8" s="466">
        <v>17745</v>
      </c>
      <c r="H8" s="466">
        <v>0</v>
      </c>
      <c r="I8" s="467">
        <v>0</v>
      </c>
      <c r="J8" s="467">
        <v>0</v>
      </c>
      <c r="K8" s="1689">
        <f t="shared" si="0"/>
        <v>2354484</v>
      </c>
      <c r="L8" s="466">
        <v>2402048</v>
      </c>
    </row>
    <row r="9" spans="1:14" x14ac:dyDescent="0.2">
      <c r="A9" s="1522" t="s">
        <v>745</v>
      </c>
      <c r="B9" s="613" t="s">
        <v>1025</v>
      </c>
      <c r="C9" s="467">
        <v>183605</v>
      </c>
      <c r="D9" s="467">
        <v>47213</v>
      </c>
      <c r="E9" s="467">
        <v>1428</v>
      </c>
      <c r="F9" s="467">
        <v>973</v>
      </c>
      <c r="G9" s="467">
        <v>0</v>
      </c>
      <c r="H9" s="467">
        <v>0</v>
      </c>
      <c r="I9" s="467">
        <v>0</v>
      </c>
      <c r="J9" s="467">
        <v>0</v>
      </c>
      <c r="K9" s="1689">
        <f t="shared" si="0"/>
        <v>233219</v>
      </c>
      <c r="L9" s="466">
        <v>249995</v>
      </c>
    </row>
    <row r="10" spans="1:14" x14ac:dyDescent="0.2">
      <c r="A10" s="1522" t="s">
        <v>746</v>
      </c>
      <c r="B10" s="613">
        <v>1250</v>
      </c>
      <c r="C10" s="466">
        <v>0</v>
      </c>
      <c r="D10" s="466">
        <v>0</v>
      </c>
      <c r="E10" s="466">
        <v>0</v>
      </c>
      <c r="F10" s="466">
        <v>0</v>
      </c>
      <c r="G10" s="466">
        <v>0</v>
      </c>
      <c r="H10" s="466">
        <v>0</v>
      </c>
      <c r="I10" s="467">
        <v>0</v>
      </c>
      <c r="J10" s="467">
        <v>0</v>
      </c>
      <c r="K10" s="1689">
        <f t="shared" si="0"/>
        <v>0</v>
      </c>
      <c r="L10" s="466">
        <v>0</v>
      </c>
    </row>
    <row r="11" spans="1:14" x14ac:dyDescent="0.2">
      <c r="A11" s="1522" t="s">
        <v>1192</v>
      </c>
      <c r="B11" s="613" t="s">
        <v>163</v>
      </c>
      <c r="C11" s="467">
        <v>0</v>
      </c>
      <c r="D11" s="467">
        <v>0</v>
      </c>
      <c r="E11" s="467">
        <v>0</v>
      </c>
      <c r="F11" s="467">
        <v>0</v>
      </c>
      <c r="G11" s="467">
        <v>0</v>
      </c>
      <c r="H11" s="467">
        <v>0</v>
      </c>
      <c r="I11" s="467">
        <v>0</v>
      </c>
      <c r="J11" s="467">
        <v>0</v>
      </c>
      <c r="K11" s="1689">
        <f t="shared" si="0"/>
        <v>0</v>
      </c>
      <c r="L11" s="466">
        <v>0</v>
      </c>
    </row>
    <row r="12" spans="1:14" x14ac:dyDescent="0.2">
      <c r="A12" s="1522" t="s">
        <v>1019</v>
      </c>
      <c r="B12" s="613">
        <v>1300</v>
      </c>
      <c r="C12" s="466">
        <v>0</v>
      </c>
      <c r="D12" s="466">
        <v>0</v>
      </c>
      <c r="E12" s="466">
        <v>0</v>
      </c>
      <c r="F12" s="466">
        <v>0</v>
      </c>
      <c r="G12" s="466">
        <v>0</v>
      </c>
      <c r="H12" s="466">
        <v>0</v>
      </c>
      <c r="I12" s="467">
        <v>0</v>
      </c>
      <c r="J12" s="467">
        <v>0</v>
      </c>
      <c r="K12" s="1689">
        <f t="shared" si="0"/>
        <v>0</v>
      </c>
      <c r="L12" s="466">
        <v>0</v>
      </c>
    </row>
    <row r="13" spans="1:14" x14ac:dyDescent="0.2">
      <c r="A13" s="1522" t="s">
        <v>747</v>
      </c>
      <c r="B13" s="613">
        <v>1400</v>
      </c>
      <c r="C13" s="467">
        <v>0</v>
      </c>
      <c r="D13" s="466">
        <v>0</v>
      </c>
      <c r="E13" s="466">
        <v>51000</v>
      </c>
      <c r="F13" s="466">
        <v>0</v>
      </c>
      <c r="G13" s="466">
        <v>0</v>
      </c>
      <c r="H13" s="466">
        <v>0</v>
      </c>
      <c r="I13" s="467">
        <v>0</v>
      </c>
      <c r="J13" s="467">
        <v>0</v>
      </c>
      <c r="K13" s="1689">
        <f t="shared" si="0"/>
        <v>51000</v>
      </c>
      <c r="L13" s="466">
        <v>51000</v>
      </c>
    </row>
    <row r="14" spans="1:14" x14ac:dyDescent="0.2">
      <c r="A14" s="1522" t="s">
        <v>1020</v>
      </c>
      <c r="B14" s="613">
        <v>1500</v>
      </c>
      <c r="C14" s="467">
        <v>0</v>
      </c>
      <c r="D14" s="466">
        <v>0</v>
      </c>
      <c r="E14" s="466">
        <v>0</v>
      </c>
      <c r="F14" s="466">
        <v>0</v>
      </c>
      <c r="G14" s="466">
        <v>0</v>
      </c>
      <c r="H14" s="466">
        <v>0</v>
      </c>
      <c r="I14" s="467">
        <v>0</v>
      </c>
      <c r="J14" s="467">
        <v>0</v>
      </c>
      <c r="K14" s="1689">
        <f t="shared" si="0"/>
        <v>0</v>
      </c>
      <c r="L14" s="466">
        <v>0</v>
      </c>
    </row>
    <row r="15" spans="1:14" x14ac:dyDescent="0.2">
      <c r="A15" s="1522" t="s">
        <v>1021</v>
      </c>
      <c r="B15" s="613">
        <v>1600</v>
      </c>
      <c r="C15" s="466">
        <v>4785</v>
      </c>
      <c r="D15" s="466">
        <v>785</v>
      </c>
      <c r="E15" s="466">
        <v>71</v>
      </c>
      <c r="F15" s="466">
        <v>0</v>
      </c>
      <c r="G15" s="466">
        <v>0</v>
      </c>
      <c r="H15" s="466">
        <v>0</v>
      </c>
      <c r="I15" s="467">
        <v>0</v>
      </c>
      <c r="J15" s="467">
        <v>0</v>
      </c>
      <c r="K15" s="1689">
        <f t="shared" si="0"/>
        <v>5641</v>
      </c>
      <c r="L15" s="466">
        <v>7031</v>
      </c>
    </row>
    <row r="16" spans="1:14" x14ac:dyDescent="0.2">
      <c r="A16" s="1522" t="s">
        <v>1044</v>
      </c>
      <c r="B16" s="613" t="s">
        <v>444</v>
      </c>
      <c r="C16" s="466">
        <v>0</v>
      </c>
      <c r="D16" s="466">
        <v>0</v>
      </c>
      <c r="E16" s="466">
        <v>0</v>
      </c>
      <c r="F16" s="466">
        <v>0</v>
      </c>
      <c r="G16" s="466">
        <v>0</v>
      </c>
      <c r="H16" s="466">
        <v>0</v>
      </c>
      <c r="I16" s="467">
        <v>0</v>
      </c>
      <c r="J16" s="467">
        <v>0</v>
      </c>
      <c r="K16" s="1689">
        <f t="shared" si="0"/>
        <v>0</v>
      </c>
      <c r="L16" s="466">
        <v>0</v>
      </c>
    </row>
    <row r="17" spans="1:12" x14ac:dyDescent="0.2">
      <c r="A17" s="1522" t="s">
        <v>748</v>
      </c>
      <c r="B17" s="613" t="s">
        <v>164</v>
      </c>
      <c r="C17" s="467">
        <v>0</v>
      </c>
      <c r="D17" s="467">
        <v>0</v>
      </c>
      <c r="E17" s="467">
        <v>0</v>
      </c>
      <c r="F17" s="467">
        <v>0</v>
      </c>
      <c r="G17" s="467">
        <v>0</v>
      </c>
      <c r="H17" s="467">
        <v>0</v>
      </c>
      <c r="I17" s="467">
        <v>0</v>
      </c>
      <c r="J17" s="467">
        <v>0</v>
      </c>
      <c r="K17" s="1689">
        <f t="shared" si="0"/>
        <v>0</v>
      </c>
      <c r="L17" s="466">
        <v>0</v>
      </c>
    </row>
    <row r="18" spans="1:12" x14ac:dyDescent="0.2">
      <c r="A18" s="1522" t="s">
        <v>1148</v>
      </c>
      <c r="B18" s="613">
        <v>1800</v>
      </c>
      <c r="C18" s="466">
        <v>0</v>
      </c>
      <c r="D18" s="466">
        <v>0</v>
      </c>
      <c r="E18" s="466">
        <v>0</v>
      </c>
      <c r="F18" s="466">
        <v>0</v>
      </c>
      <c r="G18" s="466">
        <v>0</v>
      </c>
      <c r="H18" s="466">
        <v>0</v>
      </c>
      <c r="I18" s="467">
        <v>0</v>
      </c>
      <c r="J18" s="467">
        <v>0</v>
      </c>
      <c r="K18" s="1689">
        <f t="shared" si="0"/>
        <v>0</v>
      </c>
      <c r="L18" s="466">
        <v>0</v>
      </c>
    </row>
    <row r="19" spans="1:12" x14ac:dyDescent="0.2">
      <c r="A19" s="1522" t="s">
        <v>136</v>
      </c>
      <c r="B19" s="613">
        <v>1900</v>
      </c>
      <c r="C19" s="466">
        <v>0</v>
      </c>
      <c r="D19" s="466">
        <v>0</v>
      </c>
      <c r="E19" s="466">
        <v>0</v>
      </c>
      <c r="F19" s="466">
        <v>0</v>
      </c>
      <c r="G19" s="466">
        <v>0</v>
      </c>
      <c r="H19" s="466">
        <v>0</v>
      </c>
      <c r="I19" s="467">
        <v>0</v>
      </c>
      <c r="J19" s="467">
        <v>0</v>
      </c>
      <c r="K19" s="1689">
        <f t="shared" si="0"/>
        <v>0</v>
      </c>
      <c r="L19" s="466">
        <v>0</v>
      </c>
    </row>
    <row r="20" spans="1:12" x14ac:dyDescent="0.2">
      <c r="A20" s="1523" t="s">
        <v>762</v>
      </c>
      <c r="B20" s="601" t="s">
        <v>749</v>
      </c>
      <c r="C20" s="476"/>
      <c r="D20" s="476"/>
      <c r="E20" s="476"/>
      <c r="F20" s="476"/>
      <c r="G20" s="476"/>
      <c r="H20" s="467">
        <v>0</v>
      </c>
      <c r="I20" s="615"/>
      <c r="J20" s="475"/>
      <c r="K20" s="1689">
        <f t="shared" si="0"/>
        <v>0</v>
      </c>
      <c r="L20" s="466">
        <v>0</v>
      </c>
    </row>
    <row r="21" spans="1:12" x14ac:dyDescent="0.2">
      <c r="A21" s="1523" t="s">
        <v>763</v>
      </c>
      <c r="B21" s="601" t="s">
        <v>750</v>
      </c>
      <c r="C21" s="476"/>
      <c r="D21" s="476"/>
      <c r="E21" s="476"/>
      <c r="F21" s="476"/>
      <c r="G21" s="476"/>
      <c r="H21" s="474">
        <v>0</v>
      </c>
      <c r="I21" s="615"/>
      <c r="J21" s="476"/>
      <c r="K21" s="1689">
        <f t="shared" si="0"/>
        <v>0</v>
      </c>
      <c r="L21" s="466">
        <v>0</v>
      </c>
    </row>
    <row r="22" spans="1:12" x14ac:dyDescent="0.2">
      <c r="A22" s="1523" t="s">
        <v>764</v>
      </c>
      <c r="B22" s="601" t="s">
        <v>751</v>
      </c>
      <c r="C22" s="476"/>
      <c r="D22" s="476"/>
      <c r="E22" s="476"/>
      <c r="F22" s="476"/>
      <c r="G22" s="476"/>
      <c r="H22" s="474">
        <v>0</v>
      </c>
      <c r="I22" s="615"/>
      <c r="J22" s="476"/>
      <c r="K22" s="1689">
        <f t="shared" si="0"/>
        <v>0</v>
      </c>
      <c r="L22" s="466">
        <v>0</v>
      </c>
    </row>
    <row r="23" spans="1:12" x14ac:dyDescent="0.2">
      <c r="A23" s="1523" t="s">
        <v>765</v>
      </c>
      <c r="B23" s="601" t="s">
        <v>752</v>
      </c>
      <c r="C23" s="476"/>
      <c r="D23" s="476"/>
      <c r="E23" s="476"/>
      <c r="F23" s="476"/>
      <c r="G23" s="476"/>
      <c r="H23" s="474">
        <v>0</v>
      </c>
      <c r="I23" s="615"/>
      <c r="J23" s="476"/>
      <c r="K23" s="1689">
        <f t="shared" si="0"/>
        <v>0</v>
      </c>
      <c r="L23" s="466">
        <v>0</v>
      </c>
    </row>
    <row r="24" spans="1:12" ht="12.75" customHeight="1" x14ac:dyDescent="0.2">
      <c r="A24" s="1523" t="s">
        <v>766</v>
      </c>
      <c r="B24" s="601" t="s">
        <v>753</v>
      </c>
      <c r="C24" s="476"/>
      <c r="D24" s="476"/>
      <c r="E24" s="476"/>
      <c r="F24" s="476"/>
      <c r="G24" s="476"/>
      <c r="H24" s="474">
        <v>0</v>
      </c>
      <c r="I24" s="615"/>
      <c r="J24" s="476"/>
      <c r="K24" s="1689">
        <f t="shared" si="0"/>
        <v>0</v>
      </c>
      <c r="L24" s="466">
        <v>0</v>
      </c>
    </row>
    <row r="25" spans="1:12" ht="12.75" customHeight="1" x14ac:dyDescent="0.2">
      <c r="A25" s="1523" t="s">
        <v>835</v>
      </c>
      <c r="B25" s="601" t="s">
        <v>754</v>
      </c>
      <c r="C25" s="476"/>
      <c r="D25" s="476"/>
      <c r="E25" s="476"/>
      <c r="F25" s="476"/>
      <c r="G25" s="476"/>
      <c r="H25" s="474">
        <v>0</v>
      </c>
      <c r="I25" s="615"/>
      <c r="J25" s="476"/>
      <c r="K25" s="1689">
        <f t="shared" si="0"/>
        <v>0</v>
      </c>
      <c r="L25" s="466">
        <v>0</v>
      </c>
    </row>
    <row r="26" spans="1:12" x14ac:dyDescent="0.2">
      <c r="A26" s="1523" t="s">
        <v>643</v>
      </c>
      <c r="B26" s="601" t="s">
        <v>755</v>
      </c>
      <c r="C26" s="476"/>
      <c r="D26" s="476"/>
      <c r="E26" s="476"/>
      <c r="F26" s="476"/>
      <c r="G26" s="476"/>
      <c r="H26" s="474">
        <v>0</v>
      </c>
      <c r="I26" s="615"/>
      <c r="J26" s="476"/>
      <c r="K26" s="1689">
        <f t="shared" si="0"/>
        <v>0</v>
      </c>
      <c r="L26" s="466">
        <v>0</v>
      </c>
    </row>
    <row r="27" spans="1:12" x14ac:dyDescent="0.2">
      <c r="A27" s="1523" t="s">
        <v>644</v>
      </c>
      <c r="B27" s="601" t="s">
        <v>756</v>
      </c>
      <c r="C27" s="476"/>
      <c r="D27" s="476"/>
      <c r="E27" s="476"/>
      <c r="F27" s="476"/>
      <c r="G27" s="476"/>
      <c r="H27" s="474">
        <v>0</v>
      </c>
      <c r="I27" s="615"/>
      <c r="J27" s="476"/>
      <c r="K27" s="1689">
        <f t="shared" si="0"/>
        <v>0</v>
      </c>
      <c r="L27" s="466">
        <v>0</v>
      </c>
    </row>
    <row r="28" spans="1:12" x14ac:dyDescent="0.2">
      <c r="A28" s="1523" t="s">
        <v>152</v>
      </c>
      <c r="B28" s="601" t="s">
        <v>757</v>
      </c>
      <c r="C28" s="476"/>
      <c r="D28" s="476"/>
      <c r="E28" s="476"/>
      <c r="F28" s="476"/>
      <c r="G28" s="476"/>
      <c r="H28" s="474">
        <v>0</v>
      </c>
      <c r="I28" s="615"/>
      <c r="J28" s="476"/>
      <c r="K28" s="1689">
        <f t="shared" si="0"/>
        <v>0</v>
      </c>
      <c r="L28" s="466">
        <v>0</v>
      </c>
    </row>
    <row r="29" spans="1:12" x14ac:dyDescent="0.2">
      <c r="A29" s="1523" t="s">
        <v>153</v>
      </c>
      <c r="B29" s="601" t="s">
        <v>758</v>
      </c>
      <c r="C29" s="476"/>
      <c r="D29" s="476"/>
      <c r="E29" s="476"/>
      <c r="F29" s="476"/>
      <c r="G29" s="476"/>
      <c r="H29" s="474">
        <v>0</v>
      </c>
      <c r="I29" s="615"/>
      <c r="J29" s="476"/>
      <c r="K29" s="1689">
        <f t="shared" si="0"/>
        <v>0</v>
      </c>
      <c r="L29" s="466">
        <v>0</v>
      </c>
    </row>
    <row r="30" spans="1:12" x14ac:dyDescent="0.2">
      <c r="A30" s="1523" t="s">
        <v>154</v>
      </c>
      <c r="B30" s="601" t="s">
        <v>759</v>
      </c>
      <c r="C30" s="476"/>
      <c r="D30" s="476"/>
      <c r="E30" s="476"/>
      <c r="F30" s="476"/>
      <c r="G30" s="476"/>
      <c r="H30" s="474">
        <v>0</v>
      </c>
      <c r="I30" s="615"/>
      <c r="J30" s="476"/>
      <c r="K30" s="1689">
        <f t="shared" si="0"/>
        <v>0</v>
      </c>
      <c r="L30" s="466">
        <v>0</v>
      </c>
    </row>
    <row r="31" spans="1:12" x14ac:dyDescent="0.2">
      <c r="A31" s="1523" t="s">
        <v>155</v>
      </c>
      <c r="B31" s="601" t="s">
        <v>760</v>
      </c>
      <c r="C31" s="476"/>
      <c r="D31" s="476"/>
      <c r="E31" s="476"/>
      <c r="F31" s="476"/>
      <c r="G31" s="476"/>
      <c r="H31" s="474">
        <v>0</v>
      </c>
      <c r="I31" s="615"/>
      <c r="J31" s="476"/>
      <c r="K31" s="1689">
        <f t="shared" si="0"/>
        <v>0</v>
      </c>
      <c r="L31" s="466">
        <v>0</v>
      </c>
    </row>
    <row r="32" spans="1:12" x14ac:dyDescent="0.2">
      <c r="A32" s="1524" t="s">
        <v>1191</v>
      </c>
      <c r="B32" s="613" t="s">
        <v>761</v>
      </c>
      <c r="C32" s="476"/>
      <c r="D32" s="476"/>
      <c r="E32" s="476"/>
      <c r="F32" s="476"/>
      <c r="G32" s="476"/>
      <c r="H32" s="474">
        <v>0</v>
      </c>
      <c r="I32" s="615"/>
      <c r="J32" s="479"/>
      <c r="K32" s="1689">
        <f t="shared" si="0"/>
        <v>0</v>
      </c>
      <c r="L32" s="466">
        <v>0</v>
      </c>
    </row>
    <row r="33" spans="1:14" ht="12.75" customHeight="1" thickBot="1" x14ac:dyDescent="0.25">
      <c r="A33" s="1686" t="s">
        <v>1767</v>
      </c>
      <c r="B33" s="1687" t="s">
        <v>591</v>
      </c>
      <c r="C33" s="1688">
        <f>SUM(C5:C32)</f>
        <v>2018928</v>
      </c>
      <c r="D33" s="1688">
        <f t="shared" ref="D33:L33" si="1">SUM(D5:D32)</f>
        <v>501530</v>
      </c>
      <c r="E33" s="1688">
        <f t="shared" si="1"/>
        <v>87147</v>
      </c>
      <c r="F33" s="1688">
        <f t="shared" si="1"/>
        <v>18994</v>
      </c>
      <c r="G33" s="1688">
        <f t="shared" si="1"/>
        <v>17745</v>
      </c>
      <c r="H33" s="1688">
        <f t="shared" si="1"/>
        <v>0</v>
      </c>
      <c r="I33" s="1688">
        <f t="shared" si="1"/>
        <v>0</v>
      </c>
      <c r="J33" s="1688">
        <f t="shared" si="1"/>
        <v>0</v>
      </c>
      <c r="K33" s="1688">
        <f t="shared" si="1"/>
        <v>2644344</v>
      </c>
      <c r="L33" s="1688">
        <f t="shared" si="1"/>
        <v>2710074</v>
      </c>
    </row>
    <row r="34" spans="1:14" s="619" customFormat="1" ht="15.75" customHeight="1" thickTop="1" x14ac:dyDescent="0.2">
      <c r="A34" s="1626" t="s">
        <v>48</v>
      </c>
      <c r="B34" s="1627"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2" t="s">
        <v>1150</v>
      </c>
      <c r="B36" s="613">
        <v>2110</v>
      </c>
      <c r="C36" s="480">
        <v>392030</v>
      </c>
      <c r="D36" s="480">
        <v>93226</v>
      </c>
      <c r="E36" s="480">
        <v>8992</v>
      </c>
      <c r="F36" s="480">
        <v>309</v>
      </c>
      <c r="G36" s="480">
        <v>0</v>
      </c>
      <c r="H36" s="480">
        <v>0</v>
      </c>
      <c r="I36" s="467">
        <v>0</v>
      </c>
      <c r="J36" s="467">
        <v>0</v>
      </c>
      <c r="K36" s="1689">
        <f t="shared" ref="K36:K41" si="2">SUM(C36:J36)</f>
        <v>494557</v>
      </c>
      <c r="L36" s="466">
        <v>494307</v>
      </c>
    </row>
    <row r="37" spans="1:14" x14ac:dyDescent="0.2">
      <c r="A37" s="1522" t="s">
        <v>1151</v>
      </c>
      <c r="B37" s="613">
        <v>2120</v>
      </c>
      <c r="C37" s="466">
        <v>27300</v>
      </c>
      <c r="D37" s="466">
        <v>4933</v>
      </c>
      <c r="E37" s="466">
        <v>3429</v>
      </c>
      <c r="F37" s="466">
        <v>0</v>
      </c>
      <c r="G37" s="466">
        <v>0</v>
      </c>
      <c r="H37" s="466">
        <v>0</v>
      </c>
      <c r="I37" s="467">
        <v>0</v>
      </c>
      <c r="J37" s="467">
        <v>0</v>
      </c>
      <c r="K37" s="1689">
        <f t="shared" si="2"/>
        <v>35662</v>
      </c>
      <c r="L37" s="466">
        <v>44562</v>
      </c>
    </row>
    <row r="38" spans="1:14" x14ac:dyDescent="0.2">
      <c r="A38" s="1522" t="s">
        <v>207</v>
      </c>
      <c r="B38" s="613">
        <v>2130</v>
      </c>
      <c r="C38" s="466">
        <v>207461</v>
      </c>
      <c r="D38" s="466">
        <v>61672</v>
      </c>
      <c r="E38" s="466">
        <v>79254</v>
      </c>
      <c r="F38" s="466">
        <v>2602</v>
      </c>
      <c r="G38" s="466">
        <v>0</v>
      </c>
      <c r="H38" s="466">
        <v>0</v>
      </c>
      <c r="I38" s="467">
        <v>0</v>
      </c>
      <c r="J38" s="467">
        <v>0</v>
      </c>
      <c r="K38" s="1689">
        <f t="shared" si="2"/>
        <v>350989</v>
      </c>
      <c r="L38" s="466">
        <v>355851</v>
      </c>
    </row>
    <row r="39" spans="1:14" x14ac:dyDescent="0.2">
      <c r="A39" s="1522" t="s">
        <v>208</v>
      </c>
      <c r="B39" s="613">
        <v>2140</v>
      </c>
      <c r="C39" s="466">
        <v>459763</v>
      </c>
      <c r="D39" s="466">
        <v>106550</v>
      </c>
      <c r="E39" s="466">
        <v>11655</v>
      </c>
      <c r="F39" s="466">
        <v>7987</v>
      </c>
      <c r="G39" s="466">
        <v>0</v>
      </c>
      <c r="H39" s="466">
        <v>0</v>
      </c>
      <c r="I39" s="467">
        <v>0</v>
      </c>
      <c r="J39" s="467">
        <v>0</v>
      </c>
      <c r="K39" s="1689">
        <f t="shared" si="2"/>
        <v>585955</v>
      </c>
      <c r="L39" s="466">
        <v>616248</v>
      </c>
    </row>
    <row r="40" spans="1:14" x14ac:dyDescent="0.2">
      <c r="A40" s="1522" t="s">
        <v>209</v>
      </c>
      <c r="B40" s="613">
        <v>2150</v>
      </c>
      <c r="C40" s="466">
        <v>138650</v>
      </c>
      <c r="D40" s="466">
        <v>31712</v>
      </c>
      <c r="E40" s="466">
        <v>3691</v>
      </c>
      <c r="F40" s="466">
        <v>1304</v>
      </c>
      <c r="G40" s="466">
        <v>0</v>
      </c>
      <c r="H40" s="466">
        <v>0</v>
      </c>
      <c r="I40" s="467">
        <v>0</v>
      </c>
      <c r="J40" s="467">
        <v>0</v>
      </c>
      <c r="K40" s="1689">
        <f t="shared" si="2"/>
        <v>175357</v>
      </c>
      <c r="L40" s="466">
        <v>181614</v>
      </c>
    </row>
    <row r="41" spans="1:14" x14ac:dyDescent="0.2">
      <c r="A41" s="1522" t="s">
        <v>1768</v>
      </c>
      <c r="B41" s="613">
        <v>2190</v>
      </c>
      <c r="C41" s="466">
        <v>0</v>
      </c>
      <c r="D41" s="466">
        <v>0</v>
      </c>
      <c r="E41" s="466">
        <v>0</v>
      </c>
      <c r="F41" s="466">
        <v>0</v>
      </c>
      <c r="G41" s="466">
        <v>0</v>
      </c>
      <c r="H41" s="466">
        <v>0</v>
      </c>
      <c r="I41" s="467">
        <v>0</v>
      </c>
      <c r="J41" s="467">
        <v>0</v>
      </c>
      <c r="K41" s="1689">
        <f t="shared" si="2"/>
        <v>0</v>
      </c>
      <c r="L41" s="466">
        <v>0</v>
      </c>
    </row>
    <row r="42" spans="1:14" ht="12.75" customHeight="1" thickBot="1" x14ac:dyDescent="0.25">
      <c r="A42" s="1686" t="s">
        <v>581</v>
      </c>
      <c r="B42" s="1687" t="s">
        <v>740</v>
      </c>
      <c r="C42" s="1688">
        <f>SUM(C36:C41)</f>
        <v>1225204</v>
      </c>
      <c r="D42" s="1688">
        <f t="shared" ref="D42:L42" si="3">SUM(D36:D41)</f>
        <v>298093</v>
      </c>
      <c r="E42" s="1688">
        <f t="shared" si="3"/>
        <v>107021</v>
      </c>
      <c r="F42" s="1688">
        <f t="shared" si="3"/>
        <v>12202</v>
      </c>
      <c r="G42" s="1688">
        <f t="shared" si="3"/>
        <v>0</v>
      </c>
      <c r="H42" s="1688">
        <f t="shared" si="3"/>
        <v>0</v>
      </c>
      <c r="I42" s="1688">
        <f t="shared" si="3"/>
        <v>0</v>
      </c>
      <c r="J42" s="1688">
        <f t="shared" si="3"/>
        <v>0</v>
      </c>
      <c r="K42" s="1688">
        <f t="shared" si="3"/>
        <v>1642520</v>
      </c>
      <c r="L42" s="1688">
        <f t="shared" si="3"/>
        <v>1692582</v>
      </c>
    </row>
    <row r="43" spans="1:14" ht="15.75" customHeight="1" thickTop="1" x14ac:dyDescent="0.2">
      <c r="A43" s="623" t="s">
        <v>613</v>
      </c>
      <c r="B43" s="624"/>
      <c r="C43" s="625"/>
      <c r="D43" s="625"/>
      <c r="E43" s="625"/>
      <c r="F43" s="625"/>
      <c r="G43" s="625"/>
      <c r="H43" s="625"/>
      <c r="I43" s="615"/>
      <c r="J43" s="615"/>
      <c r="K43" s="625"/>
      <c r="L43" s="625"/>
    </row>
    <row r="44" spans="1:14" x14ac:dyDescent="0.2">
      <c r="A44" s="1522" t="s">
        <v>868</v>
      </c>
      <c r="B44" s="613">
        <v>2210</v>
      </c>
      <c r="C44" s="480">
        <v>51392</v>
      </c>
      <c r="D44" s="480">
        <v>12264</v>
      </c>
      <c r="E44" s="480">
        <v>73770</v>
      </c>
      <c r="F44" s="480">
        <v>0</v>
      </c>
      <c r="G44" s="480">
        <v>0</v>
      </c>
      <c r="H44" s="480">
        <v>0</v>
      </c>
      <c r="I44" s="467">
        <v>0</v>
      </c>
      <c r="J44" s="467">
        <v>0</v>
      </c>
      <c r="K44" s="1690">
        <f>SUM(C44:J44)</f>
        <v>137426</v>
      </c>
      <c r="L44" s="480">
        <v>166774</v>
      </c>
    </row>
    <row r="45" spans="1:14" x14ac:dyDescent="0.2">
      <c r="A45" s="1522" t="s">
        <v>869</v>
      </c>
      <c r="B45" s="613">
        <v>2220</v>
      </c>
      <c r="C45" s="467">
        <v>0</v>
      </c>
      <c r="D45" s="466">
        <v>0</v>
      </c>
      <c r="E45" s="466">
        <v>0</v>
      </c>
      <c r="F45" s="466">
        <v>0</v>
      </c>
      <c r="G45" s="466">
        <v>0</v>
      </c>
      <c r="H45" s="466">
        <v>0</v>
      </c>
      <c r="I45" s="467">
        <v>0</v>
      </c>
      <c r="J45" s="467">
        <v>0</v>
      </c>
      <c r="K45" s="1690">
        <f>SUM(C45:J45)</f>
        <v>0</v>
      </c>
      <c r="L45" s="466">
        <v>0</v>
      </c>
    </row>
    <row r="46" spans="1:14" x14ac:dyDescent="0.2">
      <c r="A46" s="1522" t="s">
        <v>870</v>
      </c>
      <c r="B46" s="613">
        <v>2230</v>
      </c>
      <c r="C46" s="467">
        <v>0</v>
      </c>
      <c r="D46" s="466">
        <v>0</v>
      </c>
      <c r="E46" s="466">
        <v>0</v>
      </c>
      <c r="F46" s="466">
        <v>0</v>
      </c>
      <c r="G46" s="466">
        <v>0</v>
      </c>
      <c r="H46" s="466">
        <v>0</v>
      </c>
      <c r="I46" s="467">
        <v>0</v>
      </c>
      <c r="J46" s="467">
        <v>0</v>
      </c>
      <c r="K46" s="1690">
        <f>SUM(C46:J46)</f>
        <v>0</v>
      </c>
      <c r="L46" s="466">
        <v>0</v>
      </c>
    </row>
    <row r="47" spans="1:14" ht="12.75" customHeight="1" thickBot="1" x14ac:dyDescent="0.25">
      <c r="A47" s="1686" t="s">
        <v>582</v>
      </c>
      <c r="B47" s="1687" t="s">
        <v>32</v>
      </c>
      <c r="C47" s="1688">
        <f>SUM(C44:C46)</f>
        <v>51392</v>
      </c>
      <c r="D47" s="1688">
        <f t="shared" ref="D47:K47" si="4">SUM(D44:D46)</f>
        <v>12264</v>
      </c>
      <c r="E47" s="1688">
        <f t="shared" si="4"/>
        <v>73770</v>
      </c>
      <c r="F47" s="1688">
        <f t="shared" si="4"/>
        <v>0</v>
      </c>
      <c r="G47" s="1688">
        <f t="shared" si="4"/>
        <v>0</v>
      </c>
      <c r="H47" s="1688">
        <f t="shared" si="4"/>
        <v>0</v>
      </c>
      <c r="I47" s="1688">
        <f t="shared" si="4"/>
        <v>0</v>
      </c>
      <c r="J47" s="1688">
        <f t="shared" si="4"/>
        <v>0</v>
      </c>
      <c r="K47" s="1688">
        <f t="shared" si="4"/>
        <v>137426</v>
      </c>
      <c r="L47" s="1688">
        <f>SUM(L44:L46)</f>
        <v>166774</v>
      </c>
    </row>
    <row r="48" spans="1:14" ht="15.75" customHeight="1" thickTop="1" x14ac:dyDescent="0.2">
      <c r="A48" s="623" t="s">
        <v>631</v>
      </c>
      <c r="B48" s="624"/>
      <c r="C48" s="625"/>
      <c r="D48" s="625"/>
      <c r="E48" s="625"/>
      <c r="F48" s="625"/>
      <c r="G48" s="625"/>
      <c r="H48" s="625"/>
      <c r="I48" s="615"/>
      <c r="J48" s="615"/>
      <c r="K48" s="625"/>
      <c r="L48" s="625"/>
    </row>
    <row r="49" spans="1:14" x14ac:dyDescent="0.2">
      <c r="A49" s="1522" t="s">
        <v>871</v>
      </c>
      <c r="B49" s="613">
        <v>2310</v>
      </c>
      <c r="C49" s="480">
        <v>257620</v>
      </c>
      <c r="D49" s="480">
        <v>110913</v>
      </c>
      <c r="E49" s="480">
        <v>99590</v>
      </c>
      <c r="F49" s="480">
        <v>70111</v>
      </c>
      <c r="G49" s="480">
        <v>6448</v>
      </c>
      <c r="H49" s="480">
        <v>0</v>
      </c>
      <c r="I49" s="467">
        <v>0</v>
      </c>
      <c r="J49" s="467">
        <v>0</v>
      </c>
      <c r="K49" s="1690">
        <f>SUM(C49:J49)</f>
        <v>544682</v>
      </c>
      <c r="L49" s="466">
        <v>682945</v>
      </c>
    </row>
    <row r="50" spans="1:14" x14ac:dyDescent="0.2">
      <c r="A50" s="1522" t="s">
        <v>872</v>
      </c>
      <c r="B50" s="613">
        <v>2320</v>
      </c>
      <c r="C50" s="466">
        <v>117788</v>
      </c>
      <c r="D50" s="466">
        <v>27624</v>
      </c>
      <c r="E50" s="466">
        <v>5621</v>
      </c>
      <c r="F50" s="466">
        <v>0</v>
      </c>
      <c r="G50" s="466">
        <v>0</v>
      </c>
      <c r="H50" s="466">
        <v>0</v>
      </c>
      <c r="I50" s="467">
        <v>0</v>
      </c>
      <c r="J50" s="467">
        <v>0</v>
      </c>
      <c r="K50" s="1690">
        <f>SUM(C50:J50)</f>
        <v>151033</v>
      </c>
      <c r="L50" s="466">
        <v>153673</v>
      </c>
    </row>
    <row r="51" spans="1:14" x14ac:dyDescent="0.2">
      <c r="A51" s="1522" t="s">
        <v>44</v>
      </c>
      <c r="B51" s="613">
        <v>2330</v>
      </c>
      <c r="C51" s="466">
        <v>0</v>
      </c>
      <c r="D51" s="466">
        <v>0</v>
      </c>
      <c r="E51" s="466">
        <v>3802</v>
      </c>
      <c r="F51" s="466">
        <v>0</v>
      </c>
      <c r="G51" s="466">
        <v>0</v>
      </c>
      <c r="H51" s="466">
        <v>0</v>
      </c>
      <c r="I51" s="467">
        <v>0</v>
      </c>
      <c r="J51" s="467">
        <v>0</v>
      </c>
      <c r="K51" s="1690">
        <f>SUM(C51:J51)</f>
        <v>3802</v>
      </c>
      <c r="L51" s="466">
        <v>11300</v>
      </c>
    </row>
    <row r="52" spans="1:14" ht="22.5" x14ac:dyDescent="0.2">
      <c r="A52" s="1523" t="s">
        <v>316</v>
      </c>
      <c r="B52" s="626" t="s">
        <v>384</v>
      </c>
      <c r="C52" s="474">
        <v>0</v>
      </c>
      <c r="D52" s="474">
        <v>0</v>
      </c>
      <c r="E52" s="474">
        <v>0</v>
      </c>
      <c r="F52" s="474">
        <v>0</v>
      </c>
      <c r="G52" s="474">
        <v>0</v>
      </c>
      <c r="H52" s="474">
        <v>0</v>
      </c>
      <c r="I52" s="474">
        <v>0</v>
      </c>
      <c r="J52" s="474">
        <v>0</v>
      </c>
      <c r="K52" s="1690">
        <f>SUM(C52:J52)</f>
        <v>0</v>
      </c>
      <c r="L52" s="466">
        <v>0</v>
      </c>
    </row>
    <row r="53" spans="1:14" ht="12.75" customHeight="1" thickBot="1" x14ac:dyDescent="0.25">
      <c r="A53" s="1686" t="s">
        <v>741</v>
      </c>
      <c r="B53" s="1687" t="s">
        <v>33</v>
      </c>
      <c r="C53" s="1688">
        <f>SUM(C49:C52)</f>
        <v>375408</v>
      </c>
      <c r="D53" s="1688">
        <f t="shared" ref="D53:L53" si="5">SUM(D49:D52)</f>
        <v>138537</v>
      </c>
      <c r="E53" s="1688">
        <f t="shared" si="5"/>
        <v>109013</v>
      </c>
      <c r="F53" s="1688">
        <f t="shared" si="5"/>
        <v>70111</v>
      </c>
      <c r="G53" s="1688">
        <f t="shared" si="5"/>
        <v>6448</v>
      </c>
      <c r="H53" s="1688">
        <f t="shared" si="5"/>
        <v>0</v>
      </c>
      <c r="I53" s="1688">
        <f t="shared" si="5"/>
        <v>0</v>
      </c>
      <c r="J53" s="1688">
        <f t="shared" si="5"/>
        <v>0</v>
      </c>
      <c r="K53" s="1688">
        <f t="shared" si="5"/>
        <v>699517</v>
      </c>
      <c r="L53" s="1688">
        <f t="shared" si="5"/>
        <v>847918</v>
      </c>
    </row>
    <row r="54" spans="1:14" ht="15.75" customHeight="1" thickTop="1" x14ac:dyDescent="0.2">
      <c r="A54" s="623" t="s">
        <v>632</v>
      </c>
      <c r="B54" s="624"/>
      <c r="C54" s="625"/>
      <c r="D54" s="625"/>
      <c r="E54" s="625"/>
      <c r="F54" s="625"/>
      <c r="G54" s="625"/>
      <c r="H54" s="625"/>
      <c r="I54" s="615"/>
      <c r="J54" s="615"/>
      <c r="K54" s="625"/>
      <c r="L54" s="625"/>
    </row>
    <row r="55" spans="1:14" x14ac:dyDescent="0.2">
      <c r="A55" s="1522" t="s">
        <v>1127</v>
      </c>
      <c r="B55" s="613">
        <v>2410</v>
      </c>
      <c r="C55" s="480">
        <v>22171</v>
      </c>
      <c r="D55" s="480">
        <v>11957</v>
      </c>
      <c r="E55" s="480">
        <v>0</v>
      </c>
      <c r="F55" s="480">
        <v>0</v>
      </c>
      <c r="G55" s="480">
        <v>0</v>
      </c>
      <c r="H55" s="480">
        <v>0</v>
      </c>
      <c r="I55" s="467">
        <v>0</v>
      </c>
      <c r="J55" s="467">
        <v>0</v>
      </c>
      <c r="K55" s="1690">
        <f>SUM(C55:J55)</f>
        <v>34128</v>
      </c>
      <c r="L55" s="480">
        <v>34533</v>
      </c>
    </row>
    <row r="56" spans="1:14" ht="12.75" customHeight="1" x14ac:dyDescent="0.2">
      <c r="A56" s="1526" t="s">
        <v>394</v>
      </c>
      <c r="B56" s="627">
        <v>2490</v>
      </c>
      <c r="C56" s="466">
        <v>0</v>
      </c>
      <c r="D56" s="466">
        <v>0</v>
      </c>
      <c r="E56" s="466">
        <v>0</v>
      </c>
      <c r="F56" s="466">
        <v>0</v>
      </c>
      <c r="G56" s="466">
        <v>0</v>
      </c>
      <c r="H56" s="466">
        <v>0</v>
      </c>
      <c r="I56" s="467">
        <v>0</v>
      </c>
      <c r="J56" s="467">
        <v>0</v>
      </c>
      <c r="K56" s="1690">
        <f>SUM(C56:J56)</f>
        <v>0</v>
      </c>
      <c r="L56" s="466">
        <v>0</v>
      </c>
    </row>
    <row r="57" spans="1:14" s="343" customFormat="1" ht="12.75" customHeight="1" thickBot="1" x14ac:dyDescent="0.25">
      <c r="A57" s="1686" t="s">
        <v>281</v>
      </c>
      <c r="B57" s="1691" t="s">
        <v>34</v>
      </c>
      <c r="C57" s="1692">
        <f>SUM(C55:C56)</f>
        <v>22171</v>
      </c>
      <c r="D57" s="1692">
        <f t="shared" ref="D57:K57" si="6">SUM(D55:D56)</f>
        <v>11957</v>
      </c>
      <c r="E57" s="1692">
        <f t="shared" si="6"/>
        <v>0</v>
      </c>
      <c r="F57" s="1692">
        <f t="shared" si="6"/>
        <v>0</v>
      </c>
      <c r="G57" s="1692">
        <f t="shared" si="6"/>
        <v>0</v>
      </c>
      <c r="H57" s="1692">
        <f t="shared" si="6"/>
        <v>0</v>
      </c>
      <c r="I57" s="1692">
        <f t="shared" si="6"/>
        <v>0</v>
      </c>
      <c r="J57" s="1692">
        <f t="shared" si="6"/>
        <v>0</v>
      </c>
      <c r="K57" s="1692">
        <f t="shared" si="6"/>
        <v>34128</v>
      </c>
      <c r="L57" s="1688">
        <f>SUM(L55:L56)</f>
        <v>34533</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2" t="s">
        <v>1128</v>
      </c>
      <c r="B59" s="613">
        <v>2510</v>
      </c>
      <c r="C59" s="480">
        <v>0</v>
      </c>
      <c r="D59" s="480">
        <v>0</v>
      </c>
      <c r="E59" s="480">
        <v>0</v>
      </c>
      <c r="F59" s="480">
        <v>0</v>
      </c>
      <c r="G59" s="480">
        <v>0</v>
      </c>
      <c r="H59" s="480">
        <v>0</v>
      </c>
      <c r="I59" s="467">
        <v>0</v>
      </c>
      <c r="J59" s="467">
        <v>0</v>
      </c>
      <c r="K59" s="1690">
        <f t="shared" ref="K59:K64" si="7">SUM(C59:J59)</f>
        <v>0</v>
      </c>
      <c r="L59" s="480">
        <v>0</v>
      </c>
      <c r="M59" s="608"/>
      <c r="N59" s="608"/>
    </row>
    <row r="60" spans="1:14" s="343" customFormat="1" x14ac:dyDescent="0.2">
      <c r="A60" s="1522" t="s">
        <v>483</v>
      </c>
      <c r="B60" s="613">
        <v>2520</v>
      </c>
      <c r="C60" s="466">
        <v>42421</v>
      </c>
      <c r="D60" s="466">
        <v>16653</v>
      </c>
      <c r="E60" s="466">
        <v>1051</v>
      </c>
      <c r="F60" s="466">
        <v>0</v>
      </c>
      <c r="G60" s="466">
        <v>0</v>
      </c>
      <c r="H60" s="466">
        <v>0</v>
      </c>
      <c r="I60" s="467">
        <v>0</v>
      </c>
      <c r="J60" s="467">
        <v>0</v>
      </c>
      <c r="K60" s="1690">
        <f t="shared" si="7"/>
        <v>60125</v>
      </c>
      <c r="L60" s="466">
        <v>60778</v>
      </c>
      <c r="M60" s="608"/>
      <c r="N60" s="608"/>
    </row>
    <row r="61" spans="1:14" s="343" customFormat="1" x14ac:dyDescent="0.2">
      <c r="A61" s="1522" t="s">
        <v>206</v>
      </c>
      <c r="B61" s="613">
        <v>2540</v>
      </c>
      <c r="C61" s="467">
        <v>0</v>
      </c>
      <c r="D61" s="466">
        <v>0</v>
      </c>
      <c r="E61" s="466">
        <v>65411</v>
      </c>
      <c r="F61" s="466">
        <v>12992</v>
      </c>
      <c r="G61" s="466">
        <v>0</v>
      </c>
      <c r="H61" s="466">
        <v>0</v>
      </c>
      <c r="I61" s="467">
        <v>0</v>
      </c>
      <c r="J61" s="467">
        <v>0</v>
      </c>
      <c r="K61" s="1690">
        <f t="shared" si="7"/>
        <v>78403</v>
      </c>
      <c r="L61" s="466">
        <v>87133</v>
      </c>
      <c r="M61" s="608"/>
      <c r="N61" s="608"/>
    </row>
    <row r="62" spans="1:14" s="343" customFormat="1" x14ac:dyDescent="0.2">
      <c r="A62" s="1522" t="s">
        <v>1010</v>
      </c>
      <c r="B62" s="613">
        <v>2550</v>
      </c>
      <c r="C62" s="467">
        <v>0</v>
      </c>
      <c r="D62" s="466">
        <v>0</v>
      </c>
      <c r="E62" s="466">
        <v>0</v>
      </c>
      <c r="F62" s="466">
        <v>0</v>
      </c>
      <c r="G62" s="466">
        <v>0</v>
      </c>
      <c r="H62" s="466">
        <v>0</v>
      </c>
      <c r="I62" s="467">
        <v>0</v>
      </c>
      <c r="J62" s="467">
        <v>0</v>
      </c>
      <c r="K62" s="1690">
        <f t="shared" si="7"/>
        <v>0</v>
      </c>
      <c r="L62" s="466">
        <v>0</v>
      </c>
      <c r="M62" s="608"/>
      <c r="N62" s="608"/>
    </row>
    <row r="63" spans="1:14" s="608" customFormat="1" x14ac:dyDescent="0.2">
      <c r="A63" s="1522" t="s">
        <v>102</v>
      </c>
      <c r="B63" s="613">
        <v>2560</v>
      </c>
      <c r="C63" s="466">
        <v>0</v>
      </c>
      <c r="D63" s="466">
        <v>0</v>
      </c>
      <c r="E63" s="466">
        <v>0</v>
      </c>
      <c r="F63" s="466">
        <v>0</v>
      </c>
      <c r="G63" s="466">
        <v>0</v>
      </c>
      <c r="H63" s="466">
        <v>0</v>
      </c>
      <c r="I63" s="467">
        <v>0</v>
      </c>
      <c r="J63" s="467">
        <v>0</v>
      </c>
      <c r="K63" s="1690">
        <f t="shared" si="7"/>
        <v>0</v>
      </c>
      <c r="L63" s="466">
        <v>0</v>
      </c>
    </row>
    <row r="64" spans="1:14" s="608" customFormat="1" x14ac:dyDescent="0.2">
      <c r="A64" s="1527" t="s">
        <v>103</v>
      </c>
      <c r="B64" s="629">
        <v>2570</v>
      </c>
      <c r="C64" s="480">
        <v>0</v>
      </c>
      <c r="D64" s="480">
        <v>0</v>
      </c>
      <c r="E64" s="480">
        <v>0</v>
      </c>
      <c r="F64" s="480">
        <v>0</v>
      </c>
      <c r="G64" s="480">
        <v>0</v>
      </c>
      <c r="H64" s="480">
        <v>0</v>
      </c>
      <c r="I64" s="467">
        <v>0</v>
      </c>
      <c r="J64" s="467">
        <v>0</v>
      </c>
      <c r="K64" s="1690">
        <f t="shared" si="7"/>
        <v>0</v>
      </c>
      <c r="L64" s="480">
        <v>0</v>
      </c>
    </row>
    <row r="65" spans="1:14" s="343" customFormat="1" ht="12.75" customHeight="1" thickBot="1" x14ac:dyDescent="0.25">
      <c r="A65" s="1686" t="s">
        <v>743</v>
      </c>
      <c r="B65" s="1687" t="s">
        <v>35</v>
      </c>
      <c r="C65" s="1688">
        <f>SUM(C59:C64)</f>
        <v>42421</v>
      </c>
      <c r="D65" s="1688">
        <f t="shared" ref="D65:L65" si="8">SUM(D59:D64)</f>
        <v>16653</v>
      </c>
      <c r="E65" s="1688">
        <f t="shared" si="8"/>
        <v>66462</v>
      </c>
      <c r="F65" s="1688">
        <f t="shared" si="8"/>
        <v>12992</v>
      </c>
      <c r="G65" s="1688">
        <f t="shared" si="8"/>
        <v>0</v>
      </c>
      <c r="H65" s="1688">
        <f t="shared" si="8"/>
        <v>0</v>
      </c>
      <c r="I65" s="1688">
        <f t="shared" si="8"/>
        <v>0</v>
      </c>
      <c r="J65" s="1688">
        <f t="shared" si="8"/>
        <v>0</v>
      </c>
      <c r="K65" s="1688">
        <f t="shared" si="8"/>
        <v>138528</v>
      </c>
      <c r="L65" s="1688">
        <f t="shared" si="8"/>
        <v>147911</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2" t="s">
        <v>1120</v>
      </c>
      <c r="B67" s="613">
        <v>2610</v>
      </c>
      <c r="C67" s="466">
        <v>0</v>
      </c>
      <c r="D67" s="466">
        <v>0</v>
      </c>
      <c r="E67" s="466">
        <v>0</v>
      </c>
      <c r="F67" s="466">
        <v>0</v>
      </c>
      <c r="G67" s="466">
        <v>0</v>
      </c>
      <c r="H67" s="466">
        <v>0</v>
      </c>
      <c r="I67" s="467">
        <v>0</v>
      </c>
      <c r="J67" s="467">
        <v>0</v>
      </c>
      <c r="K67" s="1690">
        <f>SUM(C67:J67)</f>
        <v>0</v>
      </c>
      <c r="L67" s="480">
        <v>0</v>
      </c>
      <c r="M67" s="608"/>
      <c r="N67" s="608"/>
    </row>
    <row r="68" spans="1:14" s="343" customFormat="1" x14ac:dyDescent="0.2">
      <c r="A68" s="1522" t="s">
        <v>628</v>
      </c>
      <c r="B68" s="613">
        <v>2620</v>
      </c>
      <c r="C68" s="466">
        <v>0</v>
      </c>
      <c r="D68" s="466">
        <v>0</v>
      </c>
      <c r="E68" s="466">
        <v>0</v>
      </c>
      <c r="F68" s="466">
        <v>0</v>
      </c>
      <c r="G68" s="466">
        <v>0</v>
      </c>
      <c r="H68" s="466">
        <v>0</v>
      </c>
      <c r="I68" s="467">
        <v>0</v>
      </c>
      <c r="J68" s="467">
        <v>0</v>
      </c>
      <c r="K68" s="1690">
        <f>SUM(C68:J68)</f>
        <v>0</v>
      </c>
      <c r="L68" s="466">
        <v>0</v>
      </c>
      <c r="M68" s="608"/>
      <c r="N68" s="608"/>
    </row>
    <row r="69" spans="1:14" s="343" customFormat="1" x14ac:dyDescent="0.2">
      <c r="A69" s="1522" t="s">
        <v>1121</v>
      </c>
      <c r="B69" s="613">
        <v>2630</v>
      </c>
      <c r="C69" s="466">
        <v>0</v>
      </c>
      <c r="D69" s="466">
        <v>0</v>
      </c>
      <c r="E69" s="466">
        <v>0</v>
      </c>
      <c r="F69" s="466">
        <v>0</v>
      </c>
      <c r="G69" s="466">
        <v>0</v>
      </c>
      <c r="H69" s="466">
        <v>0</v>
      </c>
      <c r="I69" s="467">
        <v>0</v>
      </c>
      <c r="J69" s="467">
        <v>0</v>
      </c>
      <c r="K69" s="1690">
        <f>SUM(C69:J69)</f>
        <v>0</v>
      </c>
      <c r="L69" s="466">
        <v>0</v>
      </c>
      <c r="M69" s="608"/>
      <c r="N69" s="608"/>
    </row>
    <row r="70" spans="1:14" s="343" customFormat="1" x14ac:dyDescent="0.2">
      <c r="A70" s="1522" t="s">
        <v>423</v>
      </c>
      <c r="B70" s="613">
        <v>2640</v>
      </c>
      <c r="C70" s="466">
        <v>0</v>
      </c>
      <c r="D70" s="466">
        <v>0</v>
      </c>
      <c r="E70" s="466">
        <v>2459</v>
      </c>
      <c r="F70" s="466">
        <v>0</v>
      </c>
      <c r="G70" s="466">
        <v>0</v>
      </c>
      <c r="H70" s="466">
        <v>0</v>
      </c>
      <c r="I70" s="467">
        <v>0</v>
      </c>
      <c r="J70" s="467">
        <v>0</v>
      </c>
      <c r="K70" s="1690">
        <f>SUM(C70:J70)</f>
        <v>2459</v>
      </c>
      <c r="L70" s="466">
        <v>5000</v>
      </c>
      <c r="M70" s="608"/>
      <c r="N70" s="608"/>
    </row>
    <row r="71" spans="1:14" s="343" customFormat="1" x14ac:dyDescent="0.2">
      <c r="A71" s="1522" t="s">
        <v>424</v>
      </c>
      <c r="B71" s="613">
        <v>2660</v>
      </c>
      <c r="C71" s="466">
        <v>0</v>
      </c>
      <c r="D71" s="466">
        <v>0</v>
      </c>
      <c r="E71" s="466">
        <v>0</v>
      </c>
      <c r="F71" s="466">
        <v>25795</v>
      </c>
      <c r="G71" s="466">
        <v>0</v>
      </c>
      <c r="H71" s="466">
        <v>0</v>
      </c>
      <c r="I71" s="467">
        <v>0</v>
      </c>
      <c r="J71" s="467">
        <v>0</v>
      </c>
      <c r="K71" s="1690">
        <f>SUM(C71:J71)</f>
        <v>25795</v>
      </c>
      <c r="L71" s="466">
        <v>26350</v>
      </c>
      <c r="M71" s="608"/>
      <c r="N71" s="608"/>
    </row>
    <row r="72" spans="1:14" s="343" customFormat="1" ht="12.75" customHeight="1" thickBot="1" x14ac:dyDescent="0.25">
      <c r="A72" s="1686" t="s">
        <v>37</v>
      </c>
      <c r="B72" s="1693" t="s">
        <v>36</v>
      </c>
      <c r="C72" s="1688">
        <f>SUM(C67:C71)</f>
        <v>0</v>
      </c>
      <c r="D72" s="1688">
        <f t="shared" ref="D72:K72" si="9">SUM(D67:D71)</f>
        <v>0</v>
      </c>
      <c r="E72" s="1688">
        <f t="shared" si="9"/>
        <v>2459</v>
      </c>
      <c r="F72" s="1688">
        <f t="shared" si="9"/>
        <v>25795</v>
      </c>
      <c r="G72" s="1688">
        <f t="shared" si="9"/>
        <v>0</v>
      </c>
      <c r="H72" s="1688">
        <f t="shared" si="9"/>
        <v>0</v>
      </c>
      <c r="I72" s="1688">
        <f t="shared" si="9"/>
        <v>0</v>
      </c>
      <c r="J72" s="1688">
        <f t="shared" si="9"/>
        <v>0</v>
      </c>
      <c r="K72" s="1688">
        <f t="shared" si="9"/>
        <v>28254</v>
      </c>
      <c r="L72" s="1688">
        <f>SUM(L67:L71)</f>
        <v>31350</v>
      </c>
      <c r="M72" s="608"/>
      <c r="N72" s="608"/>
    </row>
    <row r="73" spans="1:14" s="343" customFormat="1" ht="14.25" thickTop="1" thickBot="1" x14ac:dyDescent="0.25">
      <c r="A73" s="1528" t="s">
        <v>1037</v>
      </c>
      <c r="B73" s="631" t="s">
        <v>595</v>
      </c>
      <c r="C73" s="571">
        <v>0</v>
      </c>
      <c r="D73" s="571">
        <v>0</v>
      </c>
      <c r="E73" s="571">
        <v>50024</v>
      </c>
      <c r="F73" s="571">
        <v>0</v>
      </c>
      <c r="G73" s="571">
        <v>0</v>
      </c>
      <c r="H73" s="571">
        <v>0</v>
      </c>
      <c r="I73" s="529">
        <v>0</v>
      </c>
      <c r="J73" s="529">
        <v>0</v>
      </c>
      <c r="K73" s="1688">
        <f>SUM(C73:J73)</f>
        <v>50024</v>
      </c>
      <c r="L73" s="574">
        <v>61506</v>
      </c>
      <c r="M73" s="608"/>
      <c r="N73" s="608"/>
    </row>
    <row r="74" spans="1:14" ht="12.75" customHeight="1" thickTop="1" thickBot="1" x14ac:dyDescent="0.25">
      <c r="A74" s="1686" t="s">
        <v>865</v>
      </c>
      <c r="B74" s="1694">
        <v>2000</v>
      </c>
      <c r="C74" s="1695">
        <f>SUM(C42,C47,C53,C57,C65,C72,C73)</f>
        <v>1716596</v>
      </c>
      <c r="D74" s="1695">
        <f t="shared" ref="D74:K74" si="10">SUM(D42,D47,D53,D57,D65,D72,D73)</f>
        <v>477504</v>
      </c>
      <c r="E74" s="1695">
        <f t="shared" si="10"/>
        <v>408749</v>
      </c>
      <c r="F74" s="1695">
        <f t="shared" si="10"/>
        <v>121100</v>
      </c>
      <c r="G74" s="1695">
        <f t="shared" si="10"/>
        <v>6448</v>
      </c>
      <c r="H74" s="1695">
        <f t="shared" si="10"/>
        <v>0</v>
      </c>
      <c r="I74" s="1695">
        <f t="shared" si="10"/>
        <v>0</v>
      </c>
      <c r="J74" s="1695">
        <f t="shared" si="10"/>
        <v>0</v>
      </c>
      <c r="K74" s="1695">
        <f t="shared" si="10"/>
        <v>2730397</v>
      </c>
      <c r="L74" s="1695">
        <f>SUM(L42,L47,L53,L57,L65,L72,L73)</f>
        <v>2982574</v>
      </c>
    </row>
    <row r="75" spans="1:14" s="259" customFormat="1" ht="15.75" customHeight="1" thickTop="1" thickBot="1" x14ac:dyDescent="0.25">
      <c r="A75" s="1628" t="s">
        <v>49</v>
      </c>
      <c r="B75" s="1629" t="s">
        <v>596</v>
      </c>
      <c r="C75" s="571">
        <v>0</v>
      </c>
      <c r="D75" s="571">
        <v>0</v>
      </c>
      <c r="E75" s="571">
        <v>0</v>
      </c>
      <c r="F75" s="571">
        <v>0</v>
      </c>
      <c r="G75" s="571">
        <v>0</v>
      </c>
      <c r="H75" s="571">
        <v>0</v>
      </c>
      <c r="I75" s="529">
        <v>0</v>
      </c>
      <c r="J75" s="529">
        <v>0</v>
      </c>
      <c r="K75" s="1688">
        <f>SUM(C75:J75)</f>
        <v>0</v>
      </c>
      <c r="L75" s="574">
        <v>0</v>
      </c>
      <c r="M75" s="612"/>
      <c r="N75" s="612"/>
    </row>
    <row r="76" spans="1:14" s="632" customFormat="1" ht="15.75" customHeight="1" thickTop="1" x14ac:dyDescent="0.2">
      <c r="A76" s="1630" t="s">
        <v>383</v>
      </c>
      <c r="B76" s="1627"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2" t="s">
        <v>517</v>
      </c>
      <c r="B78" s="613">
        <v>4110</v>
      </c>
      <c r="C78" s="615"/>
      <c r="D78" s="615"/>
      <c r="E78" s="480">
        <v>0</v>
      </c>
      <c r="F78" s="615"/>
      <c r="G78" s="615"/>
      <c r="H78" s="633">
        <v>0</v>
      </c>
      <c r="I78" s="476"/>
      <c r="J78" s="476"/>
      <c r="K78" s="1689">
        <f t="shared" ref="K78:K83" si="11">SUM(C78:J78)</f>
        <v>0</v>
      </c>
      <c r="L78" s="480">
        <v>0</v>
      </c>
    </row>
    <row r="79" spans="1:14" x14ac:dyDescent="0.2">
      <c r="A79" s="1522" t="s">
        <v>322</v>
      </c>
      <c r="B79" s="613">
        <v>4120</v>
      </c>
      <c r="C79" s="615"/>
      <c r="D79" s="615"/>
      <c r="E79" s="466">
        <v>232834</v>
      </c>
      <c r="F79" s="615"/>
      <c r="G79" s="615"/>
      <c r="H79" s="466">
        <v>94571</v>
      </c>
      <c r="I79" s="476"/>
      <c r="J79" s="476"/>
      <c r="K79" s="1689">
        <f t="shared" si="11"/>
        <v>327405</v>
      </c>
      <c r="L79" s="466">
        <v>344765</v>
      </c>
    </row>
    <row r="80" spans="1:14" x14ac:dyDescent="0.2">
      <c r="A80" s="1522" t="s">
        <v>323</v>
      </c>
      <c r="B80" s="613">
        <v>4130</v>
      </c>
      <c r="C80" s="615"/>
      <c r="D80" s="615"/>
      <c r="E80" s="466">
        <v>0</v>
      </c>
      <c r="F80" s="615"/>
      <c r="G80" s="615"/>
      <c r="H80" s="466">
        <v>0</v>
      </c>
      <c r="I80" s="476"/>
      <c r="J80" s="476"/>
      <c r="K80" s="1689">
        <f t="shared" si="11"/>
        <v>0</v>
      </c>
      <c r="L80" s="466">
        <v>0</v>
      </c>
    </row>
    <row r="81" spans="1:12" x14ac:dyDescent="0.2">
      <c r="A81" s="1522" t="s">
        <v>721</v>
      </c>
      <c r="B81" s="613">
        <v>4140</v>
      </c>
      <c r="C81" s="615"/>
      <c r="D81" s="615"/>
      <c r="E81" s="466">
        <v>0</v>
      </c>
      <c r="F81" s="615"/>
      <c r="G81" s="615"/>
      <c r="H81" s="466">
        <v>0</v>
      </c>
      <c r="I81" s="476"/>
      <c r="J81" s="476"/>
      <c r="K81" s="1689">
        <f t="shared" si="11"/>
        <v>0</v>
      </c>
      <c r="L81" s="466">
        <v>0</v>
      </c>
    </row>
    <row r="82" spans="1:12" x14ac:dyDescent="0.2">
      <c r="A82" s="1522" t="s">
        <v>88</v>
      </c>
      <c r="B82" s="613">
        <v>4170</v>
      </c>
      <c r="C82" s="615"/>
      <c r="D82" s="615"/>
      <c r="E82" s="466">
        <v>0</v>
      </c>
      <c r="F82" s="615"/>
      <c r="G82" s="615"/>
      <c r="H82" s="466">
        <v>0</v>
      </c>
      <c r="I82" s="476"/>
      <c r="J82" s="476"/>
      <c r="K82" s="1689">
        <f t="shared" si="11"/>
        <v>0</v>
      </c>
      <c r="L82" s="466">
        <v>0</v>
      </c>
    </row>
    <row r="83" spans="1:12" x14ac:dyDescent="0.2">
      <c r="A83" s="1526" t="s">
        <v>722</v>
      </c>
      <c r="B83" s="627">
        <v>4190</v>
      </c>
      <c r="C83" s="615"/>
      <c r="D83" s="615"/>
      <c r="E83" s="466">
        <v>0</v>
      </c>
      <c r="F83" s="615"/>
      <c r="G83" s="615"/>
      <c r="H83" s="466">
        <v>0</v>
      </c>
      <c r="I83" s="476"/>
      <c r="J83" s="476"/>
      <c r="K83" s="1689">
        <f t="shared" si="11"/>
        <v>0</v>
      </c>
      <c r="L83" s="466">
        <v>0</v>
      </c>
    </row>
    <row r="84" spans="1:12" ht="13.5" thickBot="1" x14ac:dyDescent="0.25">
      <c r="A84" s="1686" t="s">
        <v>1565</v>
      </c>
      <c r="B84" s="1696">
        <v>4100</v>
      </c>
      <c r="C84" s="615"/>
      <c r="D84" s="615"/>
      <c r="E84" s="1688">
        <f>SUM(E78:E83)</f>
        <v>232834</v>
      </c>
      <c r="F84" s="615"/>
      <c r="G84" s="615"/>
      <c r="H84" s="1688">
        <f>SUM(H78:H83)</f>
        <v>94571</v>
      </c>
      <c r="I84" s="476"/>
      <c r="J84" s="476"/>
      <c r="K84" s="1688">
        <f>SUM(K78:K83)</f>
        <v>327405</v>
      </c>
      <c r="L84" s="1688">
        <f>SUM(L78:L83)</f>
        <v>344765</v>
      </c>
    </row>
    <row r="85" spans="1:12" ht="12.75" customHeight="1" thickTop="1" thickBot="1" x14ac:dyDescent="0.25">
      <c r="A85" s="1529" t="s">
        <v>273</v>
      </c>
      <c r="B85" s="634">
        <v>4210</v>
      </c>
      <c r="C85" s="615"/>
      <c r="D85" s="615"/>
      <c r="E85" s="635"/>
      <c r="F85" s="615"/>
      <c r="G85" s="615"/>
      <c r="H85" s="533">
        <v>0</v>
      </c>
      <c r="I85" s="476"/>
      <c r="J85" s="476"/>
      <c r="K85" s="1695">
        <f>H85</f>
        <v>0</v>
      </c>
      <c r="L85" s="528">
        <v>0</v>
      </c>
    </row>
    <row r="86" spans="1:12" ht="12.75" customHeight="1" thickTop="1" thickBot="1" x14ac:dyDescent="0.25">
      <c r="A86" s="1530" t="s">
        <v>723</v>
      </c>
      <c r="B86" s="636">
        <v>4220</v>
      </c>
      <c r="C86" s="615"/>
      <c r="D86" s="615"/>
      <c r="E86" s="637"/>
      <c r="F86" s="615"/>
      <c r="G86" s="615"/>
      <c r="H86" s="467">
        <v>0</v>
      </c>
      <c r="I86" s="476"/>
      <c r="J86" s="476"/>
      <c r="K86" s="1695">
        <f t="shared" ref="K86:K98" si="12">H86</f>
        <v>0</v>
      </c>
      <c r="L86" s="528">
        <v>0</v>
      </c>
    </row>
    <row r="87" spans="1:12" ht="14.25" thickTop="1" thickBot="1" x14ac:dyDescent="0.25">
      <c r="A87" s="1531" t="s">
        <v>724</v>
      </c>
      <c r="B87" s="638">
        <v>4230</v>
      </c>
      <c r="C87" s="615"/>
      <c r="D87" s="615"/>
      <c r="E87" s="637"/>
      <c r="F87" s="615"/>
      <c r="G87" s="615"/>
      <c r="H87" s="467">
        <v>0</v>
      </c>
      <c r="I87" s="476"/>
      <c r="J87" s="476"/>
      <c r="K87" s="1695">
        <f t="shared" si="12"/>
        <v>0</v>
      </c>
      <c r="L87" s="528">
        <v>0</v>
      </c>
    </row>
    <row r="88" spans="1:12" ht="12.75" customHeight="1" thickTop="1" thickBot="1" x14ac:dyDescent="0.25">
      <c r="A88" s="1531" t="s">
        <v>789</v>
      </c>
      <c r="B88" s="638">
        <v>4240</v>
      </c>
      <c r="C88" s="615"/>
      <c r="D88" s="615"/>
      <c r="E88" s="637"/>
      <c r="F88" s="615"/>
      <c r="G88" s="615"/>
      <c r="H88" s="467">
        <v>0</v>
      </c>
      <c r="I88" s="476"/>
      <c r="J88" s="476"/>
      <c r="K88" s="1695">
        <f t="shared" si="12"/>
        <v>0</v>
      </c>
      <c r="L88" s="528">
        <v>0</v>
      </c>
    </row>
    <row r="89" spans="1:12" ht="12.75" customHeight="1" thickTop="1" thickBot="1" x14ac:dyDescent="0.25">
      <c r="A89" s="1531" t="s">
        <v>725</v>
      </c>
      <c r="B89" s="638">
        <v>4270</v>
      </c>
      <c r="C89" s="615"/>
      <c r="D89" s="615"/>
      <c r="E89" s="637"/>
      <c r="F89" s="615"/>
      <c r="G89" s="615"/>
      <c r="H89" s="467">
        <v>0</v>
      </c>
      <c r="I89" s="476"/>
      <c r="J89" s="476"/>
      <c r="K89" s="1695">
        <f t="shared" si="12"/>
        <v>0</v>
      </c>
      <c r="L89" s="528">
        <v>0</v>
      </c>
    </row>
    <row r="90" spans="1:12" ht="12.75" customHeight="1" thickTop="1" thickBot="1" x14ac:dyDescent="0.25">
      <c r="A90" s="1531" t="s">
        <v>710</v>
      </c>
      <c r="B90" s="638">
        <v>4280</v>
      </c>
      <c r="C90" s="615"/>
      <c r="D90" s="615"/>
      <c r="E90" s="637"/>
      <c r="F90" s="615"/>
      <c r="G90" s="615"/>
      <c r="H90" s="467">
        <v>0</v>
      </c>
      <c r="I90" s="476"/>
      <c r="J90" s="476"/>
      <c r="K90" s="1695">
        <f t="shared" si="12"/>
        <v>0</v>
      </c>
      <c r="L90" s="528">
        <v>0</v>
      </c>
    </row>
    <row r="91" spans="1:12" ht="12.75" customHeight="1" thickTop="1" thickBot="1" x14ac:dyDescent="0.25">
      <c r="A91" s="1531" t="s">
        <v>711</v>
      </c>
      <c r="B91" s="638">
        <v>4290</v>
      </c>
      <c r="C91" s="615"/>
      <c r="D91" s="615"/>
      <c r="E91" s="637"/>
      <c r="F91" s="615"/>
      <c r="G91" s="615"/>
      <c r="H91" s="467">
        <v>0</v>
      </c>
      <c r="I91" s="476"/>
      <c r="J91" s="476"/>
      <c r="K91" s="1695">
        <f t="shared" si="12"/>
        <v>0</v>
      </c>
      <c r="L91" s="528">
        <v>0</v>
      </c>
    </row>
    <row r="92" spans="1:12" ht="14.25" thickTop="1" thickBot="1" x14ac:dyDescent="0.25">
      <c r="A92" s="1698" t="s">
        <v>1641</v>
      </c>
      <c r="B92" s="1696">
        <v>4200</v>
      </c>
      <c r="C92" s="615"/>
      <c r="D92" s="615"/>
      <c r="E92" s="637"/>
      <c r="F92" s="615"/>
      <c r="G92" s="615"/>
      <c r="H92" s="1688">
        <f>SUM(H85:H91)</f>
        <v>0</v>
      </c>
      <c r="I92" s="476"/>
      <c r="J92" s="476"/>
      <c r="K92" s="1695">
        <f t="shared" si="12"/>
        <v>0</v>
      </c>
      <c r="L92" s="1688">
        <f>SUM(L85:L91)</f>
        <v>0</v>
      </c>
    </row>
    <row r="93" spans="1:12" ht="14.25" thickTop="1" thickBot="1" x14ac:dyDescent="0.25">
      <c r="A93" s="1530" t="s">
        <v>712</v>
      </c>
      <c r="B93" s="639">
        <v>4310</v>
      </c>
      <c r="C93" s="615"/>
      <c r="D93" s="615"/>
      <c r="E93" s="637"/>
      <c r="F93" s="615"/>
      <c r="G93" s="615"/>
      <c r="H93" s="640">
        <v>0</v>
      </c>
      <c r="I93" s="476"/>
      <c r="J93" s="476"/>
      <c r="K93" s="1695">
        <f t="shared" si="12"/>
        <v>0</v>
      </c>
      <c r="L93" s="530">
        <v>0</v>
      </c>
    </row>
    <row r="94" spans="1:12" ht="12.75" customHeight="1" thickTop="1" thickBot="1" x14ac:dyDescent="0.25">
      <c r="A94" s="1531" t="s">
        <v>713</v>
      </c>
      <c r="B94" s="638">
        <v>4320</v>
      </c>
      <c r="C94" s="615"/>
      <c r="D94" s="615"/>
      <c r="E94" s="637"/>
      <c r="F94" s="615"/>
      <c r="G94" s="615"/>
      <c r="H94" s="467">
        <v>0</v>
      </c>
      <c r="I94" s="476"/>
      <c r="J94" s="476"/>
      <c r="K94" s="1695">
        <f t="shared" si="12"/>
        <v>0</v>
      </c>
      <c r="L94" s="528">
        <v>0</v>
      </c>
    </row>
    <row r="95" spans="1:12" ht="15" customHeight="1" thickTop="1" thickBot="1" x14ac:dyDescent="0.25">
      <c r="A95" s="1531" t="s">
        <v>1568</v>
      </c>
      <c r="B95" s="638">
        <v>4330</v>
      </c>
      <c r="C95" s="615"/>
      <c r="D95" s="615"/>
      <c r="E95" s="637"/>
      <c r="F95" s="615"/>
      <c r="G95" s="615"/>
      <c r="H95" s="467">
        <v>0</v>
      </c>
      <c r="I95" s="476"/>
      <c r="J95" s="476"/>
      <c r="K95" s="1695">
        <f t="shared" si="12"/>
        <v>0</v>
      </c>
      <c r="L95" s="528">
        <v>0</v>
      </c>
    </row>
    <row r="96" spans="1:12" ht="14.25" thickTop="1" thickBot="1" x14ac:dyDescent="0.25">
      <c r="A96" s="1531" t="s">
        <v>714</v>
      </c>
      <c r="B96" s="638">
        <v>4340</v>
      </c>
      <c r="C96" s="615"/>
      <c r="D96" s="615"/>
      <c r="E96" s="637"/>
      <c r="F96" s="615"/>
      <c r="G96" s="615"/>
      <c r="H96" s="467">
        <v>0</v>
      </c>
      <c r="I96" s="476"/>
      <c r="J96" s="476"/>
      <c r="K96" s="1695">
        <f t="shared" si="12"/>
        <v>0</v>
      </c>
      <c r="L96" s="528">
        <v>0</v>
      </c>
    </row>
    <row r="97" spans="1:14" ht="12.75" customHeight="1" thickTop="1" thickBot="1" x14ac:dyDescent="0.25">
      <c r="A97" s="1531" t="s">
        <v>787</v>
      </c>
      <c r="B97" s="638">
        <v>4370</v>
      </c>
      <c r="C97" s="615"/>
      <c r="D97" s="615"/>
      <c r="E97" s="637"/>
      <c r="F97" s="615"/>
      <c r="G97" s="615"/>
      <c r="H97" s="467">
        <v>0</v>
      </c>
      <c r="I97" s="476"/>
      <c r="J97" s="476"/>
      <c r="K97" s="1695">
        <f t="shared" si="12"/>
        <v>0</v>
      </c>
      <c r="L97" s="528">
        <v>0</v>
      </c>
    </row>
    <row r="98" spans="1:14" ht="14.25" thickTop="1" thickBot="1" x14ac:dyDescent="0.25">
      <c r="A98" s="1531" t="s">
        <v>788</v>
      </c>
      <c r="B98" s="638">
        <v>4380</v>
      </c>
      <c r="C98" s="615"/>
      <c r="D98" s="615"/>
      <c r="E98" s="641"/>
      <c r="F98" s="615"/>
      <c r="G98" s="615"/>
      <c r="H98" s="467">
        <v>0</v>
      </c>
      <c r="I98" s="476"/>
      <c r="J98" s="476"/>
      <c r="K98" s="1695">
        <f t="shared" si="12"/>
        <v>0</v>
      </c>
      <c r="L98" s="528">
        <v>0</v>
      </c>
    </row>
    <row r="99" spans="1:14" ht="14.25" thickTop="1" thickBot="1" x14ac:dyDescent="0.25">
      <c r="A99" s="1531" t="s">
        <v>385</v>
      </c>
      <c r="B99" s="638">
        <v>4390</v>
      </c>
      <c r="C99" s="615"/>
      <c r="D99" s="615"/>
      <c r="E99" s="530">
        <v>0</v>
      </c>
      <c r="F99" s="615"/>
      <c r="G99" s="615"/>
      <c r="H99" s="467">
        <v>0</v>
      </c>
      <c r="I99" s="476"/>
      <c r="J99" s="476"/>
      <c r="K99" s="1695">
        <f>SUM(E99,H99)</f>
        <v>0</v>
      </c>
      <c r="L99" s="528">
        <v>0</v>
      </c>
    </row>
    <row r="100" spans="1:14" ht="14.25" thickTop="1" thickBot="1" x14ac:dyDescent="0.25">
      <c r="A100" s="1698" t="s">
        <v>1566</v>
      </c>
      <c r="B100" s="1699">
        <v>4300</v>
      </c>
      <c r="C100" s="615"/>
      <c r="D100" s="615"/>
      <c r="E100" s="1695">
        <f>SUM(E93:E99)</f>
        <v>0</v>
      </c>
      <c r="F100" s="615"/>
      <c r="G100" s="615"/>
      <c r="H100" s="1695">
        <f>SUM(H93:H99)</f>
        <v>0</v>
      </c>
      <c r="I100" s="476"/>
      <c r="J100" s="476"/>
      <c r="K100" s="1695">
        <f>SUM(K93:K99)</f>
        <v>0</v>
      </c>
      <c r="L100" s="1695">
        <f>SUM(L93:L99)</f>
        <v>0</v>
      </c>
    </row>
    <row r="101" spans="1:14" ht="12.75" customHeight="1" thickTop="1" thickBot="1" x14ac:dyDescent="0.25">
      <c r="A101" s="1528" t="s">
        <v>1569</v>
      </c>
      <c r="B101" s="642" t="s">
        <v>988</v>
      </c>
      <c r="C101" s="615"/>
      <c r="D101" s="615"/>
      <c r="E101" s="529">
        <v>0</v>
      </c>
      <c r="F101" s="615"/>
      <c r="G101" s="615"/>
      <c r="H101" s="529">
        <v>0</v>
      </c>
      <c r="I101" s="476"/>
      <c r="J101" s="476"/>
      <c r="K101" s="1697">
        <f>SUM(C101:J101)</f>
        <v>0</v>
      </c>
      <c r="L101" s="528">
        <v>0</v>
      </c>
    </row>
    <row r="102" spans="1:14" ht="12.75" customHeight="1" thickTop="1" thickBot="1" x14ac:dyDescent="0.25">
      <c r="A102" s="1686" t="s">
        <v>1567</v>
      </c>
      <c r="B102" s="1696">
        <v>4000</v>
      </c>
      <c r="C102" s="615"/>
      <c r="D102" s="615"/>
      <c r="E102" s="1695">
        <f>SUM(E84,E92,E100,E101)</f>
        <v>232834</v>
      </c>
      <c r="F102" s="615"/>
      <c r="G102" s="615"/>
      <c r="H102" s="1695">
        <f>SUM(H84,H92,H100,H101)</f>
        <v>94571</v>
      </c>
      <c r="I102" s="476"/>
      <c r="J102" s="476"/>
      <c r="K102" s="1695">
        <f>SUM(K84,K92,K100,K101)</f>
        <v>327405</v>
      </c>
      <c r="L102" s="1695">
        <f>SUM(L84,L92,L100,L101)</f>
        <v>344765</v>
      </c>
    </row>
    <row r="103" spans="1:14" s="632" customFormat="1" ht="15.75" customHeight="1" thickTop="1" x14ac:dyDescent="0.2">
      <c r="A103" s="1630" t="s">
        <v>534</v>
      </c>
      <c r="B103" s="1627"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2" t="s">
        <v>89</v>
      </c>
      <c r="B105" s="613">
        <v>5110</v>
      </c>
      <c r="C105" s="615"/>
      <c r="D105" s="615"/>
      <c r="E105" s="615"/>
      <c r="F105" s="615"/>
      <c r="G105" s="615"/>
      <c r="H105" s="480">
        <v>0</v>
      </c>
      <c r="I105" s="468"/>
      <c r="J105" s="468"/>
      <c r="K105" s="1689">
        <f>H105</f>
        <v>0</v>
      </c>
      <c r="L105" s="480">
        <v>0</v>
      </c>
      <c r="M105" s="210"/>
      <c r="N105" s="210"/>
    </row>
    <row r="106" spans="1:14" s="596" customFormat="1" x14ac:dyDescent="0.2">
      <c r="A106" s="1522" t="s">
        <v>90</v>
      </c>
      <c r="B106" s="613">
        <v>5120</v>
      </c>
      <c r="C106" s="615"/>
      <c r="D106" s="615"/>
      <c r="E106" s="615"/>
      <c r="F106" s="615"/>
      <c r="G106" s="615"/>
      <c r="H106" s="466">
        <v>0</v>
      </c>
      <c r="I106" s="468"/>
      <c r="J106" s="468"/>
      <c r="K106" s="1689">
        <f>H106</f>
        <v>0</v>
      </c>
      <c r="L106" s="466">
        <v>0</v>
      </c>
      <c r="M106" s="210"/>
      <c r="N106" s="210"/>
    </row>
    <row r="107" spans="1:14" s="596" customFormat="1" ht="12.75" customHeight="1" x14ac:dyDescent="0.2">
      <c r="A107" s="1522" t="s">
        <v>1232</v>
      </c>
      <c r="B107" s="613">
        <v>5130</v>
      </c>
      <c r="C107" s="615"/>
      <c r="D107" s="615"/>
      <c r="E107" s="615"/>
      <c r="F107" s="615"/>
      <c r="G107" s="615"/>
      <c r="H107" s="466">
        <v>0</v>
      </c>
      <c r="I107" s="468"/>
      <c r="J107" s="468"/>
      <c r="K107" s="1689">
        <f>H107</f>
        <v>0</v>
      </c>
      <c r="L107" s="466">
        <v>0</v>
      </c>
      <c r="M107" s="210"/>
      <c r="N107" s="210"/>
    </row>
    <row r="108" spans="1:14" s="596" customFormat="1" x14ac:dyDescent="0.2">
      <c r="A108" s="1522" t="s">
        <v>91</v>
      </c>
      <c r="B108" s="613" t="s">
        <v>610</v>
      </c>
      <c r="C108" s="615"/>
      <c r="D108" s="615"/>
      <c r="E108" s="615"/>
      <c r="F108" s="615"/>
      <c r="G108" s="615"/>
      <c r="H108" s="466">
        <v>0</v>
      </c>
      <c r="I108" s="468"/>
      <c r="J108" s="468"/>
      <c r="K108" s="1689">
        <f>H108</f>
        <v>0</v>
      </c>
      <c r="L108" s="466">
        <v>0</v>
      </c>
      <c r="M108" s="210"/>
      <c r="N108" s="210"/>
    </row>
    <row r="109" spans="1:14" s="596" customFormat="1" x14ac:dyDescent="0.2">
      <c r="A109" s="1522" t="s">
        <v>272</v>
      </c>
      <c r="B109" s="627">
        <v>5150</v>
      </c>
      <c r="C109" s="615"/>
      <c r="D109" s="615"/>
      <c r="E109" s="615"/>
      <c r="F109" s="615"/>
      <c r="G109" s="615"/>
      <c r="H109" s="466">
        <v>0</v>
      </c>
      <c r="I109" s="468"/>
      <c r="J109" s="468"/>
      <c r="K109" s="1689">
        <f>H109</f>
        <v>0</v>
      </c>
      <c r="L109" s="466">
        <v>0</v>
      </c>
      <c r="M109" s="210"/>
      <c r="N109" s="210"/>
    </row>
    <row r="110" spans="1:14" s="596" customFormat="1" ht="12.75" customHeight="1" thickBot="1" x14ac:dyDescent="0.25">
      <c r="A110" s="1686" t="s">
        <v>1164</v>
      </c>
      <c r="B110" s="1693" t="s">
        <v>742</v>
      </c>
      <c r="C110" s="615"/>
      <c r="D110" s="615"/>
      <c r="E110" s="615"/>
      <c r="F110" s="615"/>
      <c r="G110" s="615"/>
      <c r="H110" s="1688">
        <f>SUM(H105:H109)</f>
        <v>0</v>
      </c>
      <c r="I110" s="468"/>
      <c r="J110" s="468"/>
      <c r="K110" s="1688">
        <f>SUM(K105:K109)</f>
        <v>0</v>
      </c>
      <c r="L110" s="1688">
        <f>SUM(L105:L109)</f>
        <v>0</v>
      </c>
      <c r="M110" s="210"/>
      <c r="N110" s="210"/>
    </row>
    <row r="111" spans="1:14" s="596" customFormat="1" ht="12.75" customHeight="1" thickTop="1" thickBot="1" x14ac:dyDescent="0.25">
      <c r="A111" s="1532" t="s">
        <v>386</v>
      </c>
      <c r="B111" s="646" t="s">
        <v>38</v>
      </c>
      <c r="C111" s="615"/>
      <c r="D111" s="615"/>
      <c r="E111" s="615"/>
      <c r="F111" s="615"/>
      <c r="G111" s="615"/>
      <c r="H111" s="533">
        <v>0</v>
      </c>
      <c r="I111" s="468"/>
      <c r="J111" s="468"/>
      <c r="K111" s="1701">
        <f>H111</f>
        <v>0</v>
      </c>
      <c r="L111" s="530">
        <v>0</v>
      </c>
      <c r="M111" s="210"/>
      <c r="N111" s="210"/>
    </row>
    <row r="112" spans="1:14" s="596" customFormat="1" ht="12.75" customHeight="1" thickTop="1" thickBot="1" x14ac:dyDescent="0.25">
      <c r="A112" s="1686" t="s">
        <v>659</v>
      </c>
      <c r="B112" s="1687" t="s">
        <v>513</v>
      </c>
      <c r="C112" s="615"/>
      <c r="D112" s="615"/>
      <c r="E112" s="615"/>
      <c r="F112" s="615"/>
      <c r="G112" s="615"/>
      <c r="H112" s="1688">
        <f>SUM(H110:H111)</f>
        <v>0</v>
      </c>
      <c r="I112" s="468"/>
      <c r="J112" s="468"/>
      <c r="K112" s="1688">
        <f>SUM(K110:K111)</f>
        <v>0</v>
      </c>
      <c r="L112" s="1695">
        <f>SUM(L110,L111)</f>
        <v>0</v>
      </c>
      <c r="M112" s="210"/>
      <c r="N112" s="210"/>
    </row>
    <row r="113" spans="1:14" s="259" customFormat="1" ht="15.75" customHeight="1" thickTop="1" thickBot="1" x14ac:dyDescent="0.25">
      <c r="A113" s="1624" t="s">
        <v>535</v>
      </c>
      <c r="B113" s="1631" t="s">
        <v>916</v>
      </c>
      <c r="C113" s="622"/>
      <c r="D113" s="622"/>
      <c r="E113" s="615"/>
      <c r="F113" s="615"/>
      <c r="G113" s="615"/>
      <c r="H113" s="622"/>
      <c r="I113" s="468"/>
      <c r="J113" s="468"/>
      <c r="K113" s="622"/>
      <c r="L113" s="529">
        <v>100</v>
      </c>
      <c r="M113" s="612"/>
      <c r="N113" s="612"/>
    </row>
    <row r="114" spans="1:14" ht="12.75" customHeight="1" thickTop="1" thickBot="1" x14ac:dyDescent="0.25">
      <c r="A114" s="1686" t="s">
        <v>50</v>
      </c>
      <c r="B114" s="1700"/>
      <c r="C114" s="1688">
        <f>SUM(C33,C74,C75,C102,C112,C113)</f>
        <v>3735524</v>
      </c>
      <c r="D114" s="1688">
        <f t="shared" ref="D114:K114" si="13">SUM(D33,D74,D75,D102,D112,D113)</f>
        <v>979034</v>
      </c>
      <c r="E114" s="1688">
        <f t="shared" si="13"/>
        <v>728730</v>
      </c>
      <c r="F114" s="1688">
        <f t="shared" si="13"/>
        <v>140094</v>
      </c>
      <c r="G114" s="1688">
        <f t="shared" si="13"/>
        <v>24193</v>
      </c>
      <c r="H114" s="1688">
        <f>SUM(H33,H74,H75,H102,H112,H113)</f>
        <v>94571</v>
      </c>
      <c r="I114" s="1688">
        <f t="shared" si="13"/>
        <v>0</v>
      </c>
      <c r="J114" s="1688">
        <f t="shared" si="13"/>
        <v>0</v>
      </c>
      <c r="K114" s="1688">
        <f t="shared" si="13"/>
        <v>5702146</v>
      </c>
      <c r="L114" s="1688">
        <f>SUM(L33,L74,L75,L102,L112,L113)</f>
        <v>6037513</v>
      </c>
    </row>
    <row r="115" spans="1:14" ht="13.5" thickTop="1" x14ac:dyDescent="0.2">
      <c r="A115" s="2436" t="s">
        <v>1053</v>
      </c>
      <c r="B115" s="2437"/>
      <c r="C115" s="617"/>
      <c r="D115" s="617"/>
      <c r="E115" s="617"/>
      <c r="F115" s="617"/>
      <c r="G115" s="617"/>
      <c r="H115" s="617"/>
      <c r="I115" s="617"/>
      <c r="J115" s="617"/>
      <c r="K115" s="1702">
        <f>'Revenues 9-14'!C275-'Expenditures 15-22'!K114</f>
        <v>-114734</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414" t="s">
        <v>314</v>
      </c>
      <c r="B117" s="2415"/>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6" t="s">
        <v>167</v>
      </c>
      <c r="B120" s="627">
        <v>2190</v>
      </c>
      <c r="C120" s="466">
        <v>0</v>
      </c>
      <c r="D120" s="466">
        <v>0</v>
      </c>
      <c r="E120" s="466">
        <v>0</v>
      </c>
      <c r="F120" s="466">
        <v>0</v>
      </c>
      <c r="G120" s="466">
        <v>0</v>
      </c>
      <c r="H120" s="466">
        <v>0</v>
      </c>
      <c r="I120" s="467">
        <v>0</v>
      </c>
      <c r="J120" s="467">
        <v>0</v>
      </c>
      <c r="K120" s="1689">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2" t="s">
        <v>1128</v>
      </c>
      <c r="B122" s="613">
        <v>2510</v>
      </c>
      <c r="C122" s="466">
        <v>0</v>
      </c>
      <c r="D122" s="466">
        <v>0</v>
      </c>
      <c r="E122" s="466">
        <v>0</v>
      </c>
      <c r="F122" s="466">
        <v>0</v>
      </c>
      <c r="G122" s="466">
        <v>0</v>
      </c>
      <c r="H122" s="466">
        <v>0</v>
      </c>
      <c r="I122" s="467">
        <v>0</v>
      </c>
      <c r="J122" s="467">
        <v>0</v>
      </c>
      <c r="K122" s="1688">
        <f>SUM(C122:J122)</f>
        <v>0</v>
      </c>
      <c r="L122" s="466">
        <v>0</v>
      </c>
    </row>
    <row r="123" spans="1:14" ht="14.25" thickTop="1" thickBot="1" x14ac:dyDescent="0.25">
      <c r="A123" s="1522" t="s">
        <v>4</v>
      </c>
      <c r="B123" s="613">
        <v>2530</v>
      </c>
      <c r="C123" s="466">
        <v>0</v>
      </c>
      <c r="D123" s="466">
        <v>0</v>
      </c>
      <c r="E123" s="466">
        <v>0</v>
      </c>
      <c r="F123" s="466">
        <v>0</v>
      </c>
      <c r="G123" s="466">
        <v>0</v>
      </c>
      <c r="H123" s="466">
        <v>0</v>
      </c>
      <c r="I123" s="467">
        <v>0</v>
      </c>
      <c r="J123" s="467">
        <v>0</v>
      </c>
      <c r="K123" s="1688">
        <f>SUM(C123:J123)</f>
        <v>0</v>
      </c>
      <c r="L123" s="466">
        <v>0</v>
      </c>
    </row>
    <row r="124" spans="1:14" ht="14.25" thickTop="1" thickBot="1" x14ac:dyDescent="0.25">
      <c r="A124" s="1522" t="s">
        <v>206</v>
      </c>
      <c r="B124" s="613">
        <v>2540</v>
      </c>
      <c r="C124" s="466">
        <v>0</v>
      </c>
      <c r="D124" s="466">
        <v>0</v>
      </c>
      <c r="E124" s="466">
        <v>0</v>
      </c>
      <c r="F124" s="466">
        <v>0</v>
      </c>
      <c r="G124" s="466">
        <v>0</v>
      </c>
      <c r="H124" s="466">
        <v>0</v>
      </c>
      <c r="I124" s="467">
        <v>0</v>
      </c>
      <c r="J124" s="467">
        <v>0</v>
      </c>
      <c r="K124" s="1688">
        <f>SUM(C124:J124)</f>
        <v>0</v>
      </c>
      <c r="L124" s="466">
        <v>0</v>
      </c>
    </row>
    <row r="125" spans="1:14" ht="14.25" thickTop="1" thickBot="1" x14ac:dyDescent="0.25">
      <c r="A125" s="1522" t="s">
        <v>1010</v>
      </c>
      <c r="B125" s="613">
        <v>2550</v>
      </c>
      <c r="C125" s="466">
        <v>0</v>
      </c>
      <c r="D125" s="466">
        <v>0</v>
      </c>
      <c r="E125" s="466">
        <v>0</v>
      </c>
      <c r="F125" s="466">
        <v>0</v>
      </c>
      <c r="G125" s="466">
        <v>0</v>
      </c>
      <c r="H125" s="466">
        <v>0</v>
      </c>
      <c r="I125" s="467">
        <v>0</v>
      </c>
      <c r="J125" s="467">
        <v>0</v>
      </c>
      <c r="K125" s="1688">
        <f>SUM(C125:J125)</f>
        <v>0</v>
      </c>
      <c r="L125" s="466">
        <v>0</v>
      </c>
    </row>
    <row r="126" spans="1:14" ht="14.25" thickTop="1" thickBot="1" x14ac:dyDescent="0.25">
      <c r="A126" s="1522" t="s">
        <v>102</v>
      </c>
      <c r="B126" s="613">
        <v>2560</v>
      </c>
      <c r="C126" s="653"/>
      <c r="D126" s="653"/>
      <c r="E126" s="653"/>
      <c r="F126" s="653"/>
      <c r="G126" s="466">
        <v>0</v>
      </c>
      <c r="H126" s="653"/>
      <c r="I126" s="474">
        <v>0</v>
      </c>
      <c r="J126" s="615"/>
      <c r="K126" s="1688">
        <f>SUM(C126:J126)</f>
        <v>0</v>
      </c>
      <c r="L126" s="466">
        <v>0</v>
      </c>
    </row>
    <row r="127" spans="1:14" ht="12.75" customHeight="1" thickTop="1" thickBot="1" x14ac:dyDescent="0.25">
      <c r="A127" s="1686" t="s">
        <v>743</v>
      </c>
      <c r="B127" s="1687" t="s">
        <v>35</v>
      </c>
      <c r="C127" s="1688">
        <f>SUM(C122:C126)</f>
        <v>0</v>
      </c>
      <c r="D127" s="1688">
        <f t="shared" ref="D127:L127" si="14">SUM(D122:D126)</f>
        <v>0</v>
      </c>
      <c r="E127" s="1688">
        <f t="shared" si="14"/>
        <v>0</v>
      </c>
      <c r="F127" s="1688">
        <f t="shared" si="14"/>
        <v>0</v>
      </c>
      <c r="G127" s="1688">
        <f t="shared" si="14"/>
        <v>0</v>
      </c>
      <c r="H127" s="1688">
        <f t="shared" si="14"/>
        <v>0</v>
      </c>
      <c r="I127" s="1688">
        <f t="shared" si="14"/>
        <v>0</v>
      </c>
      <c r="J127" s="1688">
        <f t="shared" si="14"/>
        <v>0</v>
      </c>
      <c r="K127" s="1688">
        <f t="shared" si="14"/>
        <v>0</v>
      </c>
      <c r="L127" s="1688">
        <f t="shared" si="14"/>
        <v>0</v>
      </c>
    </row>
    <row r="128" spans="1:14" ht="12.75" customHeight="1" thickTop="1" x14ac:dyDescent="0.2">
      <c r="A128" s="1529" t="s">
        <v>1037</v>
      </c>
      <c r="B128" s="654" t="s">
        <v>595</v>
      </c>
      <c r="C128" s="655">
        <v>0</v>
      </c>
      <c r="D128" s="655">
        <v>0</v>
      </c>
      <c r="E128" s="655">
        <v>0</v>
      </c>
      <c r="F128" s="655">
        <v>0</v>
      </c>
      <c r="G128" s="655">
        <v>0</v>
      </c>
      <c r="H128" s="655">
        <v>0</v>
      </c>
      <c r="I128" s="533">
        <v>0</v>
      </c>
      <c r="J128" s="533">
        <v>0</v>
      </c>
      <c r="K128" s="1703">
        <f>SUM(C128:J128)</f>
        <v>0</v>
      </c>
      <c r="L128" s="655">
        <v>0</v>
      </c>
    </row>
    <row r="129" spans="1:14" ht="12.75" customHeight="1" thickBot="1" x14ac:dyDescent="0.25">
      <c r="A129" s="1704" t="s">
        <v>865</v>
      </c>
      <c r="B129" s="1705" t="s">
        <v>590</v>
      </c>
      <c r="C129" s="1695">
        <f>SUM(C120,C127,C128)</f>
        <v>0</v>
      </c>
      <c r="D129" s="1695">
        <f t="shared" ref="D129:L129" si="15">SUM(D120,D127,D128)</f>
        <v>0</v>
      </c>
      <c r="E129" s="1695">
        <f t="shared" si="15"/>
        <v>0</v>
      </c>
      <c r="F129" s="1695">
        <f t="shared" si="15"/>
        <v>0</v>
      </c>
      <c r="G129" s="1695">
        <f t="shared" si="15"/>
        <v>0</v>
      </c>
      <c r="H129" s="1695">
        <f t="shared" si="15"/>
        <v>0</v>
      </c>
      <c r="I129" s="1695">
        <f t="shared" si="15"/>
        <v>0</v>
      </c>
      <c r="J129" s="1695">
        <f t="shared" si="15"/>
        <v>0</v>
      </c>
      <c r="K129" s="1695">
        <f t="shared" si="15"/>
        <v>0</v>
      </c>
      <c r="L129" s="1695">
        <f t="shared" si="15"/>
        <v>0</v>
      </c>
    </row>
    <row r="130" spans="1:14" ht="15.75" customHeight="1" thickTop="1" thickBot="1" x14ac:dyDescent="0.25">
      <c r="A130" s="1628" t="s">
        <v>1096</v>
      </c>
      <c r="B130" s="1629" t="s">
        <v>596</v>
      </c>
      <c r="C130" s="574">
        <v>0</v>
      </c>
      <c r="D130" s="574">
        <v>0</v>
      </c>
      <c r="E130" s="574">
        <v>0</v>
      </c>
      <c r="F130" s="574">
        <v>0</v>
      </c>
      <c r="G130" s="574">
        <v>0</v>
      </c>
      <c r="H130" s="574">
        <v>0</v>
      </c>
      <c r="I130" s="529">
        <v>0</v>
      </c>
      <c r="J130" s="529">
        <v>0</v>
      </c>
      <c r="K130" s="1688">
        <f>SUM(C130:J130)</f>
        <v>0</v>
      </c>
      <c r="L130" s="574">
        <v>0</v>
      </c>
    </row>
    <row r="131" spans="1:14" ht="15.75" customHeight="1" thickTop="1" x14ac:dyDescent="0.2">
      <c r="A131" s="1634" t="s">
        <v>637</v>
      </c>
      <c r="B131" s="1627"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8" t="s">
        <v>517</v>
      </c>
      <c r="B133" s="1860" t="s">
        <v>1953</v>
      </c>
      <c r="C133" s="468"/>
      <c r="D133" s="468"/>
      <c r="E133" s="640">
        <v>0</v>
      </c>
      <c r="F133" s="468"/>
      <c r="G133" s="468"/>
      <c r="H133" s="640">
        <v>0</v>
      </c>
      <c r="I133" s="468"/>
      <c r="J133" s="468"/>
      <c r="K133" s="1840">
        <f>SUM(E133,H133)</f>
        <v>0</v>
      </c>
      <c r="L133" s="640">
        <v>0</v>
      </c>
      <c r="M133" s="206"/>
      <c r="N133" s="206"/>
    </row>
    <row r="134" spans="1:14" x14ac:dyDescent="0.2">
      <c r="A134" s="1522" t="s">
        <v>322</v>
      </c>
      <c r="B134" s="613">
        <v>4120</v>
      </c>
      <c r="C134" s="615"/>
      <c r="D134" s="615"/>
      <c r="E134" s="477">
        <v>0</v>
      </c>
      <c r="F134" s="615"/>
      <c r="G134" s="615"/>
      <c r="H134" s="480">
        <v>0</v>
      </c>
      <c r="I134" s="476"/>
      <c r="J134" s="615"/>
      <c r="K134" s="1690">
        <f>SUM(E134,H134)</f>
        <v>0</v>
      </c>
      <c r="L134" s="640">
        <v>0</v>
      </c>
    </row>
    <row r="135" spans="1:14" x14ac:dyDescent="0.2">
      <c r="A135" s="1522" t="s">
        <v>721</v>
      </c>
      <c r="B135" s="613">
        <v>4140</v>
      </c>
      <c r="C135" s="615"/>
      <c r="D135" s="615"/>
      <c r="E135" s="467">
        <v>0</v>
      </c>
      <c r="F135" s="615"/>
      <c r="G135" s="615"/>
      <c r="H135" s="466">
        <v>0</v>
      </c>
      <c r="I135" s="476"/>
      <c r="J135" s="615"/>
      <c r="K135" s="1690">
        <f>SUM(E135,H135)</f>
        <v>0</v>
      </c>
      <c r="L135" s="466">
        <v>0</v>
      </c>
    </row>
    <row r="136" spans="1:14" x14ac:dyDescent="0.2">
      <c r="A136" s="1526" t="s">
        <v>722</v>
      </c>
      <c r="B136" s="627">
        <v>4190</v>
      </c>
      <c r="C136" s="615"/>
      <c r="D136" s="615"/>
      <c r="E136" s="467">
        <v>0</v>
      </c>
      <c r="F136" s="615"/>
      <c r="G136" s="615"/>
      <c r="H136" s="466">
        <v>0</v>
      </c>
      <c r="I136" s="476"/>
      <c r="J136" s="615"/>
      <c r="K136" s="1690">
        <f>SUM(E136,H136)</f>
        <v>0</v>
      </c>
      <c r="L136" s="466">
        <v>0</v>
      </c>
    </row>
    <row r="137" spans="1:14" ht="12.75" customHeight="1" thickBot="1" x14ac:dyDescent="0.25">
      <c r="A137" s="1686" t="s">
        <v>501</v>
      </c>
      <c r="B137" s="1696">
        <v>4100</v>
      </c>
      <c r="C137" s="615"/>
      <c r="D137" s="615"/>
      <c r="E137" s="1688">
        <f>SUM(E133:E136)</f>
        <v>0</v>
      </c>
      <c r="F137" s="615"/>
      <c r="G137" s="615"/>
      <c r="H137" s="1688">
        <f>SUM(H133:H136)</f>
        <v>0</v>
      </c>
      <c r="I137" s="476"/>
      <c r="J137" s="615"/>
      <c r="K137" s="1688">
        <f>SUM(K133:K136)</f>
        <v>0</v>
      </c>
      <c r="L137" s="1688">
        <f>SUM(L133:L136)</f>
        <v>0</v>
      </c>
    </row>
    <row r="138" spans="1:14" ht="12.75" customHeight="1" thickTop="1" thickBot="1" x14ac:dyDescent="0.25">
      <c r="A138" s="1528" t="s">
        <v>98</v>
      </c>
      <c r="B138" s="642" t="s">
        <v>988</v>
      </c>
      <c r="C138" s="615"/>
      <c r="D138" s="615"/>
      <c r="E138" s="478">
        <v>0</v>
      </c>
      <c r="F138" s="615"/>
      <c r="G138" s="615"/>
      <c r="H138" s="574">
        <v>0</v>
      </c>
      <c r="I138" s="476"/>
      <c r="J138" s="615"/>
      <c r="K138" s="1690">
        <f>SUM(E138,H138)</f>
        <v>0</v>
      </c>
      <c r="L138" s="574">
        <v>0</v>
      </c>
    </row>
    <row r="139" spans="1:14" ht="12.75" customHeight="1" thickTop="1" thickBot="1" x14ac:dyDescent="0.25">
      <c r="A139" s="1686" t="s">
        <v>1567</v>
      </c>
      <c r="B139" s="1696">
        <v>4000</v>
      </c>
      <c r="C139" s="615"/>
      <c r="D139" s="615"/>
      <c r="E139" s="1688">
        <f>SUM(E137,E138)</f>
        <v>0</v>
      </c>
      <c r="F139" s="615"/>
      <c r="G139" s="615"/>
      <c r="H139" s="1697">
        <f>SUM(H137:H138)</f>
        <v>0</v>
      </c>
      <c r="I139" s="476"/>
      <c r="J139" s="615"/>
      <c r="K139" s="1690">
        <f>SUM(K137,K138)</f>
        <v>0</v>
      </c>
      <c r="L139" s="1697">
        <f>SUM(L137,L138)</f>
        <v>0</v>
      </c>
    </row>
    <row r="140" spans="1:14" ht="15.75" customHeight="1" thickTop="1" x14ac:dyDescent="0.2">
      <c r="A140" s="1630" t="s">
        <v>1097</v>
      </c>
      <c r="B140" s="1631"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2" t="s">
        <v>89</v>
      </c>
      <c r="B142" s="613">
        <v>5110</v>
      </c>
      <c r="C142" s="615"/>
      <c r="D142" s="615"/>
      <c r="E142" s="615"/>
      <c r="F142" s="615"/>
      <c r="G142" s="615"/>
      <c r="H142" s="480">
        <v>0</v>
      </c>
      <c r="I142" s="468"/>
      <c r="J142" s="615"/>
      <c r="K142" s="1690">
        <f>SUM(H142)</f>
        <v>0</v>
      </c>
      <c r="L142" s="480">
        <v>0</v>
      </c>
    </row>
    <row r="143" spans="1:14" x14ac:dyDescent="0.2">
      <c r="A143" s="1522" t="s">
        <v>90</v>
      </c>
      <c r="B143" s="613">
        <v>5120</v>
      </c>
      <c r="C143" s="615"/>
      <c r="D143" s="615"/>
      <c r="E143" s="615"/>
      <c r="F143" s="615"/>
      <c r="G143" s="615"/>
      <c r="H143" s="466">
        <v>0</v>
      </c>
      <c r="I143" s="468"/>
      <c r="J143" s="615"/>
      <c r="K143" s="1690">
        <f>SUM(H143)</f>
        <v>0</v>
      </c>
      <c r="L143" s="466">
        <v>0</v>
      </c>
    </row>
    <row r="144" spans="1:14" ht="12.75" customHeight="1" x14ac:dyDescent="0.2">
      <c r="A144" s="1522" t="s">
        <v>1232</v>
      </c>
      <c r="B144" s="627" t="s">
        <v>638</v>
      </c>
      <c r="C144" s="615"/>
      <c r="D144" s="615"/>
      <c r="E144" s="615"/>
      <c r="F144" s="615"/>
      <c r="G144" s="615"/>
      <c r="H144" s="466">
        <v>0</v>
      </c>
      <c r="I144" s="468"/>
      <c r="J144" s="615"/>
      <c r="K144" s="1690">
        <f>SUM(H144)</f>
        <v>0</v>
      </c>
      <c r="L144" s="466">
        <v>0</v>
      </c>
    </row>
    <row r="145" spans="1:14" x14ac:dyDescent="0.2">
      <c r="A145" s="1522" t="s">
        <v>91</v>
      </c>
      <c r="B145" s="613" t="s">
        <v>610</v>
      </c>
      <c r="C145" s="615"/>
      <c r="D145" s="615"/>
      <c r="E145" s="615"/>
      <c r="F145" s="615"/>
      <c r="G145" s="615"/>
      <c r="H145" s="466">
        <v>0</v>
      </c>
      <c r="I145" s="468"/>
      <c r="J145" s="615"/>
      <c r="K145" s="1690">
        <f>SUM(H145)</f>
        <v>0</v>
      </c>
      <c r="L145" s="466">
        <v>0</v>
      </c>
    </row>
    <row r="146" spans="1:14" ht="12.75" customHeight="1" x14ac:dyDescent="0.2">
      <c r="A146" s="1522" t="s">
        <v>640</v>
      </c>
      <c r="B146" s="613" t="s">
        <v>639</v>
      </c>
      <c r="C146" s="615"/>
      <c r="D146" s="615"/>
      <c r="E146" s="615"/>
      <c r="F146" s="615"/>
      <c r="G146" s="615"/>
      <c r="H146" s="466">
        <v>0</v>
      </c>
      <c r="I146" s="468"/>
      <c r="J146" s="615"/>
      <c r="K146" s="1690">
        <f>SUM(H146)</f>
        <v>0</v>
      </c>
      <c r="L146" s="466">
        <v>0</v>
      </c>
    </row>
    <row r="147" spans="1:14" ht="12.75" customHeight="1" thickBot="1" x14ac:dyDescent="0.25">
      <c r="A147" s="1533" t="s">
        <v>647</v>
      </c>
      <c r="B147" s="658" t="s">
        <v>742</v>
      </c>
      <c r="C147" s="615"/>
      <c r="D147" s="615"/>
      <c r="E147" s="615"/>
      <c r="F147" s="615"/>
      <c r="G147" s="615"/>
      <c r="H147" s="1706">
        <f>SUM(H142:H146)</f>
        <v>0</v>
      </c>
      <c r="I147" s="468"/>
      <c r="J147" s="615"/>
      <c r="K147" s="1688">
        <f>SUM(K142:K146)</f>
        <v>0</v>
      </c>
      <c r="L147" s="1706">
        <f>SUM(L142:L146)</f>
        <v>0</v>
      </c>
    </row>
    <row r="148" spans="1:14" ht="15.75" customHeight="1" thickTop="1" x14ac:dyDescent="0.2">
      <c r="A148" s="659" t="s">
        <v>1165</v>
      </c>
      <c r="B148" s="660" t="s">
        <v>38</v>
      </c>
      <c r="C148" s="615"/>
      <c r="D148" s="615"/>
      <c r="E148" s="615"/>
      <c r="F148" s="615"/>
      <c r="G148" s="615"/>
      <c r="H148" s="478">
        <v>0</v>
      </c>
      <c r="I148" s="468"/>
      <c r="J148" s="615"/>
      <c r="K148" s="1690">
        <f>SUM(H148)</f>
        <v>0</v>
      </c>
      <c r="L148" s="490">
        <v>0</v>
      </c>
    </row>
    <row r="149" spans="1:14" ht="12.75" customHeight="1" thickBot="1" x14ac:dyDescent="0.25">
      <c r="A149" s="1525" t="s">
        <v>659</v>
      </c>
      <c r="B149" s="616" t="s">
        <v>513</v>
      </c>
      <c r="C149" s="615"/>
      <c r="D149" s="615"/>
      <c r="E149" s="615"/>
      <c r="F149" s="615"/>
      <c r="G149" s="615"/>
      <c r="H149" s="1688">
        <f>SUM(H147,H148)</f>
        <v>0</v>
      </c>
      <c r="I149" s="468"/>
      <c r="J149" s="615"/>
      <c r="K149" s="1688">
        <f>SUM(K147:K148)</f>
        <v>0</v>
      </c>
      <c r="L149" s="1688">
        <f>SUM(L142:L146,L148)</f>
        <v>0</v>
      </c>
    </row>
    <row r="150" spans="1:14" ht="15.75" customHeight="1" thickTop="1" thickBot="1" x14ac:dyDescent="0.25">
      <c r="A150" s="1624" t="s">
        <v>1098</v>
      </c>
      <c r="B150" s="1631" t="s">
        <v>916</v>
      </c>
      <c r="C150" s="615"/>
      <c r="D150" s="615"/>
      <c r="E150" s="615"/>
      <c r="F150" s="615"/>
      <c r="G150" s="615"/>
      <c r="H150" s="661"/>
      <c r="I150" s="519"/>
      <c r="J150" s="615"/>
      <c r="K150" s="622"/>
      <c r="L150" s="571">
        <v>0</v>
      </c>
    </row>
    <row r="151" spans="1:14" ht="12.75" customHeight="1" thickTop="1" thickBot="1" x14ac:dyDescent="0.25">
      <c r="A151" s="2426" t="s">
        <v>641</v>
      </c>
      <c r="B151" s="2408"/>
      <c r="C151" s="1688">
        <f>SUM(C129,C130,C139,C149,C150)</f>
        <v>0</v>
      </c>
      <c r="D151" s="1688">
        <f t="shared" ref="D151:K151" si="16">SUM(D129,D130,D139,D149,D150)</f>
        <v>0</v>
      </c>
      <c r="E151" s="1688">
        <f t="shared" si="16"/>
        <v>0</v>
      </c>
      <c r="F151" s="1688">
        <f t="shared" si="16"/>
        <v>0</v>
      </c>
      <c r="G151" s="1688">
        <f t="shared" si="16"/>
        <v>0</v>
      </c>
      <c r="H151" s="1688">
        <f t="shared" si="16"/>
        <v>0</v>
      </c>
      <c r="I151" s="1688">
        <f t="shared" si="16"/>
        <v>0</v>
      </c>
      <c r="J151" s="1688">
        <f t="shared" si="16"/>
        <v>0</v>
      </c>
      <c r="K151" s="1688">
        <f t="shared" si="16"/>
        <v>0</v>
      </c>
      <c r="L151" s="1688">
        <f>SUM(L129,L130,L139,L149,L150)</f>
        <v>0</v>
      </c>
    </row>
    <row r="152" spans="1:14" ht="12.75" customHeight="1" thickTop="1" x14ac:dyDescent="0.2">
      <c r="A152" s="2429" t="s">
        <v>1240</v>
      </c>
      <c r="B152" s="2430"/>
      <c r="C152" s="617"/>
      <c r="D152" s="617"/>
      <c r="E152" s="617"/>
      <c r="F152" s="617"/>
      <c r="G152" s="617"/>
      <c r="H152" s="617"/>
      <c r="I152" s="617"/>
      <c r="J152" s="615"/>
      <c r="K152" s="1702">
        <f>'Revenues 9-14'!D275-'Expenditures 15-22'!K151</f>
        <v>0</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414" t="s">
        <v>642</v>
      </c>
      <c r="B154" s="2416"/>
      <c r="C154" s="1644"/>
      <c r="D154" s="1645"/>
      <c r="E154" s="1645"/>
      <c r="F154" s="1645"/>
      <c r="G154" s="1645"/>
      <c r="H154" s="1645"/>
      <c r="I154" s="1645"/>
      <c r="J154" s="1645"/>
      <c r="K154" s="1645"/>
      <c r="L154" s="1646"/>
      <c r="M154" s="666"/>
      <c r="N154" s="666"/>
    </row>
    <row r="155" spans="1:14" s="619" customFormat="1" ht="15.75" customHeight="1" thickBot="1" x14ac:dyDescent="0.25">
      <c r="A155" s="1635" t="s">
        <v>83</v>
      </c>
      <c r="B155" s="1636" t="s">
        <v>915</v>
      </c>
      <c r="C155" s="615"/>
      <c r="D155" s="615"/>
      <c r="E155" s="615"/>
      <c r="F155" s="615"/>
      <c r="G155" s="615"/>
      <c r="H155" s="1861"/>
      <c r="I155" s="615"/>
      <c r="J155" s="615"/>
      <c r="K155" s="1844"/>
      <c r="L155" s="1861"/>
      <c r="M155" s="618"/>
      <c r="N155" s="618"/>
    </row>
    <row r="156" spans="1:14" s="619" customFormat="1" ht="15.75" customHeight="1" thickTop="1" x14ac:dyDescent="0.2">
      <c r="A156" s="1841" t="s">
        <v>1954</v>
      </c>
      <c r="B156" s="1842"/>
      <c r="C156" s="615"/>
      <c r="D156" s="615"/>
      <c r="E156" s="615"/>
      <c r="F156" s="615"/>
      <c r="G156" s="615"/>
      <c r="H156" s="1862"/>
      <c r="I156" s="615"/>
      <c r="J156" s="615"/>
      <c r="K156" s="1843"/>
      <c r="L156" s="1862"/>
      <c r="M156" s="618"/>
      <c r="N156" s="618"/>
    </row>
    <row r="157" spans="1:14" s="619" customFormat="1" ht="12" x14ac:dyDescent="0.2">
      <c r="A157" s="1845" t="s">
        <v>517</v>
      </c>
      <c r="B157" s="1846" t="s">
        <v>1953</v>
      </c>
      <c r="C157" s="615"/>
      <c r="D157" s="615"/>
      <c r="E157" s="615"/>
      <c r="F157" s="615"/>
      <c r="G157" s="615"/>
      <c r="H157" s="640">
        <v>0</v>
      </c>
      <c r="I157" s="615"/>
      <c r="J157" s="615"/>
      <c r="K157" s="1689">
        <f>H157</f>
        <v>0</v>
      </c>
      <c r="L157" s="640">
        <v>0</v>
      </c>
      <c r="M157" s="618"/>
      <c r="N157" s="618"/>
    </row>
    <row r="158" spans="1:14" s="619" customFormat="1" ht="12" x14ac:dyDescent="0.2">
      <c r="A158" s="1845" t="s">
        <v>322</v>
      </c>
      <c r="B158" s="1846" t="s">
        <v>1955</v>
      </c>
      <c r="C158" s="615"/>
      <c r="D158" s="615"/>
      <c r="E158" s="615"/>
      <c r="F158" s="615"/>
      <c r="G158" s="615"/>
      <c r="H158" s="467">
        <v>0</v>
      </c>
      <c r="I158" s="615"/>
      <c r="J158" s="615"/>
      <c r="K158" s="1689">
        <f>H158</f>
        <v>0</v>
      </c>
      <c r="L158" s="467">
        <v>0</v>
      </c>
      <c r="M158" s="618"/>
      <c r="N158" s="618"/>
    </row>
    <row r="159" spans="1:14" s="619" customFormat="1" ht="12" x14ac:dyDescent="0.2">
      <c r="A159" s="1845" t="s">
        <v>1956</v>
      </c>
      <c r="B159" s="1846" t="s">
        <v>579</v>
      </c>
      <c r="C159" s="615"/>
      <c r="D159" s="615"/>
      <c r="E159" s="615"/>
      <c r="F159" s="615"/>
      <c r="G159" s="615"/>
      <c r="H159" s="467">
        <v>0</v>
      </c>
      <c r="I159" s="615"/>
      <c r="J159" s="615"/>
      <c r="K159" s="1689">
        <f>H159</f>
        <v>0</v>
      </c>
      <c r="L159" s="467">
        <v>0</v>
      </c>
      <c r="M159" s="618"/>
      <c r="N159" s="618"/>
    </row>
    <row r="160" spans="1:14" s="619" customFormat="1" ht="15.75" customHeight="1" thickBot="1" x14ac:dyDescent="0.25">
      <c r="A160" s="1847" t="s">
        <v>1957</v>
      </c>
      <c r="B160" s="1848" t="s">
        <v>915</v>
      </c>
      <c r="C160" s="615"/>
      <c r="D160" s="615"/>
      <c r="E160" s="615"/>
      <c r="F160" s="615"/>
      <c r="G160" s="615"/>
      <c r="H160" s="1706">
        <f>SUM(H157:H159)</f>
        <v>0</v>
      </c>
      <c r="I160" s="615"/>
      <c r="J160" s="615"/>
      <c r="K160" s="1688">
        <f>SUM(K157:K159)</f>
        <v>0</v>
      </c>
      <c r="L160" s="1706">
        <f>SUM(L157:L159)</f>
        <v>0</v>
      </c>
      <c r="M160" s="618"/>
      <c r="N160" s="618"/>
    </row>
    <row r="161" spans="1:14" s="259" customFormat="1" ht="15.75" customHeight="1" thickTop="1" x14ac:dyDescent="0.2">
      <c r="A161" s="1630" t="s">
        <v>84</v>
      </c>
      <c r="B161" s="1631"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2" t="s">
        <v>89</v>
      </c>
      <c r="B163" s="613">
        <v>5110</v>
      </c>
      <c r="C163" s="615"/>
      <c r="D163" s="615"/>
      <c r="E163" s="615"/>
      <c r="F163" s="615"/>
      <c r="G163" s="615"/>
      <c r="H163" s="640">
        <v>0</v>
      </c>
      <c r="I163" s="615"/>
      <c r="J163" s="615"/>
      <c r="K163" s="1689">
        <f>SUM(C163:J163)</f>
        <v>0</v>
      </c>
      <c r="L163" s="640">
        <v>0</v>
      </c>
    </row>
    <row r="164" spans="1:14" x14ac:dyDescent="0.2">
      <c r="A164" s="1522" t="s">
        <v>90</v>
      </c>
      <c r="B164" s="613">
        <v>5120</v>
      </c>
      <c r="C164" s="615"/>
      <c r="D164" s="615"/>
      <c r="E164" s="615"/>
      <c r="F164" s="615"/>
      <c r="G164" s="615"/>
      <c r="H164" s="466">
        <v>0</v>
      </c>
      <c r="I164" s="615"/>
      <c r="J164" s="615"/>
      <c r="K164" s="1689">
        <f>SUM(C164:J164)</f>
        <v>0</v>
      </c>
      <c r="L164" s="466">
        <v>0</v>
      </c>
    </row>
    <row r="165" spans="1:14" ht="12.75" customHeight="1" x14ac:dyDescent="0.2">
      <c r="A165" s="1522" t="s">
        <v>1232</v>
      </c>
      <c r="B165" s="613" t="s">
        <v>638</v>
      </c>
      <c r="C165" s="615"/>
      <c r="D165" s="615"/>
      <c r="E165" s="615"/>
      <c r="F165" s="615"/>
      <c r="G165" s="615"/>
      <c r="H165" s="466">
        <v>0</v>
      </c>
      <c r="I165" s="615"/>
      <c r="J165" s="615"/>
      <c r="K165" s="1689">
        <f>SUM(C165:J165)</f>
        <v>0</v>
      </c>
      <c r="L165" s="466">
        <v>0</v>
      </c>
    </row>
    <row r="166" spans="1:14" x14ac:dyDescent="0.2">
      <c r="A166" s="1522" t="s">
        <v>91</v>
      </c>
      <c r="B166" s="627" t="s">
        <v>610</v>
      </c>
      <c r="C166" s="615"/>
      <c r="D166" s="615"/>
      <c r="E166" s="615"/>
      <c r="F166" s="615"/>
      <c r="G166" s="615"/>
      <c r="H166" s="466">
        <v>0</v>
      </c>
      <c r="I166" s="615"/>
      <c r="J166" s="615"/>
      <c r="K166" s="1689">
        <f>SUM(C166:J166)</f>
        <v>0</v>
      </c>
      <c r="L166" s="466">
        <v>0</v>
      </c>
    </row>
    <row r="167" spans="1:14" ht="12.75" customHeight="1" x14ac:dyDescent="0.2">
      <c r="A167" s="1522" t="s">
        <v>640</v>
      </c>
      <c r="B167" s="613" t="s">
        <v>639</v>
      </c>
      <c r="C167" s="615"/>
      <c r="D167" s="615"/>
      <c r="E167" s="615"/>
      <c r="F167" s="615"/>
      <c r="G167" s="615"/>
      <c r="H167" s="466">
        <v>0</v>
      </c>
      <c r="I167" s="615"/>
      <c r="J167" s="615"/>
      <c r="K167" s="1689">
        <f>SUM(C167:J167)</f>
        <v>0</v>
      </c>
      <c r="L167" s="466">
        <v>0</v>
      </c>
    </row>
    <row r="168" spans="1:14" ht="13.5" thickBot="1" x14ac:dyDescent="0.25">
      <c r="A168" s="1686" t="s">
        <v>294</v>
      </c>
      <c r="B168" s="1693" t="s">
        <v>742</v>
      </c>
      <c r="C168" s="615"/>
      <c r="D168" s="615"/>
      <c r="E168" s="615"/>
      <c r="F168" s="615"/>
      <c r="G168" s="615"/>
      <c r="H168" s="1688">
        <f>SUM(H163:H167)</f>
        <v>0</v>
      </c>
      <c r="I168" s="615"/>
      <c r="J168" s="615"/>
      <c r="K168" s="1688">
        <f>SUM(K163:K167)</f>
        <v>0</v>
      </c>
      <c r="L168" s="1688">
        <f>SUM(L163:L167)</f>
        <v>0</v>
      </c>
    </row>
    <row r="169" spans="1:14" ht="15.75" customHeight="1" thickTop="1" x14ac:dyDescent="0.2">
      <c r="A169" s="668" t="s">
        <v>85</v>
      </c>
      <c r="B169" s="669" t="s">
        <v>38</v>
      </c>
      <c r="C169" s="615"/>
      <c r="D169" s="615"/>
      <c r="E169" s="615"/>
      <c r="F169" s="615"/>
      <c r="G169" s="615"/>
      <c r="H169" s="655">
        <v>0</v>
      </c>
      <c r="I169" s="615"/>
      <c r="J169" s="615"/>
      <c r="K169" s="1689">
        <f>SUM(C169:H169)</f>
        <v>0</v>
      </c>
      <c r="L169" s="655">
        <v>0</v>
      </c>
    </row>
    <row r="170" spans="1:14" ht="33.75" customHeight="1" x14ac:dyDescent="0.2">
      <c r="A170" s="668" t="s">
        <v>1769</v>
      </c>
      <c r="B170" s="670" t="s">
        <v>31</v>
      </c>
      <c r="C170" s="615"/>
      <c r="D170" s="615"/>
      <c r="E170" s="615"/>
      <c r="F170" s="615"/>
      <c r="G170" s="615"/>
      <c r="H170" s="567">
        <v>0</v>
      </c>
      <c r="I170" s="615"/>
      <c r="J170" s="615"/>
      <c r="K170" s="1689">
        <f>SUM(C170:J170)</f>
        <v>0</v>
      </c>
      <c r="L170" s="567">
        <v>0</v>
      </c>
    </row>
    <row r="171" spans="1:14" ht="15.75" customHeight="1" x14ac:dyDescent="0.2">
      <c r="A171" s="620" t="s">
        <v>790</v>
      </c>
      <c r="B171" s="671" t="s">
        <v>86</v>
      </c>
      <c r="C171" s="615"/>
      <c r="D171" s="615"/>
      <c r="E171" s="466">
        <v>0</v>
      </c>
      <c r="F171" s="615"/>
      <c r="G171" s="615"/>
      <c r="H171" s="567">
        <v>0</v>
      </c>
      <c r="I171" s="476"/>
      <c r="J171" s="615"/>
      <c r="K171" s="1689">
        <f>SUM(C171:J171)</f>
        <v>0</v>
      </c>
      <c r="L171" s="567">
        <v>0</v>
      </c>
    </row>
    <row r="172" spans="1:14" ht="12.75" customHeight="1" thickBot="1" x14ac:dyDescent="0.25">
      <c r="A172" s="1686" t="s">
        <v>659</v>
      </c>
      <c r="B172" s="1687" t="s">
        <v>513</v>
      </c>
      <c r="C172" s="615"/>
      <c r="D172" s="615"/>
      <c r="E172" s="1695">
        <f>SUM(E168,E169,E170,E171)</f>
        <v>0</v>
      </c>
      <c r="F172" s="615"/>
      <c r="G172" s="615"/>
      <c r="H172" s="1695">
        <f>SUM(H168,H169,H170,H171)</f>
        <v>0</v>
      </c>
      <c r="I172" s="637"/>
      <c r="J172" s="615"/>
      <c r="K172" s="1695">
        <f>SUM(K168,K169,K170,K171)</f>
        <v>0</v>
      </c>
      <c r="L172" s="1695">
        <f>SUM(L168,L169,L170,L171)</f>
        <v>0</v>
      </c>
    </row>
    <row r="173" spans="1:14" ht="15.75" customHeight="1" thickTop="1" thickBot="1" x14ac:dyDescent="0.25">
      <c r="A173" s="1637" t="s">
        <v>87</v>
      </c>
      <c r="B173" s="1629" t="s">
        <v>916</v>
      </c>
      <c r="C173" s="615"/>
      <c r="D173" s="615"/>
      <c r="E173" s="622"/>
      <c r="F173" s="615"/>
      <c r="G173" s="615"/>
      <c r="H173" s="625"/>
      <c r="I173" s="637"/>
      <c r="J173" s="615"/>
      <c r="K173" s="622"/>
      <c r="L173" s="574">
        <v>0</v>
      </c>
    </row>
    <row r="174" spans="1:14" ht="12.75" customHeight="1" thickTop="1" thickBot="1" x14ac:dyDescent="0.25">
      <c r="A174" s="1707" t="s">
        <v>92</v>
      </c>
      <c r="B174" s="1708"/>
      <c r="C174" s="615"/>
      <c r="D174" s="615"/>
      <c r="E174" s="1695">
        <f>SUM(E155,E172,E173)</f>
        <v>0</v>
      </c>
      <c r="F174" s="615"/>
      <c r="G174" s="615"/>
      <c r="H174" s="1695">
        <f>SUM(H160,H172,H173)</f>
        <v>0</v>
      </c>
      <c r="I174" s="637"/>
      <c r="J174" s="615"/>
      <c r="K174" s="1695">
        <f>SUM(K160,K172,K173)</f>
        <v>0</v>
      </c>
      <c r="L174" s="1695">
        <f>SUM(L160,L172,L173)</f>
        <v>0</v>
      </c>
    </row>
    <row r="175" spans="1:14" ht="13.5" thickTop="1" x14ac:dyDescent="0.2">
      <c r="A175" s="2436" t="s">
        <v>1053</v>
      </c>
      <c r="B175" s="2437"/>
      <c r="C175" s="615"/>
      <c r="D175" s="615"/>
      <c r="E175" s="615"/>
      <c r="F175" s="615"/>
      <c r="G175" s="615"/>
      <c r="H175" s="617"/>
      <c r="I175" s="615"/>
      <c r="J175" s="615"/>
      <c r="K175" s="1702">
        <f>'Revenues 9-14'!E275-'Expenditures 15-22'!K174</f>
        <v>0</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2" t="s">
        <v>994</v>
      </c>
      <c r="B177" s="1573"/>
      <c r="C177" s="1569"/>
      <c r="D177" s="1570"/>
      <c r="E177" s="1570"/>
      <c r="F177" s="1570"/>
      <c r="G177" s="1570"/>
      <c r="H177" s="1570"/>
      <c r="I177" s="1570"/>
      <c r="J177" s="1570"/>
      <c r="K177" s="1570"/>
      <c r="L177" s="1571"/>
      <c r="M177" s="608"/>
      <c r="N177" s="608"/>
    </row>
    <row r="178" spans="1:14" s="673" customFormat="1" ht="15.75" customHeight="1" x14ac:dyDescent="0.2">
      <c r="A178" s="1638" t="s">
        <v>995</v>
      </c>
      <c r="B178" s="1639"/>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2" t="s">
        <v>167</v>
      </c>
      <c r="B180" s="613">
        <v>2190</v>
      </c>
      <c r="C180" s="466">
        <v>0</v>
      </c>
      <c r="D180" s="466">
        <v>0</v>
      </c>
      <c r="E180" s="466">
        <v>0</v>
      </c>
      <c r="F180" s="466">
        <v>0</v>
      </c>
      <c r="G180" s="466">
        <v>0</v>
      </c>
      <c r="H180" s="466">
        <v>0</v>
      </c>
      <c r="I180" s="467">
        <v>0</v>
      </c>
      <c r="J180" s="467">
        <v>0</v>
      </c>
      <c r="K180" s="1689">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2" t="s">
        <v>1010</v>
      </c>
      <c r="B182" s="613">
        <v>2550</v>
      </c>
      <c r="C182" s="467">
        <v>0</v>
      </c>
      <c r="D182" s="467">
        <v>0</v>
      </c>
      <c r="E182" s="467">
        <v>0</v>
      </c>
      <c r="F182" s="467">
        <v>0</v>
      </c>
      <c r="G182" s="467">
        <v>0</v>
      </c>
      <c r="H182" s="466">
        <v>0</v>
      </c>
      <c r="I182" s="467">
        <v>0</v>
      </c>
      <c r="J182" s="467">
        <v>0</v>
      </c>
      <c r="K182" s="1689">
        <f>SUM(C182:J182)</f>
        <v>0</v>
      </c>
      <c r="L182" s="466">
        <v>0</v>
      </c>
    </row>
    <row r="183" spans="1:14" ht="12.75" customHeight="1" thickBot="1" x14ac:dyDescent="0.25">
      <c r="A183" s="1527" t="s">
        <v>1037</v>
      </c>
      <c r="B183" s="676">
        <v>2900</v>
      </c>
      <c r="C183" s="571">
        <v>0</v>
      </c>
      <c r="D183" s="571">
        <v>0</v>
      </c>
      <c r="E183" s="571">
        <v>0</v>
      </c>
      <c r="F183" s="571">
        <v>0</v>
      </c>
      <c r="G183" s="571">
        <v>0</v>
      </c>
      <c r="H183" s="571">
        <v>0</v>
      </c>
      <c r="I183" s="530">
        <v>0</v>
      </c>
      <c r="J183" s="530">
        <v>0</v>
      </c>
      <c r="K183" s="1695">
        <f>SUM(C183:J183)</f>
        <v>0</v>
      </c>
      <c r="L183" s="571">
        <v>0</v>
      </c>
    </row>
    <row r="184" spans="1:14" ht="12.75" customHeight="1" thickTop="1" thickBot="1" x14ac:dyDescent="0.25">
      <c r="A184" s="1709" t="s">
        <v>865</v>
      </c>
      <c r="B184" s="1687" t="s">
        <v>590</v>
      </c>
      <c r="C184" s="1695">
        <f>SUM(C180,C182,C183)</f>
        <v>0</v>
      </c>
      <c r="D184" s="1695">
        <f t="shared" ref="D184:J184" si="17">SUM(D180,D182,D183)</f>
        <v>0</v>
      </c>
      <c r="E184" s="1695">
        <f t="shared" si="17"/>
        <v>0</v>
      </c>
      <c r="F184" s="1695">
        <f t="shared" si="17"/>
        <v>0</v>
      </c>
      <c r="G184" s="1695">
        <f t="shared" si="17"/>
        <v>0</v>
      </c>
      <c r="H184" s="1695">
        <f t="shared" si="17"/>
        <v>0</v>
      </c>
      <c r="I184" s="1695">
        <f t="shared" si="17"/>
        <v>0</v>
      </c>
      <c r="J184" s="1695">
        <f t="shared" si="17"/>
        <v>0</v>
      </c>
      <c r="K184" s="1695">
        <f>SUM(K180,K182,K183)</f>
        <v>0</v>
      </c>
      <c r="L184" s="1695">
        <f>SUM(L180, L182:L183)</f>
        <v>0</v>
      </c>
    </row>
    <row r="185" spans="1:14" ht="15.75" customHeight="1" thickTop="1" thickBot="1" x14ac:dyDescent="0.25">
      <c r="A185" s="1640" t="s">
        <v>996</v>
      </c>
      <c r="B185" s="1629">
        <v>3000</v>
      </c>
      <c r="C185" s="574">
        <v>0</v>
      </c>
      <c r="D185" s="574">
        <v>0</v>
      </c>
      <c r="E185" s="574">
        <v>0</v>
      </c>
      <c r="F185" s="574">
        <v>0</v>
      </c>
      <c r="G185" s="574">
        <v>0</v>
      </c>
      <c r="H185" s="574">
        <v>0</v>
      </c>
      <c r="I185" s="529">
        <v>0</v>
      </c>
      <c r="J185" s="529">
        <v>0</v>
      </c>
      <c r="K185" s="1688">
        <f>SUM(C185:J185)</f>
        <v>0</v>
      </c>
      <c r="L185" s="574">
        <v>0</v>
      </c>
    </row>
    <row r="186" spans="1:14" s="673" customFormat="1" ht="15.75" customHeight="1" thickTop="1" x14ac:dyDescent="0.2">
      <c r="A186" s="1624" t="s">
        <v>93</v>
      </c>
      <c r="B186" s="1627"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2" t="s">
        <v>517</v>
      </c>
      <c r="B188" s="613">
        <v>4110</v>
      </c>
      <c r="C188" s="615"/>
      <c r="D188" s="615"/>
      <c r="E188" s="466">
        <v>0</v>
      </c>
      <c r="F188" s="615"/>
      <c r="G188" s="615"/>
      <c r="H188" s="466">
        <v>0</v>
      </c>
      <c r="I188" s="476"/>
      <c r="J188" s="615"/>
      <c r="K188" s="1689">
        <f t="shared" ref="K188:K193" si="18">SUM(E188,H188)</f>
        <v>0</v>
      </c>
      <c r="L188" s="466">
        <v>0</v>
      </c>
    </row>
    <row r="189" spans="1:14" x14ac:dyDescent="0.2">
      <c r="A189" s="1522" t="s">
        <v>322</v>
      </c>
      <c r="B189" s="613">
        <v>4120</v>
      </c>
      <c r="C189" s="615"/>
      <c r="D189" s="615"/>
      <c r="E189" s="466">
        <v>0</v>
      </c>
      <c r="F189" s="615"/>
      <c r="G189" s="615"/>
      <c r="H189" s="466">
        <v>0</v>
      </c>
      <c r="I189" s="476"/>
      <c r="J189" s="615"/>
      <c r="K189" s="1689">
        <f t="shared" si="18"/>
        <v>0</v>
      </c>
      <c r="L189" s="466">
        <v>0</v>
      </c>
    </row>
    <row r="190" spans="1:14" x14ac:dyDescent="0.2">
      <c r="A190" s="1522" t="s">
        <v>323</v>
      </c>
      <c r="B190" s="627">
        <v>4130</v>
      </c>
      <c r="C190" s="615"/>
      <c r="D190" s="615"/>
      <c r="E190" s="466">
        <v>0</v>
      </c>
      <c r="F190" s="615"/>
      <c r="G190" s="615"/>
      <c r="H190" s="466">
        <v>0</v>
      </c>
      <c r="I190" s="476"/>
      <c r="J190" s="615"/>
      <c r="K190" s="1689">
        <f t="shared" si="18"/>
        <v>0</v>
      </c>
      <c r="L190" s="466">
        <v>0</v>
      </c>
    </row>
    <row r="191" spans="1:14" x14ac:dyDescent="0.2">
      <c r="A191" s="1522" t="s">
        <v>721</v>
      </c>
      <c r="B191" s="613">
        <v>4140</v>
      </c>
      <c r="C191" s="615"/>
      <c r="D191" s="615"/>
      <c r="E191" s="466">
        <v>0</v>
      </c>
      <c r="F191" s="615"/>
      <c r="G191" s="615"/>
      <c r="H191" s="466">
        <v>0</v>
      </c>
      <c r="I191" s="476"/>
      <c r="J191" s="615"/>
      <c r="K191" s="1689">
        <f t="shared" si="18"/>
        <v>0</v>
      </c>
      <c r="L191" s="466">
        <v>0</v>
      </c>
    </row>
    <row r="192" spans="1:14" x14ac:dyDescent="0.2">
      <c r="A192" s="1522" t="s">
        <v>88</v>
      </c>
      <c r="B192" s="613">
        <v>4170</v>
      </c>
      <c r="C192" s="615"/>
      <c r="D192" s="615"/>
      <c r="E192" s="466">
        <v>0</v>
      </c>
      <c r="F192" s="615"/>
      <c r="G192" s="615"/>
      <c r="H192" s="466">
        <v>0</v>
      </c>
      <c r="I192" s="476"/>
      <c r="J192" s="615"/>
      <c r="K192" s="1689">
        <f t="shared" si="18"/>
        <v>0</v>
      </c>
      <c r="L192" s="466">
        <v>0</v>
      </c>
    </row>
    <row r="193" spans="1:14" x14ac:dyDescent="0.2">
      <c r="A193" s="1526" t="s">
        <v>722</v>
      </c>
      <c r="B193" s="627">
        <v>4190</v>
      </c>
      <c r="C193" s="615"/>
      <c r="D193" s="615"/>
      <c r="E193" s="466">
        <v>0</v>
      </c>
      <c r="F193" s="615"/>
      <c r="G193" s="615"/>
      <c r="H193" s="466">
        <v>0</v>
      </c>
      <c r="I193" s="476"/>
      <c r="J193" s="615"/>
      <c r="K193" s="1689">
        <f t="shared" si="18"/>
        <v>0</v>
      </c>
      <c r="L193" s="466">
        <v>0</v>
      </c>
    </row>
    <row r="194" spans="1:14" ht="12.75" customHeight="1" thickBot="1" x14ac:dyDescent="0.25">
      <c r="A194" s="1686" t="s">
        <v>1202</v>
      </c>
      <c r="B194" s="1687" t="s">
        <v>580</v>
      </c>
      <c r="C194" s="615"/>
      <c r="D194" s="615"/>
      <c r="E194" s="1688">
        <f>SUM(E188:E193)</f>
        <v>0</v>
      </c>
      <c r="F194" s="615"/>
      <c r="G194" s="615"/>
      <c r="H194" s="1688">
        <f>SUM(H188:H193)</f>
        <v>0</v>
      </c>
      <c r="I194" s="476"/>
      <c r="J194" s="615"/>
      <c r="K194" s="1688">
        <f>SUM(K188:K193)</f>
        <v>0</v>
      </c>
      <c r="L194" s="1688">
        <f>SUM(L188:L193)</f>
        <v>0</v>
      </c>
    </row>
    <row r="195" spans="1:14" ht="15.75" customHeight="1" thickTop="1" x14ac:dyDescent="0.2">
      <c r="A195" s="668" t="s">
        <v>94</v>
      </c>
      <c r="B195" s="677" t="s">
        <v>988</v>
      </c>
      <c r="C195" s="615"/>
      <c r="D195" s="615"/>
      <c r="E195" s="655">
        <v>0</v>
      </c>
      <c r="F195" s="615"/>
      <c r="G195" s="615"/>
      <c r="H195" s="655">
        <v>0</v>
      </c>
      <c r="I195" s="476"/>
      <c r="J195" s="615"/>
      <c r="K195" s="1703">
        <f>SUM(E195,H195)</f>
        <v>0</v>
      </c>
      <c r="L195" s="655">
        <v>0</v>
      </c>
    </row>
    <row r="196" spans="1:14" ht="12.75" customHeight="1" thickBot="1" x14ac:dyDescent="0.25">
      <c r="A196" s="1686" t="s">
        <v>1567</v>
      </c>
      <c r="B196" s="1687" t="s">
        <v>915</v>
      </c>
      <c r="C196" s="615"/>
      <c r="D196" s="615"/>
      <c r="E196" s="1695">
        <f>SUM(E194,E195)</f>
        <v>0</v>
      </c>
      <c r="F196" s="615"/>
      <c r="G196" s="615"/>
      <c r="H196" s="1695">
        <f>SUM(H194,H195)</f>
        <v>0</v>
      </c>
      <c r="I196" s="476"/>
      <c r="J196" s="615"/>
      <c r="K196" s="1695">
        <f>SUM(K194,K195)</f>
        <v>0</v>
      </c>
      <c r="L196" s="1695">
        <f>SUM(L194,L195)</f>
        <v>0</v>
      </c>
    </row>
    <row r="197" spans="1:14" s="673" customFormat="1" ht="15.75" customHeight="1" thickTop="1" x14ac:dyDescent="0.2">
      <c r="A197" s="1630" t="s">
        <v>997</v>
      </c>
      <c r="B197" s="1627"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2" t="s">
        <v>89</v>
      </c>
      <c r="B199" s="613">
        <v>5110</v>
      </c>
      <c r="C199" s="615"/>
      <c r="D199" s="615"/>
      <c r="E199" s="615"/>
      <c r="F199" s="615"/>
      <c r="G199" s="615"/>
      <c r="H199" s="466">
        <v>0</v>
      </c>
      <c r="I199" s="615"/>
      <c r="J199" s="615"/>
      <c r="K199" s="1689">
        <f>SUM(H199)</f>
        <v>0</v>
      </c>
      <c r="L199" s="466">
        <v>0</v>
      </c>
    </row>
    <row r="200" spans="1:14" x14ac:dyDescent="0.2">
      <c r="A200" s="1522" t="s">
        <v>90</v>
      </c>
      <c r="B200" s="613">
        <v>5120</v>
      </c>
      <c r="C200" s="615"/>
      <c r="D200" s="615"/>
      <c r="E200" s="615"/>
      <c r="F200" s="615"/>
      <c r="G200" s="615"/>
      <c r="H200" s="466">
        <v>0</v>
      </c>
      <c r="I200" s="615"/>
      <c r="J200" s="615"/>
      <c r="K200" s="1689">
        <f>SUM(H200)</f>
        <v>0</v>
      </c>
      <c r="L200" s="466">
        <v>0</v>
      </c>
    </row>
    <row r="201" spans="1:14" ht="12.75" customHeight="1" x14ac:dyDescent="0.2">
      <c r="A201" s="1522" t="s">
        <v>1232</v>
      </c>
      <c r="B201" s="627" t="s">
        <v>638</v>
      </c>
      <c r="C201" s="615"/>
      <c r="D201" s="615"/>
      <c r="E201" s="615"/>
      <c r="F201" s="615"/>
      <c r="G201" s="615"/>
      <c r="H201" s="466">
        <v>0</v>
      </c>
      <c r="I201" s="615"/>
      <c r="J201" s="615"/>
      <c r="K201" s="1689">
        <f>SUM(H201)</f>
        <v>0</v>
      </c>
      <c r="L201" s="466">
        <v>0</v>
      </c>
    </row>
    <row r="202" spans="1:14" x14ac:dyDescent="0.2">
      <c r="A202" s="1522" t="s">
        <v>91</v>
      </c>
      <c r="B202" s="613" t="s">
        <v>610</v>
      </c>
      <c r="C202" s="615"/>
      <c r="D202" s="615"/>
      <c r="E202" s="615"/>
      <c r="F202" s="615"/>
      <c r="G202" s="615"/>
      <c r="H202" s="466">
        <v>0</v>
      </c>
      <c r="I202" s="615"/>
      <c r="J202" s="615"/>
      <c r="K202" s="1689">
        <f>SUM(H202)</f>
        <v>0</v>
      </c>
      <c r="L202" s="466">
        <v>0</v>
      </c>
    </row>
    <row r="203" spans="1:14" x14ac:dyDescent="0.2">
      <c r="A203" s="1534" t="s">
        <v>640</v>
      </c>
      <c r="B203" s="613" t="s">
        <v>639</v>
      </c>
      <c r="C203" s="615"/>
      <c r="D203" s="615"/>
      <c r="E203" s="615"/>
      <c r="F203" s="615"/>
      <c r="G203" s="615"/>
      <c r="H203" s="471">
        <v>0</v>
      </c>
      <c r="I203" s="615"/>
      <c r="J203" s="615"/>
      <c r="K203" s="1689">
        <f>SUM(H203)</f>
        <v>0</v>
      </c>
      <c r="L203" s="471">
        <v>0</v>
      </c>
    </row>
    <row r="204" spans="1:14" ht="13.5" thickBot="1" x14ac:dyDescent="0.25">
      <c r="A204" s="1686" t="s">
        <v>294</v>
      </c>
      <c r="B204" s="1687" t="s">
        <v>742</v>
      </c>
      <c r="C204" s="615"/>
      <c r="D204" s="615"/>
      <c r="E204" s="615"/>
      <c r="F204" s="615"/>
      <c r="G204" s="615"/>
      <c r="H204" s="1688">
        <f>SUM(H199:H203)</f>
        <v>0</v>
      </c>
      <c r="I204" s="615"/>
      <c r="J204" s="615"/>
      <c r="K204" s="1688">
        <f>SUM(K199:K203)</f>
        <v>0</v>
      </c>
      <c r="L204" s="1688">
        <f>SUM(L199:L203)</f>
        <v>0</v>
      </c>
    </row>
    <row r="205" spans="1:14" ht="15.75" customHeight="1" thickTop="1" x14ac:dyDescent="0.2">
      <c r="A205" s="678" t="s">
        <v>85</v>
      </c>
      <c r="B205" s="679" t="s">
        <v>38</v>
      </c>
      <c r="C205" s="615"/>
      <c r="D205" s="615"/>
      <c r="E205" s="615"/>
      <c r="F205" s="615"/>
      <c r="G205" s="615"/>
      <c r="H205" s="533">
        <v>0</v>
      </c>
      <c r="I205" s="615"/>
      <c r="J205" s="615"/>
      <c r="K205" s="1703">
        <f>SUM(H205)</f>
        <v>0</v>
      </c>
      <c r="L205" s="533">
        <v>0</v>
      </c>
    </row>
    <row r="206" spans="1:14" ht="30" customHeight="1" x14ac:dyDescent="0.2">
      <c r="A206" s="680" t="s">
        <v>1770</v>
      </c>
      <c r="B206" s="671" t="s">
        <v>31</v>
      </c>
      <c r="C206" s="615"/>
      <c r="D206" s="615"/>
      <c r="E206" s="615"/>
      <c r="F206" s="615"/>
      <c r="G206" s="615"/>
      <c r="H206" s="466">
        <v>0</v>
      </c>
      <c r="I206" s="615"/>
      <c r="J206" s="615"/>
      <c r="K206" s="1689">
        <f>SUM(H206)</f>
        <v>0</v>
      </c>
      <c r="L206" s="466">
        <v>0</v>
      </c>
    </row>
    <row r="207" spans="1:14" ht="15.75" customHeight="1" x14ac:dyDescent="0.2">
      <c r="A207" s="620" t="s">
        <v>790</v>
      </c>
      <c r="B207" s="671" t="s">
        <v>86</v>
      </c>
      <c r="C207" s="615"/>
      <c r="D207" s="615"/>
      <c r="E207" s="615"/>
      <c r="F207" s="615"/>
      <c r="G207" s="615"/>
      <c r="H207" s="467">
        <v>0</v>
      </c>
      <c r="I207" s="615"/>
      <c r="J207" s="615"/>
      <c r="K207" s="1689">
        <f>H207</f>
        <v>0</v>
      </c>
      <c r="L207" s="466">
        <v>0</v>
      </c>
    </row>
    <row r="208" spans="1:14" ht="12.75" customHeight="1" thickBot="1" x14ac:dyDescent="0.25">
      <c r="A208" s="1704" t="s">
        <v>659</v>
      </c>
      <c r="B208" s="1705" t="s">
        <v>513</v>
      </c>
      <c r="C208" s="615"/>
      <c r="D208" s="615"/>
      <c r="E208" s="615"/>
      <c r="F208" s="615"/>
      <c r="G208" s="615"/>
      <c r="H208" s="1695">
        <f>SUM(H204,H205,H206,H207)</f>
        <v>0</v>
      </c>
      <c r="I208" s="615"/>
      <c r="J208" s="615"/>
      <c r="K208" s="1695">
        <f>SUM(K204,K205,K206,K207)</f>
        <v>0</v>
      </c>
      <c r="L208" s="1695">
        <f>SUM(L204,L205,L206,L207)</f>
        <v>0</v>
      </c>
    </row>
    <row r="209" spans="1:14" ht="15.75" customHeight="1" thickTop="1" thickBot="1" x14ac:dyDescent="0.25">
      <c r="A209" s="1624" t="s">
        <v>927</v>
      </c>
      <c r="B209" s="1631" t="s">
        <v>916</v>
      </c>
      <c r="C209" s="622"/>
      <c r="D209" s="622"/>
      <c r="E209" s="622"/>
      <c r="F209" s="622"/>
      <c r="G209" s="622"/>
      <c r="H209" s="622"/>
      <c r="I209" s="615"/>
      <c r="J209" s="615"/>
      <c r="K209" s="622"/>
      <c r="L209" s="574">
        <v>0</v>
      </c>
    </row>
    <row r="210" spans="1:14" ht="12.75" customHeight="1" thickTop="1" thickBot="1" x14ac:dyDescent="0.25">
      <c r="A210" s="1710" t="s">
        <v>295</v>
      </c>
      <c r="B210" s="1711"/>
      <c r="C210" s="1688">
        <f>SUM(C184,C185)</f>
        <v>0</v>
      </c>
      <c r="D210" s="1688">
        <f>SUM(D184,D185)</f>
        <v>0</v>
      </c>
      <c r="E210" s="1688">
        <f>SUM(E184,E185,E196)</f>
        <v>0</v>
      </c>
      <c r="F210" s="1688">
        <f>SUM(F184,F185)</f>
        <v>0</v>
      </c>
      <c r="G210" s="1688">
        <f>SUM(G184,G185)</f>
        <v>0</v>
      </c>
      <c r="H210" s="1688">
        <f>SUM(H184,H185,H196,H208,H209)</f>
        <v>0</v>
      </c>
      <c r="I210" s="1688">
        <f>SUM(I184,I185)</f>
        <v>0</v>
      </c>
      <c r="J210" s="1688">
        <f>SUM(J184,J185)</f>
        <v>0</v>
      </c>
      <c r="K210" s="1689">
        <f>SUM(K184,K185,K196,K208,K209)</f>
        <v>0</v>
      </c>
      <c r="L210" s="1688">
        <f>SUM(L184,L185,L196,L208,L209)</f>
        <v>0</v>
      </c>
    </row>
    <row r="211" spans="1:14" ht="13.5" thickTop="1" x14ac:dyDescent="0.2">
      <c r="A211" s="2436" t="s">
        <v>1053</v>
      </c>
      <c r="B211" s="2437"/>
      <c r="C211" s="617"/>
      <c r="D211" s="617"/>
      <c r="E211" s="617"/>
      <c r="F211" s="617"/>
      <c r="G211" s="617"/>
      <c r="H211" s="617"/>
      <c r="I211" s="615"/>
      <c r="J211" s="615"/>
      <c r="K211" s="1702">
        <f>'Revenues 9-14'!F275-'Expenditures 15-22'!K210</f>
        <v>0</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431" t="s">
        <v>1022</v>
      </c>
      <c r="B213" s="2432"/>
      <c r="C213" s="1569"/>
      <c r="D213" s="1570"/>
      <c r="E213" s="1570"/>
      <c r="F213" s="1570"/>
      <c r="G213" s="1570"/>
      <c r="H213" s="1570"/>
      <c r="I213" s="1570"/>
      <c r="J213" s="1570"/>
      <c r="K213" s="1570"/>
      <c r="L213" s="1571"/>
      <c r="M213" s="608"/>
      <c r="N213" s="608"/>
    </row>
    <row r="214" spans="1:14" s="673" customFormat="1" ht="15.75" customHeight="1" x14ac:dyDescent="0.2">
      <c r="A214" s="1641" t="s">
        <v>928</v>
      </c>
      <c r="B214" s="1633" t="s">
        <v>591</v>
      </c>
      <c r="C214" s="615"/>
      <c r="D214" s="622"/>
      <c r="E214" s="615"/>
      <c r="F214" s="615"/>
      <c r="G214" s="615"/>
      <c r="H214" s="615"/>
      <c r="I214" s="615"/>
      <c r="J214" s="615"/>
      <c r="K214" s="622"/>
      <c r="L214" s="622"/>
      <c r="M214" s="664"/>
      <c r="N214" s="664"/>
    </row>
    <row r="215" spans="1:14" x14ac:dyDescent="0.2">
      <c r="A215" s="1522" t="s">
        <v>1018</v>
      </c>
      <c r="B215" s="613">
        <v>1100</v>
      </c>
      <c r="C215" s="615"/>
      <c r="D215" s="466">
        <v>0</v>
      </c>
      <c r="E215" s="615"/>
      <c r="F215" s="615"/>
      <c r="G215" s="615"/>
      <c r="H215" s="615"/>
      <c r="I215" s="615"/>
      <c r="J215" s="615"/>
      <c r="K215" s="1689">
        <f>D215</f>
        <v>0</v>
      </c>
      <c r="L215" s="466">
        <v>0</v>
      </c>
    </row>
    <row r="216" spans="1:14" x14ac:dyDescent="0.2">
      <c r="A216" s="1522" t="s">
        <v>165</v>
      </c>
      <c r="B216" s="613" t="s">
        <v>1024</v>
      </c>
      <c r="C216" s="615"/>
      <c r="D216" s="467">
        <v>0</v>
      </c>
      <c r="E216" s="615"/>
      <c r="F216" s="615"/>
      <c r="G216" s="615"/>
      <c r="H216" s="615"/>
      <c r="I216" s="615"/>
      <c r="J216" s="615"/>
      <c r="K216" s="1689">
        <f t="shared" ref="K216:K228" si="19">D216</f>
        <v>0</v>
      </c>
      <c r="L216" s="466">
        <v>0</v>
      </c>
    </row>
    <row r="217" spans="1:14" x14ac:dyDescent="0.2">
      <c r="A217" s="1522" t="s">
        <v>166</v>
      </c>
      <c r="B217" s="613">
        <v>1200</v>
      </c>
      <c r="C217" s="615"/>
      <c r="D217" s="466">
        <v>0</v>
      </c>
      <c r="E217" s="615"/>
      <c r="F217" s="615"/>
      <c r="G217" s="615"/>
      <c r="H217" s="615"/>
      <c r="I217" s="615"/>
      <c r="J217" s="615"/>
      <c r="K217" s="1689">
        <f t="shared" si="19"/>
        <v>0</v>
      </c>
      <c r="L217" s="466">
        <v>0</v>
      </c>
    </row>
    <row r="218" spans="1:14" x14ac:dyDescent="0.2">
      <c r="A218" s="1522" t="s">
        <v>296</v>
      </c>
      <c r="B218" s="613" t="s">
        <v>1025</v>
      </c>
      <c r="C218" s="615"/>
      <c r="D218" s="467">
        <v>0</v>
      </c>
      <c r="E218" s="615"/>
      <c r="F218" s="615"/>
      <c r="G218" s="615"/>
      <c r="H218" s="615"/>
      <c r="I218" s="615"/>
      <c r="J218" s="615"/>
      <c r="K218" s="1689">
        <f t="shared" si="19"/>
        <v>0</v>
      </c>
      <c r="L218" s="466">
        <v>0</v>
      </c>
    </row>
    <row r="219" spans="1:14" x14ac:dyDescent="0.2">
      <c r="A219" s="1522" t="s">
        <v>297</v>
      </c>
      <c r="B219" s="613">
        <v>1250</v>
      </c>
      <c r="C219" s="615"/>
      <c r="D219" s="466">
        <v>0</v>
      </c>
      <c r="E219" s="615"/>
      <c r="F219" s="615"/>
      <c r="G219" s="615"/>
      <c r="H219" s="615"/>
      <c r="I219" s="615"/>
      <c r="J219" s="615"/>
      <c r="K219" s="1689">
        <f t="shared" si="19"/>
        <v>0</v>
      </c>
      <c r="L219" s="466">
        <v>0</v>
      </c>
    </row>
    <row r="220" spans="1:14" x14ac:dyDescent="0.2">
      <c r="A220" s="1522" t="s">
        <v>298</v>
      </c>
      <c r="B220" s="613" t="s">
        <v>163</v>
      </c>
      <c r="C220" s="615"/>
      <c r="D220" s="467">
        <v>0</v>
      </c>
      <c r="E220" s="615"/>
      <c r="F220" s="615"/>
      <c r="G220" s="615"/>
      <c r="H220" s="615"/>
      <c r="I220" s="615"/>
      <c r="J220" s="615"/>
      <c r="K220" s="1689">
        <f t="shared" si="19"/>
        <v>0</v>
      </c>
      <c r="L220" s="466">
        <v>0</v>
      </c>
    </row>
    <row r="221" spans="1:14" x14ac:dyDescent="0.2">
      <c r="A221" s="1522" t="s">
        <v>1019</v>
      </c>
      <c r="B221" s="613">
        <v>1300</v>
      </c>
      <c r="C221" s="615"/>
      <c r="D221" s="466">
        <v>0</v>
      </c>
      <c r="E221" s="615"/>
      <c r="F221" s="615"/>
      <c r="G221" s="615"/>
      <c r="H221" s="615"/>
      <c r="I221" s="615"/>
      <c r="J221" s="615"/>
      <c r="K221" s="1689">
        <f t="shared" si="19"/>
        <v>0</v>
      </c>
      <c r="L221" s="466">
        <v>0</v>
      </c>
    </row>
    <row r="222" spans="1:14" x14ac:dyDescent="0.2">
      <c r="A222" s="1522" t="s">
        <v>747</v>
      </c>
      <c r="B222" s="613">
        <v>1400</v>
      </c>
      <c r="C222" s="615"/>
      <c r="D222" s="466">
        <v>0</v>
      </c>
      <c r="E222" s="615"/>
      <c r="F222" s="615"/>
      <c r="G222" s="615"/>
      <c r="H222" s="615"/>
      <c r="I222" s="615"/>
      <c r="J222" s="615"/>
      <c r="K222" s="1689">
        <f t="shared" si="19"/>
        <v>0</v>
      </c>
      <c r="L222" s="466">
        <v>0</v>
      </c>
    </row>
    <row r="223" spans="1:14" x14ac:dyDescent="0.2">
      <c r="A223" s="1522" t="s">
        <v>1020</v>
      </c>
      <c r="B223" s="613">
        <v>1500</v>
      </c>
      <c r="C223" s="615"/>
      <c r="D223" s="466">
        <v>0</v>
      </c>
      <c r="E223" s="615"/>
      <c r="F223" s="615"/>
      <c r="G223" s="615"/>
      <c r="H223" s="615"/>
      <c r="I223" s="615"/>
      <c r="J223" s="615"/>
      <c r="K223" s="1689">
        <f t="shared" si="19"/>
        <v>0</v>
      </c>
      <c r="L223" s="466">
        <v>0</v>
      </c>
    </row>
    <row r="224" spans="1:14" x14ac:dyDescent="0.2">
      <c r="A224" s="1522" t="s">
        <v>1021</v>
      </c>
      <c r="B224" s="613">
        <v>1600</v>
      </c>
      <c r="C224" s="615"/>
      <c r="D224" s="466">
        <v>0</v>
      </c>
      <c r="E224" s="615"/>
      <c r="F224" s="615"/>
      <c r="G224" s="615"/>
      <c r="H224" s="615"/>
      <c r="I224" s="615"/>
      <c r="J224" s="615"/>
      <c r="K224" s="1689">
        <f t="shared" si="19"/>
        <v>0</v>
      </c>
      <c r="L224" s="466">
        <v>0</v>
      </c>
    </row>
    <row r="225" spans="1:12" x14ac:dyDescent="0.2">
      <c r="A225" s="1522" t="s">
        <v>1044</v>
      </c>
      <c r="B225" s="613">
        <v>1650</v>
      </c>
      <c r="C225" s="615"/>
      <c r="D225" s="466">
        <v>0</v>
      </c>
      <c r="E225" s="615"/>
      <c r="F225" s="615"/>
      <c r="G225" s="615"/>
      <c r="H225" s="615"/>
      <c r="I225" s="615"/>
      <c r="J225" s="615"/>
      <c r="K225" s="1689">
        <f t="shared" si="19"/>
        <v>0</v>
      </c>
      <c r="L225" s="466">
        <v>0</v>
      </c>
    </row>
    <row r="226" spans="1:12" x14ac:dyDescent="0.2">
      <c r="A226" s="1522" t="s">
        <v>748</v>
      </c>
      <c r="B226" s="613" t="s">
        <v>164</v>
      </c>
      <c r="C226" s="615"/>
      <c r="D226" s="467">
        <v>0</v>
      </c>
      <c r="E226" s="615"/>
      <c r="F226" s="615"/>
      <c r="G226" s="615"/>
      <c r="H226" s="615"/>
      <c r="I226" s="615"/>
      <c r="J226" s="615"/>
      <c r="K226" s="1689">
        <f t="shared" si="19"/>
        <v>0</v>
      </c>
      <c r="L226" s="466">
        <v>0</v>
      </c>
    </row>
    <row r="227" spans="1:12" x14ac:dyDescent="0.2">
      <c r="A227" s="1522" t="s">
        <v>1148</v>
      </c>
      <c r="B227" s="613">
        <v>1800</v>
      </c>
      <c r="C227" s="615"/>
      <c r="D227" s="466">
        <v>0</v>
      </c>
      <c r="E227" s="615"/>
      <c r="F227" s="615"/>
      <c r="G227" s="615"/>
      <c r="H227" s="615"/>
      <c r="I227" s="615"/>
      <c r="J227" s="615"/>
      <c r="K227" s="1689">
        <f t="shared" si="19"/>
        <v>0</v>
      </c>
      <c r="L227" s="466">
        <v>0</v>
      </c>
    </row>
    <row r="228" spans="1:12" x14ac:dyDescent="0.2">
      <c r="A228" s="1522" t="s">
        <v>1149</v>
      </c>
      <c r="B228" s="613">
        <v>1900</v>
      </c>
      <c r="C228" s="615"/>
      <c r="D228" s="466">
        <v>0</v>
      </c>
      <c r="E228" s="615"/>
      <c r="F228" s="615"/>
      <c r="G228" s="615"/>
      <c r="H228" s="615"/>
      <c r="I228" s="615"/>
      <c r="J228" s="615"/>
      <c r="K228" s="1689">
        <f t="shared" si="19"/>
        <v>0</v>
      </c>
      <c r="L228" s="466">
        <v>0</v>
      </c>
    </row>
    <row r="229" spans="1:12" ht="12.75" customHeight="1" thickBot="1" x14ac:dyDescent="0.25">
      <c r="A229" s="1686" t="s">
        <v>739</v>
      </c>
      <c r="B229" s="1693" t="s">
        <v>591</v>
      </c>
      <c r="C229" s="615"/>
      <c r="D229" s="1688">
        <f>SUM(D215:D228)</f>
        <v>0</v>
      </c>
      <c r="E229" s="615"/>
      <c r="F229" s="615"/>
      <c r="G229" s="615"/>
      <c r="H229" s="615"/>
      <c r="I229" s="615"/>
      <c r="J229" s="615"/>
      <c r="K229" s="1688">
        <f>SUM(K215:K228)</f>
        <v>0</v>
      </c>
      <c r="L229" s="1688">
        <f>SUM(L215:L228)</f>
        <v>0</v>
      </c>
    </row>
    <row r="230" spans="1:12" ht="15.75" customHeight="1" thickTop="1" x14ac:dyDescent="0.2">
      <c r="A230" s="1630" t="s">
        <v>929</v>
      </c>
      <c r="B230" s="1631"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2" t="s">
        <v>1150</v>
      </c>
      <c r="B232" s="613">
        <v>2110</v>
      </c>
      <c r="C232" s="615"/>
      <c r="D232" s="466">
        <v>0</v>
      </c>
      <c r="E232" s="615"/>
      <c r="F232" s="615"/>
      <c r="G232" s="615"/>
      <c r="H232" s="615"/>
      <c r="I232" s="615"/>
      <c r="J232" s="615"/>
      <c r="K232" s="1689">
        <f t="shared" ref="K232:K237" si="20">D232</f>
        <v>0</v>
      </c>
      <c r="L232" s="466">
        <v>0</v>
      </c>
    </row>
    <row r="233" spans="1:12" x14ac:dyDescent="0.2">
      <c r="A233" s="1522" t="s">
        <v>1151</v>
      </c>
      <c r="B233" s="613">
        <v>2120</v>
      </c>
      <c r="C233" s="615"/>
      <c r="D233" s="466">
        <v>0</v>
      </c>
      <c r="E233" s="615"/>
      <c r="F233" s="615"/>
      <c r="G233" s="615"/>
      <c r="H233" s="615"/>
      <c r="I233" s="615"/>
      <c r="J233" s="615"/>
      <c r="K233" s="1689">
        <f t="shared" si="20"/>
        <v>0</v>
      </c>
      <c r="L233" s="466">
        <v>0</v>
      </c>
    </row>
    <row r="234" spans="1:12" x14ac:dyDescent="0.2">
      <c r="A234" s="1522" t="s">
        <v>207</v>
      </c>
      <c r="B234" s="613">
        <v>2130</v>
      </c>
      <c r="C234" s="615"/>
      <c r="D234" s="466">
        <v>0</v>
      </c>
      <c r="E234" s="615"/>
      <c r="F234" s="615"/>
      <c r="G234" s="615"/>
      <c r="H234" s="615"/>
      <c r="I234" s="615"/>
      <c r="J234" s="615"/>
      <c r="K234" s="1689">
        <f t="shared" si="20"/>
        <v>0</v>
      </c>
      <c r="L234" s="466">
        <v>0</v>
      </c>
    </row>
    <row r="235" spans="1:12" x14ac:dyDescent="0.2">
      <c r="A235" s="1522" t="s">
        <v>208</v>
      </c>
      <c r="B235" s="613">
        <v>2140</v>
      </c>
      <c r="C235" s="615"/>
      <c r="D235" s="466">
        <v>0</v>
      </c>
      <c r="E235" s="615"/>
      <c r="F235" s="615"/>
      <c r="G235" s="615"/>
      <c r="H235" s="615"/>
      <c r="I235" s="615"/>
      <c r="J235" s="615"/>
      <c r="K235" s="1689">
        <f t="shared" si="20"/>
        <v>0</v>
      </c>
      <c r="L235" s="466">
        <v>0</v>
      </c>
    </row>
    <row r="236" spans="1:12" x14ac:dyDescent="0.2">
      <c r="A236" s="1522" t="s">
        <v>209</v>
      </c>
      <c r="B236" s="613">
        <v>2150</v>
      </c>
      <c r="C236" s="615"/>
      <c r="D236" s="466">
        <v>0</v>
      </c>
      <c r="E236" s="615"/>
      <c r="F236" s="615"/>
      <c r="G236" s="615"/>
      <c r="H236" s="615"/>
      <c r="I236" s="615"/>
      <c r="J236" s="615"/>
      <c r="K236" s="1689">
        <f t="shared" si="20"/>
        <v>0</v>
      </c>
      <c r="L236" s="466">
        <v>0</v>
      </c>
    </row>
    <row r="237" spans="1:12" x14ac:dyDescent="0.2">
      <c r="A237" s="1522" t="s">
        <v>167</v>
      </c>
      <c r="B237" s="613">
        <v>2190</v>
      </c>
      <c r="C237" s="615"/>
      <c r="D237" s="466">
        <v>0</v>
      </c>
      <c r="E237" s="615"/>
      <c r="F237" s="615"/>
      <c r="G237" s="615"/>
      <c r="H237" s="615"/>
      <c r="I237" s="615"/>
      <c r="J237" s="615"/>
      <c r="K237" s="1689">
        <f t="shared" si="20"/>
        <v>0</v>
      </c>
      <c r="L237" s="466">
        <v>0</v>
      </c>
    </row>
    <row r="238" spans="1:12" ht="12.75" customHeight="1" thickBot="1" x14ac:dyDescent="0.25">
      <c r="A238" s="1686" t="s">
        <v>581</v>
      </c>
      <c r="B238" s="1693" t="s">
        <v>740</v>
      </c>
      <c r="C238" s="615"/>
      <c r="D238" s="1688">
        <f>SUM(D232:D237)</f>
        <v>0</v>
      </c>
      <c r="E238" s="615"/>
      <c r="F238" s="615"/>
      <c r="G238" s="615"/>
      <c r="H238" s="615"/>
      <c r="I238" s="615"/>
      <c r="J238" s="615"/>
      <c r="K238" s="1688">
        <f>SUM(K232:K237)</f>
        <v>0</v>
      </c>
      <c r="L238" s="1688">
        <f>SUM(L232:L237)</f>
        <v>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2" t="s">
        <v>868</v>
      </c>
      <c r="B240" s="613">
        <v>2210</v>
      </c>
      <c r="C240" s="615"/>
      <c r="D240" s="480">
        <v>0</v>
      </c>
      <c r="E240" s="615"/>
      <c r="F240" s="615"/>
      <c r="G240" s="615"/>
      <c r="H240" s="615"/>
      <c r="I240" s="615"/>
      <c r="J240" s="615"/>
      <c r="K240" s="1690">
        <f>D240</f>
        <v>0</v>
      </c>
      <c r="L240" s="480">
        <v>0</v>
      </c>
    </row>
    <row r="241" spans="1:12" x14ac:dyDescent="0.2">
      <c r="A241" s="1522" t="s">
        <v>869</v>
      </c>
      <c r="B241" s="613">
        <v>2220</v>
      </c>
      <c r="C241" s="615"/>
      <c r="D241" s="466">
        <v>0</v>
      </c>
      <c r="E241" s="615"/>
      <c r="F241" s="615"/>
      <c r="G241" s="615"/>
      <c r="H241" s="615"/>
      <c r="I241" s="615"/>
      <c r="J241" s="615"/>
      <c r="K241" s="1690">
        <f>D241</f>
        <v>0</v>
      </c>
      <c r="L241" s="466">
        <v>0</v>
      </c>
    </row>
    <row r="242" spans="1:12" x14ac:dyDescent="0.2">
      <c r="A242" s="1522" t="s">
        <v>870</v>
      </c>
      <c r="B242" s="613">
        <v>2230</v>
      </c>
      <c r="C242" s="615"/>
      <c r="D242" s="466">
        <v>0</v>
      </c>
      <c r="E242" s="615"/>
      <c r="F242" s="615"/>
      <c r="G242" s="615"/>
      <c r="H242" s="615"/>
      <c r="I242" s="615"/>
      <c r="J242" s="615"/>
      <c r="K242" s="1690">
        <f>D242</f>
        <v>0</v>
      </c>
      <c r="L242" s="466">
        <v>0</v>
      </c>
    </row>
    <row r="243" spans="1:12" ht="12.75" customHeight="1" thickBot="1" x14ac:dyDescent="0.25">
      <c r="A243" s="1712" t="s">
        <v>582</v>
      </c>
      <c r="B243" s="1713">
        <v>2200</v>
      </c>
      <c r="C243" s="615"/>
      <c r="D243" s="1688">
        <f>SUM(D240:D242)</f>
        <v>0</v>
      </c>
      <c r="E243" s="615"/>
      <c r="F243" s="615"/>
      <c r="G243" s="615"/>
      <c r="H243" s="615"/>
      <c r="I243" s="615"/>
      <c r="J243" s="615"/>
      <c r="K243" s="1688">
        <f>SUM(K240:K242)</f>
        <v>0</v>
      </c>
      <c r="L243" s="1688">
        <f>SUM(L240:L242)</f>
        <v>0</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2" t="s">
        <v>871</v>
      </c>
      <c r="B245" s="613">
        <v>2310</v>
      </c>
      <c r="C245" s="615"/>
      <c r="D245" s="480">
        <v>0</v>
      </c>
      <c r="E245" s="615"/>
      <c r="F245" s="615"/>
      <c r="G245" s="615"/>
      <c r="H245" s="615"/>
      <c r="I245" s="615"/>
      <c r="J245" s="615"/>
      <c r="K245" s="1690">
        <f>D245</f>
        <v>0</v>
      </c>
      <c r="L245" s="480">
        <v>0</v>
      </c>
    </row>
    <row r="246" spans="1:12" x14ac:dyDescent="0.2">
      <c r="A246" s="1522" t="s">
        <v>872</v>
      </c>
      <c r="B246" s="613">
        <v>2320</v>
      </c>
      <c r="C246" s="615"/>
      <c r="D246" s="466">
        <v>0</v>
      </c>
      <c r="E246" s="615"/>
      <c r="F246" s="615"/>
      <c r="G246" s="615"/>
      <c r="H246" s="615"/>
      <c r="I246" s="615"/>
      <c r="J246" s="615"/>
      <c r="K246" s="1690">
        <f t="shared" ref="K246:K256" si="21">D246</f>
        <v>0</v>
      </c>
      <c r="L246" s="466">
        <v>0</v>
      </c>
    </row>
    <row r="247" spans="1:12" x14ac:dyDescent="0.2">
      <c r="A247" s="1522" t="s">
        <v>873</v>
      </c>
      <c r="B247" s="613">
        <v>2330</v>
      </c>
      <c r="C247" s="615"/>
      <c r="D247" s="466">
        <v>0</v>
      </c>
      <c r="E247" s="615"/>
      <c r="F247" s="615"/>
      <c r="G247" s="615"/>
      <c r="H247" s="615"/>
      <c r="I247" s="615"/>
      <c r="J247" s="615"/>
      <c r="K247" s="1690">
        <f t="shared" si="21"/>
        <v>0</v>
      </c>
      <c r="L247" s="466">
        <v>0</v>
      </c>
    </row>
    <row r="248" spans="1:12" x14ac:dyDescent="0.2">
      <c r="A248" s="1523" t="s">
        <v>317</v>
      </c>
      <c r="B248" s="601" t="s">
        <v>299</v>
      </c>
      <c r="C248" s="615"/>
      <c r="D248" s="474">
        <v>0</v>
      </c>
      <c r="E248" s="615"/>
      <c r="F248" s="615"/>
      <c r="G248" s="615"/>
      <c r="H248" s="615"/>
      <c r="I248" s="615"/>
      <c r="J248" s="615"/>
      <c r="K248" s="1690">
        <f t="shared" si="21"/>
        <v>0</v>
      </c>
      <c r="L248" s="466">
        <v>0</v>
      </c>
    </row>
    <row r="249" spans="1:12" x14ac:dyDescent="0.2">
      <c r="A249" s="1524" t="s">
        <v>1904</v>
      </c>
      <c r="B249" s="682" t="s">
        <v>300</v>
      </c>
      <c r="C249" s="615"/>
      <c r="D249" s="474">
        <v>0</v>
      </c>
      <c r="E249" s="615"/>
      <c r="F249" s="615"/>
      <c r="G249" s="615"/>
      <c r="H249" s="615"/>
      <c r="I249" s="615"/>
      <c r="J249" s="615"/>
      <c r="K249" s="1690">
        <f t="shared" si="21"/>
        <v>0</v>
      </c>
      <c r="L249" s="466">
        <v>0</v>
      </c>
    </row>
    <row r="250" spans="1:12" x14ac:dyDescent="0.2">
      <c r="A250" s="1523" t="s">
        <v>1905</v>
      </c>
      <c r="B250" s="601" t="s">
        <v>301</v>
      </c>
      <c r="C250" s="615"/>
      <c r="D250" s="474">
        <v>0</v>
      </c>
      <c r="E250" s="615"/>
      <c r="F250" s="615"/>
      <c r="G250" s="615"/>
      <c r="H250" s="615"/>
      <c r="I250" s="615"/>
      <c r="J250" s="615"/>
      <c r="K250" s="1690">
        <f t="shared" si="21"/>
        <v>0</v>
      </c>
      <c r="L250" s="466">
        <v>0</v>
      </c>
    </row>
    <row r="251" spans="1:12" x14ac:dyDescent="0.2">
      <c r="A251" s="1523" t="s">
        <v>256</v>
      </c>
      <c r="B251" s="601" t="s">
        <v>302</v>
      </c>
      <c r="C251" s="615"/>
      <c r="D251" s="474">
        <v>0</v>
      </c>
      <c r="E251" s="615"/>
      <c r="F251" s="615"/>
      <c r="G251" s="615"/>
      <c r="H251" s="615"/>
      <c r="I251" s="615"/>
      <c r="J251" s="615"/>
      <c r="K251" s="1690">
        <f t="shared" si="21"/>
        <v>0</v>
      </c>
      <c r="L251" s="466">
        <v>0</v>
      </c>
    </row>
    <row r="252" spans="1:12" x14ac:dyDescent="0.2">
      <c r="A252" s="1523" t="s">
        <v>726</v>
      </c>
      <c r="B252" s="601" t="s">
        <v>303</v>
      </c>
      <c r="C252" s="615"/>
      <c r="D252" s="474">
        <v>0</v>
      </c>
      <c r="E252" s="615"/>
      <c r="F252" s="615"/>
      <c r="G252" s="615"/>
      <c r="H252" s="615"/>
      <c r="I252" s="615"/>
      <c r="J252" s="615"/>
      <c r="K252" s="1690">
        <f t="shared" si="21"/>
        <v>0</v>
      </c>
      <c r="L252" s="466">
        <v>0</v>
      </c>
    </row>
    <row r="253" spans="1:12" x14ac:dyDescent="0.2">
      <c r="A253" s="1523" t="s">
        <v>257</v>
      </c>
      <c r="B253" s="601" t="s">
        <v>304</v>
      </c>
      <c r="C253" s="615"/>
      <c r="D253" s="474">
        <v>0</v>
      </c>
      <c r="E253" s="615"/>
      <c r="F253" s="615"/>
      <c r="G253" s="615"/>
      <c r="H253" s="615"/>
      <c r="I253" s="615"/>
      <c r="J253" s="615"/>
      <c r="K253" s="1690">
        <f t="shared" si="21"/>
        <v>0</v>
      </c>
      <c r="L253" s="466">
        <v>0</v>
      </c>
    </row>
    <row r="254" spans="1:12" ht="22.5" x14ac:dyDescent="0.2">
      <c r="A254" s="1523" t="s">
        <v>1087</v>
      </c>
      <c r="B254" s="682" t="s">
        <v>305</v>
      </c>
      <c r="C254" s="615"/>
      <c r="D254" s="474">
        <v>0</v>
      </c>
      <c r="E254" s="615"/>
      <c r="F254" s="615"/>
      <c r="G254" s="615"/>
      <c r="H254" s="615"/>
      <c r="I254" s="615"/>
      <c r="J254" s="615"/>
      <c r="K254" s="1690">
        <f t="shared" si="21"/>
        <v>0</v>
      </c>
      <c r="L254" s="466">
        <v>0</v>
      </c>
    </row>
    <row r="255" spans="1:12" x14ac:dyDescent="0.2">
      <c r="A255" s="1523" t="s">
        <v>1088</v>
      </c>
      <c r="B255" s="601" t="s">
        <v>306</v>
      </c>
      <c r="C255" s="615"/>
      <c r="D255" s="474">
        <v>0</v>
      </c>
      <c r="E255" s="615"/>
      <c r="F255" s="615"/>
      <c r="G255" s="615"/>
      <c r="H255" s="615"/>
      <c r="I255" s="615"/>
      <c r="J255" s="615"/>
      <c r="K255" s="1690">
        <f t="shared" si="21"/>
        <v>0</v>
      </c>
      <c r="L255" s="466">
        <v>0</v>
      </c>
    </row>
    <row r="256" spans="1:12" x14ac:dyDescent="0.2">
      <c r="A256" s="1523" t="s">
        <v>1028</v>
      </c>
      <c r="B256" s="613" t="s">
        <v>307</v>
      </c>
      <c r="C256" s="615"/>
      <c r="D256" s="474">
        <v>0</v>
      </c>
      <c r="E256" s="615"/>
      <c r="F256" s="615"/>
      <c r="G256" s="615"/>
      <c r="H256" s="615"/>
      <c r="I256" s="615"/>
      <c r="J256" s="615"/>
      <c r="K256" s="1690">
        <f t="shared" si="21"/>
        <v>0</v>
      </c>
      <c r="L256" s="466">
        <v>0</v>
      </c>
    </row>
    <row r="257" spans="1:14" ht="12.75" customHeight="1" thickBot="1" x14ac:dyDescent="0.25">
      <c r="A257" s="1686" t="s">
        <v>741</v>
      </c>
      <c r="B257" s="1714">
        <v>2300</v>
      </c>
      <c r="C257" s="615"/>
      <c r="D257" s="1688">
        <f>SUM(D245:D256)</f>
        <v>0</v>
      </c>
      <c r="E257" s="615"/>
      <c r="F257" s="615"/>
      <c r="G257" s="615"/>
      <c r="H257" s="615"/>
      <c r="I257" s="615"/>
      <c r="J257" s="615"/>
      <c r="K257" s="1688">
        <f>SUM(K245:K256)</f>
        <v>0</v>
      </c>
      <c r="L257" s="1688">
        <f>SUM(L245:L256)</f>
        <v>0</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2" t="s">
        <v>1127</v>
      </c>
      <c r="B259" s="684">
        <v>2410</v>
      </c>
      <c r="C259" s="615"/>
      <c r="D259" s="480">
        <v>0</v>
      </c>
      <c r="E259" s="615"/>
      <c r="F259" s="615"/>
      <c r="G259" s="615"/>
      <c r="H259" s="615"/>
      <c r="I259" s="615"/>
      <c r="J259" s="615"/>
      <c r="K259" s="1690">
        <f>D259</f>
        <v>0</v>
      </c>
      <c r="L259" s="480">
        <v>0</v>
      </c>
    </row>
    <row r="260" spans="1:14" s="596" customFormat="1" x14ac:dyDescent="0.2">
      <c r="A260" s="1540" t="s">
        <v>1903</v>
      </c>
      <c r="B260" s="627">
        <v>2490</v>
      </c>
      <c r="C260" s="615"/>
      <c r="D260" s="466">
        <v>0</v>
      </c>
      <c r="E260" s="615"/>
      <c r="F260" s="615"/>
      <c r="G260" s="615"/>
      <c r="H260" s="615"/>
      <c r="I260" s="615"/>
      <c r="J260" s="615"/>
      <c r="K260" s="1690">
        <f>D260</f>
        <v>0</v>
      </c>
      <c r="L260" s="466">
        <v>0</v>
      </c>
      <c r="M260" s="210"/>
      <c r="N260" s="210"/>
    </row>
    <row r="261" spans="1:14" ht="12.75" customHeight="1" thickBot="1" x14ac:dyDescent="0.25">
      <c r="A261" s="1710" t="s">
        <v>281</v>
      </c>
      <c r="B261" s="1715" t="s">
        <v>34</v>
      </c>
      <c r="C261" s="615"/>
      <c r="D261" s="1688">
        <f>SUM(D259:D260)</f>
        <v>0</v>
      </c>
      <c r="E261" s="615"/>
      <c r="F261" s="615"/>
      <c r="G261" s="615"/>
      <c r="H261" s="615"/>
      <c r="I261" s="615"/>
      <c r="J261" s="615"/>
      <c r="K261" s="1688">
        <f>SUM(K259:K260)</f>
        <v>0</v>
      </c>
      <c r="L261" s="1688">
        <f>SUM(L259:L260)</f>
        <v>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2" t="s">
        <v>1128</v>
      </c>
      <c r="B263" s="684">
        <v>2510</v>
      </c>
      <c r="C263" s="615"/>
      <c r="D263" s="466">
        <v>0</v>
      </c>
      <c r="E263" s="615"/>
      <c r="F263" s="615"/>
      <c r="G263" s="615"/>
      <c r="H263" s="615"/>
      <c r="I263" s="615"/>
      <c r="J263" s="615"/>
      <c r="K263" s="1690">
        <f>D263</f>
        <v>0</v>
      </c>
      <c r="L263" s="480">
        <v>0</v>
      </c>
    </row>
    <row r="264" spans="1:14" x14ac:dyDescent="0.2">
      <c r="A264" s="1522" t="s">
        <v>483</v>
      </c>
      <c r="B264" s="684">
        <v>2520</v>
      </c>
      <c r="C264" s="615"/>
      <c r="D264" s="466">
        <v>0</v>
      </c>
      <c r="E264" s="615"/>
      <c r="F264" s="615"/>
      <c r="G264" s="615"/>
      <c r="H264" s="615"/>
      <c r="I264" s="615"/>
      <c r="J264" s="615"/>
      <c r="K264" s="1690">
        <f t="shared" ref="K264:K269" si="22">D264</f>
        <v>0</v>
      </c>
      <c r="L264" s="466">
        <v>0</v>
      </c>
    </row>
    <row r="265" spans="1:14" x14ac:dyDescent="0.2">
      <c r="A265" s="1522" t="s">
        <v>4</v>
      </c>
      <c r="B265" s="613">
        <v>2530</v>
      </c>
      <c r="C265" s="615"/>
      <c r="D265" s="466">
        <v>0</v>
      </c>
      <c r="E265" s="615"/>
      <c r="F265" s="615"/>
      <c r="G265" s="615"/>
      <c r="H265" s="615"/>
      <c r="I265" s="615"/>
      <c r="J265" s="615"/>
      <c r="K265" s="1690">
        <f t="shared" si="22"/>
        <v>0</v>
      </c>
      <c r="L265" s="466">
        <v>0</v>
      </c>
    </row>
    <row r="266" spans="1:14" x14ac:dyDescent="0.2">
      <c r="A266" s="1522" t="s">
        <v>206</v>
      </c>
      <c r="B266" s="613">
        <v>2540</v>
      </c>
      <c r="C266" s="615"/>
      <c r="D266" s="466">
        <v>0</v>
      </c>
      <c r="E266" s="615"/>
      <c r="F266" s="615"/>
      <c r="G266" s="615"/>
      <c r="H266" s="615"/>
      <c r="I266" s="615"/>
      <c r="J266" s="615"/>
      <c r="K266" s="1690">
        <f t="shared" si="22"/>
        <v>0</v>
      </c>
      <c r="L266" s="466">
        <v>0</v>
      </c>
    </row>
    <row r="267" spans="1:14" x14ac:dyDescent="0.2">
      <c r="A267" s="1522" t="s">
        <v>1010</v>
      </c>
      <c r="B267" s="613">
        <v>2550</v>
      </c>
      <c r="C267" s="615"/>
      <c r="D267" s="466">
        <v>0</v>
      </c>
      <c r="E267" s="615"/>
      <c r="F267" s="615"/>
      <c r="G267" s="615"/>
      <c r="H267" s="615"/>
      <c r="I267" s="615"/>
      <c r="J267" s="615"/>
      <c r="K267" s="1690">
        <f t="shared" si="22"/>
        <v>0</v>
      </c>
      <c r="L267" s="466">
        <v>0</v>
      </c>
    </row>
    <row r="268" spans="1:14" x14ac:dyDescent="0.2">
      <c r="A268" s="1522" t="s">
        <v>102</v>
      </c>
      <c r="B268" s="613">
        <v>2560</v>
      </c>
      <c r="C268" s="615"/>
      <c r="D268" s="466">
        <v>0</v>
      </c>
      <c r="E268" s="615"/>
      <c r="F268" s="615"/>
      <c r="G268" s="615"/>
      <c r="H268" s="615"/>
      <c r="I268" s="615"/>
      <c r="J268" s="615"/>
      <c r="K268" s="1690">
        <f t="shared" si="22"/>
        <v>0</v>
      </c>
      <c r="L268" s="466">
        <v>0</v>
      </c>
    </row>
    <row r="269" spans="1:14" x14ac:dyDescent="0.2">
      <c r="A269" s="1522" t="s">
        <v>103</v>
      </c>
      <c r="B269" s="613">
        <v>2570</v>
      </c>
      <c r="C269" s="615"/>
      <c r="D269" s="466">
        <v>0</v>
      </c>
      <c r="E269" s="615"/>
      <c r="F269" s="615"/>
      <c r="G269" s="615"/>
      <c r="H269" s="615"/>
      <c r="I269" s="615"/>
      <c r="J269" s="615"/>
      <c r="K269" s="1690">
        <f t="shared" si="22"/>
        <v>0</v>
      </c>
      <c r="L269" s="466">
        <v>0</v>
      </c>
    </row>
    <row r="270" spans="1:14" ht="12.75" customHeight="1" thickBot="1" x14ac:dyDescent="0.25">
      <c r="A270" s="1686" t="s">
        <v>743</v>
      </c>
      <c r="B270" s="1693" t="s">
        <v>35</v>
      </c>
      <c r="C270" s="615"/>
      <c r="D270" s="1688">
        <f>SUM(D263:D269)</f>
        <v>0</v>
      </c>
      <c r="E270" s="615"/>
      <c r="F270" s="615"/>
      <c r="G270" s="615"/>
      <c r="H270" s="615"/>
      <c r="I270" s="615"/>
      <c r="J270" s="615"/>
      <c r="K270" s="1688">
        <f>SUM(K263:K269)</f>
        <v>0</v>
      </c>
      <c r="L270" s="1688">
        <f>SUM(L263:L269)</f>
        <v>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2" t="s">
        <v>1120</v>
      </c>
      <c r="B272" s="613">
        <v>2610</v>
      </c>
      <c r="C272" s="615"/>
      <c r="D272" s="480">
        <v>0</v>
      </c>
      <c r="E272" s="615"/>
      <c r="F272" s="615"/>
      <c r="G272" s="615"/>
      <c r="H272" s="615"/>
      <c r="I272" s="615"/>
      <c r="J272" s="615"/>
      <c r="K272" s="1690">
        <f>D272</f>
        <v>0</v>
      </c>
      <c r="L272" s="480">
        <v>0</v>
      </c>
    </row>
    <row r="273" spans="1:12" x14ac:dyDescent="0.2">
      <c r="A273" s="1522" t="s">
        <v>628</v>
      </c>
      <c r="B273" s="627">
        <v>2620</v>
      </c>
      <c r="C273" s="615"/>
      <c r="D273" s="466">
        <v>0</v>
      </c>
      <c r="E273" s="615"/>
      <c r="F273" s="615"/>
      <c r="G273" s="615"/>
      <c r="H273" s="615"/>
      <c r="I273" s="615"/>
      <c r="J273" s="615"/>
      <c r="K273" s="1690">
        <f>D273</f>
        <v>0</v>
      </c>
      <c r="L273" s="466">
        <v>0</v>
      </c>
    </row>
    <row r="274" spans="1:12" ht="12" customHeight="1" x14ac:dyDescent="0.2">
      <c r="A274" s="1522" t="s">
        <v>1121</v>
      </c>
      <c r="B274" s="613">
        <v>2630</v>
      </c>
      <c r="C274" s="615"/>
      <c r="D274" s="466">
        <v>0</v>
      </c>
      <c r="E274" s="615"/>
      <c r="F274" s="615"/>
      <c r="G274" s="615"/>
      <c r="H274" s="615"/>
      <c r="I274" s="615"/>
      <c r="J274" s="615"/>
      <c r="K274" s="1690">
        <f>D274</f>
        <v>0</v>
      </c>
      <c r="L274" s="466">
        <v>0</v>
      </c>
    </row>
    <row r="275" spans="1:12" x14ac:dyDescent="0.2">
      <c r="A275" s="1522" t="s">
        <v>423</v>
      </c>
      <c r="B275" s="613">
        <v>2640</v>
      </c>
      <c r="C275" s="615"/>
      <c r="D275" s="466">
        <v>0</v>
      </c>
      <c r="E275" s="615"/>
      <c r="F275" s="615"/>
      <c r="G275" s="615"/>
      <c r="H275" s="615"/>
      <c r="I275" s="615"/>
      <c r="J275" s="615"/>
      <c r="K275" s="1690">
        <f>D275</f>
        <v>0</v>
      </c>
      <c r="L275" s="466">
        <v>0</v>
      </c>
    </row>
    <row r="276" spans="1:12" x14ac:dyDescent="0.2">
      <c r="A276" s="1522" t="s">
        <v>424</v>
      </c>
      <c r="B276" s="613">
        <v>2660</v>
      </c>
      <c r="C276" s="615"/>
      <c r="D276" s="466">
        <v>0</v>
      </c>
      <c r="E276" s="615"/>
      <c r="F276" s="615"/>
      <c r="G276" s="615"/>
      <c r="H276" s="615"/>
      <c r="I276" s="615"/>
      <c r="J276" s="615"/>
      <c r="K276" s="1690">
        <f>D276</f>
        <v>0</v>
      </c>
      <c r="L276" s="466">
        <v>0</v>
      </c>
    </row>
    <row r="277" spans="1:12" ht="12.75" customHeight="1" thickBot="1" x14ac:dyDescent="0.25">
      <c r="A277" s="1709" t="s">
        <v>37</v>
      </c>
      <c r="B277" s="1687" t="s">
        <v>36</v>
      </c>
      <c r="C277" s="615"/>
      <c r="D277" s="1688">
        <f>SUM(D272:D276)</f>
        <v>0</v>
      </c>
      <c r="E277" s="615"/>
      <c r="F277" s="615"/>
      <c r="G277" s="615"/>
      <c r="H277" s="615"/>
      <c r="I277" s="615"/>
      <c r="J277" s="615"/>
      <c r="K277" s="1688">
        <f>SUM(K272:K276)</f>
        <v>0</v>
      </c>
      <c r="L277" s="1688">
        <f>SUM(L272:L276)</f>
        <v>0</v>
      </c>
    </row>
    <row r="278" spans="1:12" ht="13.5" customHeight="1" thickTop="1" x14ac:dyDescent="0.2">
      <c r="A278" s="1528" t="s">
        <v>1037</v>
      </c>
      <c r="B278" s="654" t="s">
        <v>595</v>
      </c>
      <c r="C278" s="615"/>
      <c r="D278" s="655">
        <v>0</v>
      </c>
      <c r="E278" s="615"/>
      <c r="F278" s="615"/>
      <c r="G278" s="615"/>
      <c r="H278" s="615"/>
      <c r="I278" s="615"/>
      <c r="J278" s="615"/>
      <c r="K278" s="1703">
        <f>D278</f>
        <v>0</v>
      </c>
      <c r="L278" s="655">
        <v>0</v>
      </c>
    </row>
    <row r="279" spans="1:12" ht="12.75" customHeight="1" thickBot="1" x14ac:dyDescent="0.25">
      <c r="A279" s="1716" t="s">
        <v>865</v>
      </c>
      <c r="B279" s="1699">
        <v>2000</v>
      </c>
      <c r="C279" s="615"/>
      <c r="D279" s="1695">
        <f>SUM(D238,D243,D257,D261,D270,D277,D278)</f>
        <v>0</v>
      </c>
      <c r="E279" s="615"/>
      <c r="F279" s="615"/>
      <c r="G279" s="615"/>
      <c r="H279" s="615"/>
      <c r="I279" s="615"/>
      <c r="J279" s="615"/>
      <c r="K279" s="1695">
        <f>SUM(K238,K243,K257,K261,K270,K277,K278)</f>
        <v>0</v>
      </c>
      <c r="L279" s="1695">
        <f>SUM(L238,L243,L257,L261,L270,L277,L278)</f>
        <v>0</v>
      </c>
    </row>
    <row r="280" spans="1:12" ht="15.75" customHeight="1" thickTop="1" thickBot="1" x14ac:dyDescent="0.25">
      <c r="A280" s="1642" t="s">
        <v>930</v>
      </c>
      <c r="B280" s="1631">
        <v>3000</v>
      </c>
      <c r="C280" s="615"/>
      <c r="D280" s="574">
        <v>0</v>
      </c>
      <c r="E280" s="615"/>
      <c r="F280" s="615"/>
      <c r="G280" s="615"/>
      <c r="H280" s="615"/>
      <c r="I280" s="615"/>
      <c r="J280" s="615"/>
      <c r="K280" s="1697">
        <f>D280</f>
        <v>0</v>
      </c>
      <c r="L280" s="574">
        <v>0</v>
      </c>
    </row>
    <row r="281" spans="1:12" ht="15.75" customHeight="1" thickTop="1" x14ac:dyDescent="0.2">
      <c r="A281" s="1632" t="s">
        <v>144</v>
      </c>
      <c r="B281" s="1633" t="s">
        <v>915</v>
      </c>
      <c r="C281" s="615"/>
      <c r="D281" s="564"/>
      <c r="E281" s="615"/>
      <c r="F281" s="615"/>
      <c r="G281" s="615"/>
      <c r="H281" s="615"/>
      <c r="I281" s="615"/>
      <c r="J281" s="615"/>
      <c r="K281" s="615"/>
      <c r="L281" s="615"/>
    </row>
    <row r="282" spans="1:12" ht="15.75" customHeight="1" x14ac:dyDescent="0.2">
      <c r="A282" s="1849" t="s">
        <v>517</v>
      </c>
      <c r="B282" s="689" t="s">
        <v>1953</v>
      </c>
      <c r="C282" s="615"/>
      <c r="D282" s="467">
        <v>0</v>
      </c>
      <c r="E282" s="615"/>
      <c r="F282" s="615"/>
      <c r="G282" s="615"/>
      <c r="H282" s="615"/>
      <c r="I282" s="615"/>
      <c r="J282" s="615"/>
      <c r="K282" s="1689">
        <f>D282</f>
        <v>0</v>
      </c>
      <c r="L282" s="467">
        <v>0</v>
      </c>
    </row>
    <row r="283" spans="1:12" x14ac:dyDescent="0.2">
      <c r="A283" s="1522" t="s">
        <v>322</v>
      </c>
      <c r="B283" s="613">
        <v>4120</v>
      </c>
      <c r="C283" s="615"/>
      <c r="D283" s="466">
        <v>0</v>
      </c>
      <c r="E283" s="615"/>
      <c r="F283" s="615"/>
      <c r="G283" s="615"/>
      <c r="H283" s="615"/>
      <c r="I283" s="615"/>
      <c r="J283" s="615"/>
      <c r="K283" s="1689">
        <f>D283</f>
        <v>0</v>
      </c>
      <c r="L283" s="466">
        <v>0</v>
      </c>
    </row>
    <row r="284" spans="1:12" x14ac:dyDescent="0.2">
      <c r="A284" s="1522" t="s">
        <v>721</v>
      </c>
      <c r="B284" s="613">
        <v>4140</v>
      </c>
      <c r="C284" s="615"/>
      <c r="D284" s="467">
        <v>0</v>
      </c>
      <c r="E284" s="615"/>
      <c r="F284" s="615"/>
      <c r="G284" s="615"/>
      <c r="H284" s="615"/>
      <c r="I284" s="615"/>
      <c r="J284" s="615"/>
      <c r="K284" s="1689">
        <f>D284</f>
        <v>0</v>
      </c>
      <c r="L284" s="466">
        <v>0</v>
      </c>
    </row>
    <row r="285" spans="1:12" ht="12.75" customHeight="1" thickBot="1" x14ac:dyDescent="0.25">
      <c r="A285" s="1686" t="s">
        <v>1567</v>
      </c>
      <c r="B285" s="1687" t="s">
        <v>915</v>
      </c>
      <c r="C285" s="615"/>
      <c r="D285" s="1688">
        <f>SUM(D282:D284)</f>
        <v>0</v>
      </c>
      <c r="E285" s="615"/>
      <c r="F285" s="615"/>
      <c r="G285" s="615"/>
      <c r="H285" s="615"/>
      <c r="I285" s="615"/>
      <c r="J285" s="615"/>
      <c r="K285" s="1688">
        <f>SUM(K282:K284)</f>
        <v>0</v>
      </c>
      <c r="L285" s="1688">
        <f>SUM(L282:L284)</f>
        <v>0</v>
      </c>
    </row>
    <row r="286" spans="1:12" ht="15.75" customHeight="1" thickTop="1" x14ac:dyDescent="0.2">
      <c r="A286" s="1630" t="s">
        <v>931</v>
      </c>
      <c r="B286" s="1627"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2" t="s">
        <v>89</v>
      </c>
      <c r="B288" s="613">
        <v>5110</v>
      </c>
      <c r="C288" s="615"/>
      <c r="D288" s="615"/>
      <c r="E288" s="615"/>
      <c r="F288" s="615"/>
      <c r="G288" s="615"/>
      <c r="H288" s="466">
        <v>0</v>
      </c>
      <c r="I288" s="615"/>
      <c r="J288" s="615"/>
      <c r="K288" s="1689">
        <f>H288</f>
        <v>0</v>
      </c>
      <c r="L288" s="466">
        <v>0</v>
      </c>
    </row>
    <row r="289" spans="1:14" x14ac:dyDescent="0.2">
      <c r="A289" s="1522" t="s">
        <v>90</v>
      </c>
      <c r="B289" s="613">
        <v>5120</v>
      </c>
      <c r="C289" s="615"/>
      <c r="D289" s="615"/>
      <c r="E289" s="615"/>
      <c r="F289" s="615"/>
      <c r="G289" s="615"/>
      <c r="H289" s="466">
        <v>0</v>
      </c>
      <c r="I289" s="615"/>
      <c r="J289" s="615"/>
      <c r="K289" s="1689">
        <f>H289</f>
        <v>0</v>
      </c>
      <c r="L289" s="466">
        <v>0</v>
      </c>
    </row>
    <row r="290" spans="1:14" ht="12.75" customHeight="1" x14ac:dyDescent="0.2">
      <c r="A290" s="1522" t="s">
        <v>1232</v>
      </c>
      <c r="B290" s="627" t="s">
        <v>638</v>
      </c>
      <c r="C290" s="615"/>
      <c r="D290" s="615"/>
      <c r="E290" s="615"/>
      <c r="F290" s="615"/>
      <c r="G290" s="615"/>
      <c r="H290" s="466">
        <v>0</v>
      </c>
      <c r="I290" s="615"/>
      <c r="J290" s="615"/>
      <c r="K290" s="1689">
        <f>H290</f>
        <v>0</v>
      </c>
      <c r="L290" s="466">
        <v>0</v>
      </c>
    </row>
    <row r="291" spans="1:14" x14ac:dyDescent="0.2">
      <c r="A291" s="1522" t="s">
        <v>91</v>
      </c>
      <c r="B291" s="613" t="s">
        <v>610</v>
      </c>
      <c r="C291" s="615"/>
      <c r="D291" s="615"/>
      <c r="E291" s="615"/>
      <c r="F291" s="615"/>
      <c r="G291" s="615"/>
      <c r="H291" s="466">
        <v>0</v>
      </c>
      <c r="I291" s="615"/>
      <c r="J291" s="615"/>
      <c r="K291" s="1689">
        <f>H291</f>
        <v>0</v>
      </c>
      <c r="L291" s="466">
        <v>0</v>
      </c>
    </row>
    <row r="292" spans="1:14" x14ac:dyDescent="0.2">
      <c r="A292" s="1522" t="s">
        <v>786</v>
      </c>
      <c r="B292" s="613" t="s">
        <v>639</v>
      </c>
      <c r="C292" s="615"/>
      <c r="D292" s="615"/>
      <c r="E292" s="615"/>
      <c r="F292" s="615"/>
      <c r="G292" s="615"/>
      <c r="H292" s="466">
        <v>0</v>
      </c>
      <c r="I292" s="615"/>
      <c r="J292" s="615"/>
      <c r="K292" s="1689">
        <f>H292</f>
        <v>0</v>
      </c>
      <c r="L292" s="466">
        <v>0</v>
      </c>
    </row>
    <row r="293" spans="1:14" ht="12.75" customHeight="1" thickBot="1" x14ac:dyDescent="0.25">
      <c r="A293" s="1686" t="s">
        <v>505</v>
      </c>
      <c r="B293" s="1687" t="s">
        <v>513</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3" t="s">
        <v>932</v>
      </c>
      <c r="B294" s="1631" t="s">
        <v>916</v>
      </c>
      <c r="C294" s="615"/>
      <c r="D294" s="622"/>
      <c r="E294" s="615"/>
      <c r="F294" s="615"/>
      <c r="G294" s="615"/>
      <c r="H294" s="685"/>
      <c r="I294" s="615"/>
      <c r="J294" s="615"/>
      <c r="K294" s="685"/>
      <c r="L294" s="576">
        <v>0</v>
      </c>
    </row>
    <row r="295" spans="1:14" ht="12.75" customHeight="1" thickTop="1" thickBot="1" x14ac:dyDescent="0.25">
      <c r="A295" s="2427" t="s">
        <v>526</v>
      </c>
      <c r="B295" s="2428"/>
      <c r="C295" s="615"/>
      <c r="D295" s="1688">
        <f>SUM(D229,D279,D280,D285)</f>
        <v>0</v>
      </c>
      <c r="E295" s="615"/>
      <c r="F295" s="615"/>
      <c r="G295" s="615"/>
      <c r="H295" s="1688">
        <f>H293</f>
        <v>0</v>
      </c>
      <c r="I295" s="615"/>
      <c r="J295" s="615"/>
      <c r="K295" s="1688">
        <f>SUM(K229,K279,K280,K285,K293,K294)</f>
        <v>0</v>
      </c>
      <c r="L295" s="1688">
        <f>SUM(L229,L279,L280,L285,L293,L294)</f>
        <v>0</v>
      </c>
    </row>
    <row r="296" spans="1:14" ht="13.5" thickTop="1" x14ac:dyDescent="0.2">
      <c r="A296" s="2436" t="s">
        <v>1053</v>
      </c>
      <c r="B296" s="2437"/>
      <c r="C296" s="615"/>
      <c r="D296" s="617"/>
      <c r="E296" s="615"/>
      <c r="F296" s="615"/>
      <c r="G296" s="615"/>
      <c r="H296" s="686"/>
      <c r="I296" s="615"/>
      <c r="J296" s="615"/>
      <c r="K296" s="1702">
        <f>'Revenues 9-14'!G275-'Expenditures 15-22'!K295</f>
        <v>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419" t="s">
        <v>145</v>
      </c>
      <c r="B298" s="2413"/>
      <c r="C298" s="1569"/>
      <c r="D298" s="1570"/>
      <c r="E298" s="1570"/>
      <c r="F298" s="1570"/>
      <c r="G298" s="1570"/>
      <c r="H298" s="1570"/>
      <c r="I298" s="1570"/>
      <c r="J298" s="1570"/>
      <c r="K298" s="1570"/>
      <c r="L298" s="1571"/>
    </row>
    <row r="299" spans="1:14" ht="15.75" customHeight="1" x14ac:dyDescent="0.2">
      <c r="A299" s="1630" t="s">
        <v>146</v>
      </c>
      <c r="B299" s="1633"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5" t="s">
        <v>629</v>
      </c>
      <c r="B301" s="688">
        <v>2530</v>
      </c>
      <c r="C301" s="466">
        <v>0</v>
      </c>
      <c r="D301" s="466">
        <v>0</v>
      </c>
      <c r="E301" s="466">
        <v>0</v>
      </c>
      <c r="F301" s="466">
        <v>0</v>
      </c>
      <c r="G301" s="466">
        <v>0</v>
      </c>
      <c r="H301" s="466">
        <v>0</v>
      </c>
      <c r="I301" s="467">
        <v>0</v>
      </c>
      <c r="J301" s="467">
        <v>0</v>
      </c>
      <c r="K301" s="1689">
        <f>SUM(C301:J301)</f>
        <v>0</v>
      </c>
      <c r="L301" s="467">
        <v>0</v>
      </c>
    </row>
    <row r="302" spans="1:14" ht="13.5" customHeight="1" x14ac:dyDescent="0.2">
      <c r="A302" s="1535" t="s">
        <v>1037</v>
      </c>
      <c r="B302" s="613" t="s">
        <v>595</v>
      </c>
      <c r="C302" s="466">
        <v>0</v>
      </c>
      <c r="D302" s="466">
        <v>0</v>
      </c>
      <c r="E302" s="466">
        <v>0</v>
      </c>
      <c r="F302" s="466">
        <v>0</v>
      </c>
      <c r="G302" s="466">
        <v>0</v>
      </c>
      <c r="H302" s="466">
        <v>0</v>
      </c>
      <c r="I302" s="467">
        <v>0</v>
      </c>
      <c r="J302" s="467">
        <v>0</v>
      </c>
      <c r="K302" s="1689">
        <f>SUM(C302:J302)</f>
        <v>0</v>
      </c>
      <c r="L302" s="466">
        <v>0</v>
      </c>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0" t="s">
        <v>147</v>
      </c>
      <c r="B304" s="1631"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6" t="s">
        <v>1958</v>
      </c>
      <c r="B306" s="689" t="s">
        <v>1953</v>
      </c>
      <c r="C306" s="615"/>
      <c r="D306" s="615"/>
      <c r="E306" s="467">
        <v>0</v>
      </c>
      <c r="F306" s="615"/>
      <c r="G306" s="615"/>
      <c r="H306" s="467">
        <v>0</v>
      </c>
      <c r="I306" s="615"/>
      <c r="J306" s="615"/>
      <c r="K306" s="1689">
        <f>SUM(E306,H306)</f>
        <v>0</v>
      </c>
      <c r="L306" s="467">
        <v>0</v>
      </c>
    </row>
    <row r="307" spans="1:14" x14ac:dyDescent="0.2">
      <c r="A307" s="1522" t="s">
        <v>322</v>
      </c>
      <c r="B307" s="613">
        <v>4120</v>
      </c>
      <c r="C307" s="615"/>
      <c r="D307" s="615"/>
      <c r="E307" s="467">
        <v>0</v>
      </c>
      <c r="F307" s="615"/>
      <c r="G307" s="615"/>
      <c r="H307" s="467">
        <v>0</v>
      </c>
      <c r="I307" s="476"/>
      <c r="J307" s="615"/>
      <c r="K307" s="1689">
        <f>SUM(E307,H307)</f>
        <v>0</v>
      </c>
      <c r="L307" s="466">
        <v>0</v>
      </c>
    </row>
    <row r="308" spans="1:14" x14ac:dyDescent="0.2">
      <c r="A308" s="1522" t="s">
        <v>721</v>
      </c>
      <c r="B308" s="613">
        <v>4140</v>
      </c>
      <c r="C308" s="615"/>
      <c r="D308" s="615"/>
      <c r="E308" s="467">
        <v>0</v>
      </c>
      <c r="F308" s="615"/>
      <c r="G308" s="615"/>
      <c r="H308" s="467">
        <v>0</v>
      </c>
      <c r="I308" s="476"/>
      <c r="J308" s="615"/>
      <c r="K308" s="1689">
        <f>SUM(E308,H308)</f>
        <v>0</v>
      </c>
      <c r="L308" s="466">
        <v>0</v>
      </c>
    </row>
    <row r="309" spans="1:14" ht="12.75" customHeight="1" x14ac:dyDescent="0.2">
      <c r="A309" s="1526" t="s">
        <v>722</v>
      </c>
      <c r="B309" s="627">
        <v>4190</v>
      </c>
      <c r="C309" s="615"/>
      <c r="D309" s="615"/>
      <c r="E309" s="467">
        <v>0</v>
      </c>
      <c r="F309" s="615"/>
      <c r="G309" s="615"/>
      <c r="H309" s="467">
        <v>0</v>
      </c>
      <c r="I309" s="476"/>
      <c r="J309" s="615"/>
      <c r="K309" s="1689">
        <f>SUM(E309,H309)</f>
        <v>0</v>
      </c>
      <c r="L309" s="466">
        <v>0</v>
      </c>
    </row>
    <row r="310" spans="1:14" ht="12.75" customHeight="1" thickBot="1" x14ac:dyDescent="0.25">
      <c r="A310" s="1686" t="s">
        <v>1567</v>
      </c>
      <c r="B310" s="1693" t="s">
        <v>915</v>
      </c>
      <c r="C310" s="615"/>
      <c r="D310" s="615"/>
      <c r="E310" s="1688">
        <f>SUM(E306:E309)</f>
        <v>0</v>
      </c>
      <c r="F310" s="615"/>
      <c r="G310" s="615"/>
      <c r="H310" s="1688">
        <f>SUM(H306:H309)</f>
        <v>0</v>
      </c>
      <c r="I310" s="476"/>
      <c r="J310" s="615"/>
      <c r="K310" s="1688">
        <f>SUM(K306:K309)</f>
        <v>0</v>
      </c>
      <c r="L310" s="1695">
        <f>SUM(L306:L309)</f>
        <v>0</v>
      </c>
    </row>
    <row r="311" spans="1:14" ht="15.75" customHeight="1" thickTop="1" thickBot="1" x14ac:dyDescent="0.25">
      <c r="A311" s="1637" t="s">
        <v>951</v>
      </c>
      <c r="B311" s="1629" t="s">
        <v>916</v>
      </c>
      <c r="C311" s="622"/>
      <c r="D311" s="622"/>
      <c r="E311" s="622"/>
      <c r="F311" s="622"/>
      <c r="G311" s="622"/>
      <c r="H311" s="622"/>
      <c r="I311" s="622"/>
      <c r="J311" s="615"/>
      <c r="K311" s="622"/>
      <c r="L311" s="574">
        <v>0</v>
      </c>
    </row>
    <row r="312" spans="1:14" s="673" customFormat="1" ht="12.75" customHeight="1" thickTop="1" thickBot="1" x14ac:dyDescent="0.25">
      <c r="A312" s="2424" t="s">
        <v>295</v>
      </c>
      <c r="B312" s="2425"/>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4"/>
      <c r="N312" s="664"/>
    </row>
    <row r="313" spans="1:14" ht="13.5" thickTop="1" x14ac:dyDescent="0.2">
      <c r="A313" s="2420" t="s">
        <v>1053</v>
      </c>
      <c r="B313" s="2421"/>
      <c r="C313" s="625"/>
      <c r="D313" s="625"/>
      <c r="E313" s="625"/>
      <c r="F313" s="625"/>
      <c r="G313" s="625"/>
      <c r="H313" s="625"/>
      <c r="I313" s="625"/>
      <c r="J313" s="625"/>
      <c r="K313" s="1703">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433" t="s">
        <v>151</v>
      </c>
      <c r="B315" s="2434"/>
      <c r="C315" s="1574"/>
      <c r="D315" s="1575"/>
      <c r="E315" s="1575"/>
      <c r="F315" s="1575"/>
      <c r="G315" s="1575"/>
      <c r="H315" s="1575"/>
      <c r="I315" s="1575"/>
      <c r="J315" s="1575"/>
      <c r="K315" s="1575"/>
      <c r="L315" s="1576"/>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435" t="s">
        <v>954</v>
      </c>
      <c r="B317" s="2434"/>
      <c r="C317" s="1574"/>
      <c r="D317" s="1575"/>
      <c r="E317" s="1575"/>
      <c r="F317" s="1575"/>
      <c r="G317" s="1575"/>
      <c r="H317" s="1575"/>
      <c r="I317" s="1575"/>
      <c r="J317" s="1575"/>
      <c r="K317" s="1575"/>
      <c r="L317" s="1576"/>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7" t="s">
        <v>317</v>
      </c>
      <c r="B319" s="696" t="s">
        <v>299</v>
      </c>
      <c r="C319" s="467">
        <v>0</v>
      </c>
      <c r="D319" s="467">
        <v>0</v>
      </c>
      <c r="E319" s="467">
        <v>0</v>
      </c>
      <c r="F319" s="467">
        <v>0</v>
      </c>
      <c r="G319" s="467">
        <v>0</v>
      </c>
      <c r="H319" s="467">
        <v>0</v>
      </c>
      <c r="I319" s="467">
        <v>0</v>
      </c>
      <c r="J319" s="467">
        <v>0</v>
      </c>
      <c r="K319" s="1689">
        <f>SUM(C319:J319)</f>
        <v>0</v>
      </c>
      <c r="L319" s="467">
        <v>0</v>
      </c>
      <c r="M319" s="664"/>
      <c r="N319" s="664"/>
    </row>
    <row r="320" spans="1:14" s="673" customFormat="1" x14ac:dyDescent="0.2">
      <c r="A320" s="1541" t="s">
        <v>1904</v>
      </c>
      <c r="B320" s="697" t="s">
        <v>300</v>
      </c>
      <c r="C320" s="467">
        <v>0</v>
      </c>
      <c r="D320" s="467">
        <v>0</v>
      </c>
      <c r="E320" s="467">
        <v>0</v>
      </c>
      <c r="F320" s="467">
        <v>0</v>
      </c>
      <c r="G320" s="467">
        <v>0</v>
      </c>
      <c r="H320" s="467">
        <v>0</v>
      </c>
      <c r="I320" s="467">
        <v>0</v>
      </c>
      <c r="J320" s="467">
        <v>0</v>
      </c>
      <c r="K320" s="1689">
        <f t="shared" ref="K320:K327" si="24">SUM(C320:J320)</f>
        <v>0</v>
      </c>
      <c r="L320" s="467">
        <v>0</v>
      </c>
      <c r="M320" s="664"/>
      <c r="N320" s="664"/>
    </row>
    <row r="321" spans="1:14" s="673" customFormat="1" x14ac:dyDescent="0.2">
      <c r="A321" s="1537" t="s">
        <v>318</v>
      </c>
      <c r="B321" s="696" t="s">
        <v>301</v>
      </c>
      <c r="C321" s="467">
        <v>0</v>
      </c>
      <c r="D321" s="467">
        <v>0</v>
      </c>
      <c r="E321" s="467">
        <v>0</v>
      </c>
      <c r="F321" s="467">
        <v>0</v>
      </c>
      <c r="G321" s="467">
        <v>0</v>
      </c>
      <c r="H321" s="467">
        <v>0</v>
      </c>
      <c r="I321" s="467">
        <v>0</v>
      </c>
      <c r="J321" s="467">
        <v>0</v>
      </c>
      <c r="K321" s="1689">
        <f t="shared" si="24"/>
        <v>0</v>
      </c>
      <c r="L321" s="467">
        <v>0</v>
      </c>
      <c r="M321" s="664"/>
      <c r="N321" s="664"/>
    </row>
    <row r="322" spans="1:14" s="673" customFormat="1" x14ac:dyDescent="0.2">
      <c r="A322" s="1537" t="s">
        <v>256</v>
      </c>
      <c r="B322" s="696" t="s">
        <v>302</v>
      </c>
      <c r="C322" s="467">
        <v>0</v>
      </c>
      <c r="D322" s="467">
        <v>0</v>
      </c>
      <c r="E322" s="467">
        <v>0</v>
      </c>
      <c r="F322" s="467">
        <v>0</v>
      </c>
      <c r="G322" s="467">
        <v>0</v>
      </c>
      <c r="H322" s="467">
        <v>0</v>
      </c>
      <c r="I322" s="467">
        <v>0</v>
      </c>
      <c r="J322" s="467">
        <v>0</v>
      </c>
      <c r="K322" s="1689">
        <f t="shared" si="24"/>
        <v>0</v>
      </c>
      <c r="L322" s="467">
        <v>0</v>
      </c>
      <c r="M322" s="664"/>
      <c r="N322" s="664"/>
    </row>
    <row r="323" spans="1:14" s="673" customFormat="1" x14ac:dyDescent="0.2">
      <c r="A323" s="1537" t="s">
        <v>726</v>
      </c>
      <c r="B323" s="696" t="s">
        <v>303</v>
      </c>
      <c r="C323" s="467">
        <v>0</v>
      </c>
      <c r="D323" s="467">
        <v>0</v>
      </c>
      <c r="E323" s="467">
        <v>0</v>
      </c>
      <c r="F323" s="467">
        <v>0</v>
      </c>
      <c r="G323" s="467">
        <v>0</v>
      </c>
      <c r="H323" s="467">
        <v>0</v>
      </c>
      <c r="I323" s="467">
        <v>0</v>
      </c>
      <c r="J323" s="467">
        <v>0</v>
      </c>
      <c r="K323" s="1689">
        <f t="shared" si="24"/>
        <v>0</v>
      </c>
      <c r="L323" s="467">
        <v>0</v>
      </c>
      <c r="M323" s="664"/>
      <c r="N323" s="664"/>
    </row>
    <row r="324" spans="1:14" s="673" customFormat="1" x14ac:dyDescent="0.2">
      <c r="A324" s="1537" t="s">
        <v>257</v>
      </c>
      <c r="B324" s="696" t="s">
        <v>304</v>
      </c>
      <c r="C324" s="467">
        <v>0</v>
      </c>
      <c r="D324" s="467">
        <v>0</v>
      </c>
      <c r="E324" s="467">
        <v>0</v>
      </c>
      <c r="F324" s="467">
        <v>0</v>
      </c>
      <c r="G324" s="467">
        <v>0</v>
      </c>
      <c r="H324" s="467">
        <v>0</v>
      </c>
      <c r="I324" s="467">
        <v>0</v>
      </c>
      <c r="J324" s="467">
        <v>0</v>
      </c>
      <c r="K324" s="1689">
        <f t="shared" si="24"/>
        <v>0</v>
      </c>
      <c r="L324" s="467">
        <v>0</v>
      </c>
      <c r="M324" s="664"/>
      <c r="N324" s="664"/>
    </row>
    <row r="325" spans="1:14" s="673" customFormat="1" ht="22.5" x14ac:dyDescent="0.2">
      <c r="A325" s="1537" t="s">
        <v>1087</v>
      </c>
      <c r="B325" s="697" t="s">
        <v>305</v>
      </c>
      <c r="C325" s="467">
        <v>0</v>
      </c>
      <c r="D325" s="467">
        <v>0</v>
      </c>
      <c r="E325" s="467">
        <v>0</v>
      </c>
      <c r="F325" s="467">
        <v>0</v>
      </c>
      <c r="G325" s="467">
        <v>0</v>
      </c>
      <c r="H325" s="467">
        <v>0</v>
      </c>
      <c r="I325" s="467">
        <v>0</v>
      </c>
      <c r="J325" s="467">
        <v>0</v>
      </c>
      <c r="K325" s="1689">
        <f t="shared" si="24"/>
        <v>0</v>
      </c>
      <c r="L325" s="467">
        <v>0</v>
      </c>
      <c r="M325" s="664"/>
      <c r="N325" s="664"/>
    </row>
    <row r="326" spans="1:14" s="673" customFormat="1" x14ac:dyDescent="0.2">
      <c r="A326" s="1537" t="s">
        <v>1088</v>
      </c>
      <c r="B326" s="696" t="s">
        <v>306</v>
      </c>
      <c r="C326" s="467">
        <v>0</v>
      </c>
      <c r="D326" s="467">
        <v>0</v>
      </c>
      <c r="E326" s="467">
        <v>0</v>
      </c>
      <c r="F326" s="467">
        <v>0</v>
      </c>
      <c r="G326" s="467">
        <v>0</v>
      </c>
      <c r="H326" s="467">
        <v>0</v>
      </c>
      <c r="I326" s="467">
        <v>0</v>
      </c>
      <c r="J326" s="467">
        <v>0</v>
      </c>
      <c r="K326" s="1689">
        <f t="shared" si="24"/>
        <v>0</v>
      </c>
      <c r="L326" s="467">
        <v>0</v>
      </c>
      <c r="M326" s="664"/>
      <c r="N326" s="664"/>
    </row>
    <row r="327" spans="1:14" s="673" customFormat="1" x14ac:dyDescent="0.2">
      <c r="A327" s="1537" t="s">
        <v>1028</v>
      </c>
      <c r="B327" s="696" t="s">
        <v>307</v>
      </c>
      <c r="C327" s="467">
        <v>0</v>
      </c>
      <c r="D327" s="467">
        <v>0</v>
      </c>
      <c r="E327" s="467">
        <v>0</v>
      </c>
      <c r="F327" s="467">
        <v>0</v>
      </c>
      <c r="G327" s="467">
        <v>0</v>
      </c>
      <c r="H327" s="467">
        <v>0</v>
      </c>
      <c r="I327" s="467">
        <v>0</v>
      </c>
      <c r="J327" s="467">
        <v>0</v>
      </c>
      <c r="K327" s="1689">
        <f t="shared" si="24"/>
        <v>0</v>
      </c>
      <c r="L327" s="467">
        <v>0</v>
      </c>
      <c r="M327" s="664"/>
      <c r="N327" s="664"/>
    </row>
    <row r="328" spans="1:14" s="673" customFormat="1" x14ac:dyDescent="0.2">
      <c r="A328" s="1538" t="s">
        <v>492</v>
      </c>
      <c r="B328" s="689" t="s">
        <v>1194</v>
      </c>
      <c r="C328" s="474">
        <v>0</v>
      </c>
      <c r="D328" s="474">
        <v>0</v>
      </c>
      <c r="E328" s="474">
        <v>0</v>
      </c>
      <c r="F328" s="474">
        <v>0</v>
      </c>
      <c r="G328" s="474">
        <v>0</v>
      </c>
      <c r="H328" s="474">
        <v>0</v>
      </c>
      <c r="I328" s="474">
        <v>0</v>
      </c>
      <c r="J328" s="474">
        <v>0</v>
      </c>
      <c r="K328" s="1717">
        <f>SUM(C328:J328)</f>
        <v>0</v>
      </c>
      <c r="L328" s="474">
        <v>0</v>
      </c>
      <c r="M328" s="664"/>
      <c r="N328" s="664"/>
    </row>
    <row r="329" spans="1:14" s="673" customFormat="1" x14ac:dyDescent="0.2">
      <c r="A329" s="1538" t="s">
        <v>1195</v>
      </c>
      <c r="B329" s="689" t="s">
        <v>1196</v>
      </c>
      <c r="C329" s="474">
        <v>0</v>
      </c>
      <c r="D329" s="474">
        <v>0</v>
      </c>
      <c r="E329" s="474">
        <v>0</v>
      </c>
      <c r="F329" s="474">
        <v>0</v>
      </c>
      <c r="G329" s="474">
        <v>0</v>
      </c>
      <c r="H329" s="474">
        <v>0</v>
      </c>
      <c r="I329" s="474">
        <v>0</v>
      </c>
      <c r="J329" s="474">
        <v>0</v>
      </c>
      <c r="K329" s="1717">
        <f>SUM(C329:J329)</f>
        <v>0</v>
      </c>
      <c r="L329" s="474">
        <v>0</v>
      </c>
      <c r="M329" s="664"/>
      <c r="N329" s="664"/>
    </row>
    <row r="330" spans="1:14" s="673" customFormat="1" ht="12.75" customHeight="1" thickBot="1" x14ac:dyDescent="0.25">
      <c r="A330" s="1718" t="s">
        <v>741</v>
      </c>
      <c r="B330" s="1687" t="s">
        <v>590</v>
      </c>
      <c r="C330" s="1688">
        <f>SUM(C319:C329)</f>
        <v>0</v>
      </c>
      <c r="D330" s="1688">
        <f t="shared" ref="D330:J330" si="25">SUM(D319:D329)</f>
        <v>0</v>
      </c>
      <c r="E330" s="1688">
        <f t="shared" si="25"/>
        <v>0</v>
      </c>
      <c r="F330" s="1688">
        <f t="shared" si="25"/>
        <v>0</v>
      </c>
      <c r="G330" s="1688">
        <f t="shared" si="25"/>
        <v>0</v>
      </c>
      <c r="H330" s="1688">
        <f t="shared" si="25"/>
        <v>0</v>
      </c>
      <c r="I330" s="1688">
        <f t="shared" si="25"/>
        <v>0</v>
      </c>
      <c r="J330" s="1688">
        <f t="shared" si="25"/>
        <v>0</v>
      </c>
      <c r="K330" s="1688">
        <f>SUM(K319:K329)</f>
        <v>0</v>
      </c>
      <c r="L330" s="1688">
        <f>SUM(L319:L329)</f>
        <v>0</v>
      </c>
      <c r="M330" s="664"/>
      <c r="N330" s="664"/>
    </row>
    <row r="331" spans="1:14" s="673" customFormat="1" ht="12.75" customHeight="1" thickTop="1" x14ac:dyDescent="0.2">
      <c r="A331" s="1850" t="s">
        <v>1959</v>
      </c>
      <c r="B331" s="646" t="s">
        <v>915</v>
      </c>
      <c r="C331" s="1852"/>
      <c r="D331" s="1852"/>
      <c r="E331" s="1852"/>
      <c r="F331" s="1852"/>
      <c r="G331" s="1852"/>
      <c r="H331" s="1852"/>
      <c r="I331" s="1852"/>
      <c r="J331" s="1852"/>
      <c r="K331" s="1852"/>
      <c r="L331" s="1852"/>
      <c r="M331" s="664"/>
      <c r="N331" s="664"/>
    </row>
    <row r="332" spans="1:14" s="673" customFormat="1" ht="12.75" customHeight="1" x14ac:dyDescent="0.2">
      <c r="A332" s="1851" t="s">
        <v>517</v>
      </c>
      <c r="B332" s="1846" t="s">
        <v>1953</v>
      </c>
      <c r="C332" s="1852"/>
      <c r="D332" s="1852"/>
      <c r="E332" s="1852"/>
      <c r="F332" s="1852"/>
      <c r="G332" s="1852"/>
      <c r="H332" s="467">
        <v>0</v>
      </c>
      <c r="I332" s="1852"/>
      <c r="J332" s="1852"/>
      <c r="K332" s="1689">
        <f>H332</f>
        <v>0</v>
      </c>
      <c r="L332" s="467">
        <v>0</v>
      </c>
      <c r="M332" s="664"/>
      <c r="N332" s="664"/>
    </row>
    <row r="333" spans="1:14" s="673" customFormat="1" ht="12.75" customHeight="1" x14ac:dyDescent="0.2">
      <c r="A333" s="1851" t="s">
        <v>322</v>
      </c>
      <c r="B333" s="1846" t="s">
        <v>1955</v>
      </c>
      <c r="C333" s="1852"/>
      <c r="D333" s="1852"/>
      <c r="E333" s="1852"/>
      <c r="F333" s="1852"/>
      <c r="G333" s="1852"/>
      <c r="H333" s="467">
        <v>0</v>
      </c>
      <c r="I333" s="1852"/>
      <c r="J333" s="1852"/>
      <c r="K333" s="1689">
        <f>H333</f>
        <v>0</v>
      </c>
      <c r="L333" s="467">
        <v>0</v>
      </c>
      <c r="M333" s="664"/>
      <c r="N333" s="664"/>
    </row>
    <row r="334" spans="1:14" s="673" customFormat="1" ht="12.75" customHeight="1" thickBot="1" x14ac:dyDescent="0.25">
      <c r="A334" s="1851" t="s">
        <v>1960</v>
      </c>
      <c r="B334" s="1846" t="s">
        <v>915</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4" t="s">
        <v>955</v>
      </c>
      <c r="B335" s="1625"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6" t="s">
        <v>89</v>
      </c>
      <c r="B337" s="689" t="s">
        <v>956</v>
      </c>
      <c r="C337" s="637"/>
      <c r="D337" s="637"/>
      <c r="E337" s="637"/>
      <c r="F337" s="637"/>
      <c r="G337" s="637"/>
      <c r="H337" s="477">
        <v>0</v>
      </c>
      <c r="I337" s="637"/>
      <c r="J337" s="637"/>
      <c r="K337" s="1689">
        <f>H337</f>
        <v>0</v>
      </c>
      <c r="L337" s="477">
        <v>0</v>
      </c>
    </row>
    <row r="338" spans="1:14" ht="12.75" customHeight="1" x14ac:dyDescent="0.2">
      <c r="A338" s="1536" t="s">
        <v>1232</v>
      </c>
      <c r="B338" s="689" t="s">
        <v>638</v>
      </c>
      <c r="C338" s="637"/>
      <c r="D338" s="637"/>
      <c r="E338" s="637"/>
      <c r="F338" s="637"/>
      <c r="G338" s="637"/>
      <c r="H338" s="477">
        <v>0</v>
      </c>
      <c r="I338" s="637"/>
      <c r="J338" s="637"/>
      <c r="K338" s="1689">
        <f>H338</f>
        <v>0</v>
      </c>
      <c r="L338" s="477">
        <v>0</v>
      </c>
    </row>
    <row r="339" spans="1:14" x14ac:dyDescent="0.2">
      <c r="A339" s="1522" t="s">
        <v>957</v>
      </c>
      <c r="B339" s="627">
        <v>5150</v>
      </c>
      <c r="C339" s="637"/>
      <c r="D339" s="637"/>
      <c r="E339" s="637"/>
      <c r="F339" s="637"/>
      <c r="G339" s="637"/>
      <c r="H339" s="467">
        <v>0</v>
      </c>
      <c r="I339" s="637"/>
      <c r="J339" s="637"/>
      <c r="K339" s="1689">
        <f>H339</f>
        <v>0</v>
      </c>
      <c r="L339" s="467">
        <v>0</v>
      </c>
    </row>
    <row r="340" spans="1:14" ht="13.5" thickBot="1" x14ac:dyDescent="0.25">
      <c r="A340" s="1712" t="s">
        <v>958</v>
      </c>
      <c r="B340" s="1687" t="s">
        <v>513</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7" t="s">
        <v>959</v>
      </c>
      <c r="B341" s="1629" t="s">
        <v>916</v>
      </c>
      <c r="C341" s="615"/>
      <c r="D341" s="615"/>
      <c r="E341" s="476"/>
      <c r="F341" s="468"/>
      <c r="G341" s="468"/>
      <c r="H341" s="476"/>
      <c r="I341" s="476"/>
      <c r="J341" s="468"/>
      <c r="K341" s="476"/>
      <c r="L341" s="574">
        <v>0</v>
      </c>
    </row>
    <row r="342" spans="1:14" ht="12.75" customHeight="1" thickTop="1" thickBot="1" x14ac:dyDescent="0.25">
      <c r="A342" s="1704" t="s">
        <v>526</v>
      </c>
      <c r="B342" s="1719"/>
      <c r="C342" s="1688">
        <f>SUM(C330)</f>
        <v>0</v>
      </c>
      <c r="D342" s="1688">
        <f>SUM(D330)</f>
        <v>0</v>
      </c>
      <c r="E342" s="1688">
        <f>SUM(E330)</f>
        <v>0</v>
      </c>
      <c r="F342" s="1688">
        <f>SUM(F330)</f>
        <v>0</v>
      </c>
      <c r="G342" s="1688">
        <f>SUM(G330)</f>
        <v>0</v>
      </c>
      <c r="H342" s="1688">
        <f>SUM(H330,H334,H340)</f>
        <v>0</v>
      </c>
      <c r="I342" s="1688">
        <f>SUM(I330)</f>
        <v>0</v>
      </c>
      <c r="J342" s="1688">
        <f>SUM(J330)</f>
        <v>0</v>
      </c>
      <c r="K342" s="1688">
        <f>SUM(K330,K334,K340)</f>
        <v>0</v>
      </c>
      <c r="L342" s="1695">
        <f>SUM(L330,L340,L341)</f>
        <v>0</v>
      </c>
    </row>
    <row r="343" spans="1:14" ht="12.75" customHeight="1" thickTop="1" x14ac:dyDescent="0.2">
      <c r="A343" s="2422" t="s">
        <v>1053</v>
      </c>
      <c r="B343" s="2423"/>
      <c r="C343" s="615"/>
      <c r="D343" s="615"/>
      <c r="E343" s="615"/>
      <c r="F343" s="615"/>
      <c r="G343" s="615"/>
      <c r="H343" s="615"/>
      <c r="I343" s="615"/>
      <c r="J343" s="615"/>
      <c r="K343" s="1702">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412" t="s">
        <v>1023</v>
      </c>
      <c r="B345" s="2413"/>
      <c r="C345" s="1569"/>
      <c r="D345" s="1570"/>
      <c r="E345" s="1570"/>
      <c r="F345" s="1570"/>
      <c r="G345" s="1570"/>
      <c r="H345" s="1570"/>
      <c r="I345" s="1570"/>
      <c r="J345" s="1570"/>
      <c r="K345" s="1570"/>
      <c r="L345" s="1571"/>
      <c r="M345" s="666"/>
      <c r="N345" s="666"/>
    </row>
    <row r="346" spans="1:14" s="343" customFormat="1" ht="15.75" customHeight="1" x14ac:dyDescent="0.2">
      <c r="A346" s="1641" t="s">
        <v>899</v>
      </c>
      <c r="B346" s="1633"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2" t="s">
        <v>4</v>
      </c>
      <c r="B348" s="613">
        <v>2530</v>
      </c>
      <c r="C348" s="466">
        <v>0</v>
      </c>
      <c r="D348" s="466">
        <v>0</v>
      </c>
      <c r="E348" s="466">
        <v>0</v>
      </c>
      <c r="F348" s="466">
        <v>0</v>
      </c>
      <c r="G348" s="466">
        <v>0</v>
      </c>
      <c r="H348" s="466">
        <v>0</v>
      </c>
      <c r="I348" s="467">
        <v>0</v>
      </c>
      <c r="J348" s="467">
        <v>0</v>
      </c>
      <c r="K348" s="1689">
        <f>SUM(C348:J348)</f>
        <v>0</v>
      </c>
      <c r="L348" s="466">
        <v>0</v>
      </c>
    </row>
    <row r="349" spans="1:14" x14ac:dyDescent="0.2">
      <c r="A349" s="1522" t="s">
        <v>206</v>
      </c>
      <c r="B349" s="613">
        <v>2540</v>
      </c>
      <c r="C349" s="466">
        <v>0</v>
      </c>
      <c r="D349" s="466">
        <v>0</v>
      </c>
      <c r="E349" s="466">
        <v>0</v>
      </c>
      <c r="F349" s="466">
        <v>0</v>
      </c>
      <c r="G349" s="466">
        <v>0</v>
      </c>
      <c r="H349" s="466">
        <v>0</v>
      </c>
      <c r="I349" s="467">
        <v>0</v>
      </c>
      <c r="J349" s="467">
        <v>0</v>
      </c>
      <c r="K349" s="1689">
        <f>SUM(C349:J349)</f>
        <v>0</v>
      </c>
      <c r="L349" s="466">
        <v>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0</v>
      </c>
      <c r="H350" s="1688">
        <f t="shared" si="26"/>
        <v>0</v>
      </c>
      <c r="I350" s="1688">
        <f t="shared" si="26"/>
        <v>0</v>
      </c>
      <c r="J350" s="1688">
        <f t="shared" si="26"/>
        <v>0</v>
      </c>
      <c r="K350" s="1688">
        <f t="shared" si="26"/>
        <v>0</v>
      </c>
      <c r="L350" s="1688">
        <f t="shared" si="26"/>
        <v>0</v>
      </c>
    </row>
    <row r="351" spans="1:14" ht="12.75" customHeight="1" thickTop="1" x14ac:dyDescent="0.2">
      <c r="A351" s="1528"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0</v>
      </c>
      <c r="H352" s="1688">
        <f t="shared" si="27"/>
        <v>0</v>
      </c>
      <c r="I352" s="1688">
        <f t="shared" si="27"/>
        <v>0</v>
      </c>
      <c r="J352" s="1688">
        <f t="shared" si="27"/>
        <v>0</v>
      </c>
      <c r="K352" s="1688">
        <f t="shared" si="27"/>
        <v>0</v>
      </c>
      <c r="L352" s="1688">
        <f t="shared" si="27"/>
        <v>0</v>
      </c>
    </row>
    <row r="353" spans="1:14" s="343" customFormat="1" ht="15.75" customHeight="1" thickTop="1" x14ac:dyDescent="0.2">
      <c r="A353" s="1630" t="s">
        <v>646</v>
      </c>
      <c r="B353" s="1627" t="s">
        <v>915</v>
      </c>
      <c r="C353" s="615"/>
      <c r="D353" s="615"/>
      <c r="E353" s="615"/>
      <c r="F353" s="615"/>
      <c r="G353" s="615"/>
      <c r="H353" s="615"/>
      <c r="I353" s="615"/>
      <c r="J353" s="615"/>
      <c r="K353" s="615"/>
      <c r="L353" s="615"/>
      <c r="M353" s="608"/>
      <c r="N353" s="608"/>
    </row>
    <row r="354" spans="1:14" x14ac:dyDescent="0.2">
      <c r="A354" s="1853" t="s">
        <v>1961</v>
      </c>
      <c r="B354" s="682" t="s">
        <v>1953</v>
      </c>
      <c r="C354" s="615"/>
      <c r="D354" s="615"/>
      <c r="E354" s="615"/>
      <c r="F354" s="615"/>
      <c r="G354" s="615"/>
      <c r="H354" s="474">
        <v>0</v>
      </c>
      <c r="I354" s="700"/>
      <c r="J354" s="615"/>
      <c r="K354" s="1717">
        <f>H354</f>
        <v>0</v>
      </c>
      <c r="L354" s="471">
        <v>0</v>
      </c>
    </row>
    <row r="355" spans="1:14" ht="12.75" customHeight="1" x14ac:dyDescent="0.2">
      <c r="A355" s="1531" t="s">
        <v>1962</v>
      </c>
      <c r="B355" s="689" t="s">
        <v>1955</v>
      </c>
      <c r="C355" s="615"/>
      <c r="D355" s="615"/>
      <c r="E355" s="615"/>
      <c r="F355" s="615"/>
      <c r="G355" s="615"/>
      <c r="H355" s="467">
        <v>0</v>
      </c>
      <c r="I355" s="700"/>
      <c r="J355" s="615"/>
      <c r="K355" s="1761">
        <f>H355</f>
        <v>0</v>
      </c>
      <c r="L355" s="467">
        <v>0</v>
      </c>
    </row>
    <row r="356" spans="1:14" ht="12.75" customHeight="1" x14ac:dyDescent="0.2">
      <c r="A356" s="1853" t="s">
        <v>722</v>
      </c>
      <c r="B356" s="682" t="s">
        <v>579</v>
      </c>
      <c r="C356" s="615"/>
      <c r="D356" s="615"/>
      <c r="E356" s="615"/>
      <c r="F356" s="615"/>
      <c r="G356" s="615"/>
      <c r="H356" s="478">
        <v>0</v>
      </c>
      <c r="I356" s="700"/>
      <c r="J356" s="615"/>
      <c r="K356" s="1758">
        <f>H356</f>
        <v>0</v>
      </c>
      <c r="L356" s="478">
        <v>0</v>
      </c>
    </row>
    <row r="357" spans="1:14" ht="12.75" customHeight="1" thickBot="1" x14ac:dyDescent="0.25">
      <c r="A357" s="1686" t="s">
        <v>1567</v>
      </c>
      <c r="B357" s="1687" t="s">
        <v>915</v>
      </c>
      <c r="C357" s="615"/>
      <c r="D357" s="615"/>
      <c r="E357" s="615"/>
      <c r="F357" s="615"/>
      <c r="G357" s="615"/>
      <c r="H357" s="1706">
        <f>SUM(H354:H356)</f>
        <v>0</v>
      </c>
      <c r="I357" s="700"/>
      <c r="J357" s="615"/>
      <c r="K357" s="1706">
        <f>SUM(K354:K356)</f>
        <v>0</v>
      </c>
      <c r="L357" s="1706">
        <f>SUM(L354:L356)</f>
        <v>0</v>
      </c>
    </row>
    <row r="358" spans="1:14" s="343" customFormat="1" ht="15.75" customHeight="1" thickTop="1" x14ac:dyDescent="0.2">
      <c r="A358" s="1630" t="s">
        <v>1005</v>
      </c>
      <c r="B358" s="1627"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2" t="s">
        <v>89</v>
      </c>
      <c r="B360" s="613">
        <v>5110</v>
      </c>
      <c r="C360" s="615"/>
      <c r="D360" s="615"/>
      <c r="E360" s="615"/>
      <c r="F360" s="615"/>
      <c r="G360" s="615"/>
      <c r="H360" s="467">
        <v>0</v>
      </c>
      <c r="I360" s="615"/>
      <c r="J360" s="615"/>
      <c r="K360" s="1689">
        <f>SUM(C360:J360)</f>
        <v>0</v>
      </c>
      <c r="L360" s="466">
        <v>0</v>
      </c>
    </row>
    <row r="361" spans="1:14" ht="12.75" customHeight="1" x14ac:dyDescent="0.2">
      <c r="A361" s="1523" t="s">
        <v>640</v>
      </c>
      <c r="B361" s="601" t="s">
        <v>639</v>
      </c>
      <c r="C361" s="615"/>
      <c r="D361" s="615"/>
      <c r="E361" s="615"/>
      <c r="F361" s="615"/>
      <c r="G361" s="615"/>
      <c r="H361" s="467">
        <v>0</v>
      </c>
      <c r="I361" s="615"/>
      <c r="J361" s="615"/>
      <c r="K361" s="1689">
        <f>SUM(C361:J361)</f>
        <v>0</v>
      </c>
      <c r="L361" s="466">
        <v>0</v>
      </c>
    </row>
    <row r="362" spans="1:14" ht="12.75" customHeight="1" thickBot="1" x14ac:dyDescent="0.25">
      <c r="A362" s="1686" t="s">
        <v>647</v>
      </c>
      <c r="B362" s="1687" t="s">
        <v>742</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8">
        <v>0</v>
      </c>
      <c r="I363" s="637"/>
      <c r="J363" s="637"/>
      <c r="K363" s="1717">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89">
        <f>SUM(C364:J364)</f>
        <v>0</v>
      </c>
      <c r="L364" s="706">
        <v>0</v>
      </c>
    </row>
    <row r="365" spans="1:14" s="673" customFormat="1" ht="12.75" customHeight="1" thickBot="1" x14ac:dyDescent="0.25">
      <c r="A365" s="1539" t="s">
        <v>611</v>
      </c>
      <c r="B365" s="658" t="s">
        <v>513</v>
      </c>
      <c r="C365" s="637"/>
      <c r="D365" s="637"/>
      <c r="E365" s="637"/>
      <c r="F365" s="637"/>
      <c r="G365" s="637"/>
      <c r="H365" s="1721">
        <f>SUM(H362,H363,H364)</f>
        <v>0</v>
      </c>
      <c r="I365" s="637"/>
      <c r="J365" s="637"/>
      <c r="K365" s="1721">
        <f>SUM(K362,K363,K364)</f>
        <v>0</v>
      </c>
      <c r="L365" s="1721">
        <f>SUM(L362,L363,L364)</f>
        <v>0</v>
      </c>
      <c r="M365" s="664"/>
      <c r="N365" s="664"/>
    </row>
    <row r="366" spans="1:14" s="343" customFormat="1" ht="15.75" customHeight="1" thickTop="1" thickBot="1" x14ac:dyDescent="0.25">
      <c r="A366" s="1624" t="s">
        <v>1006</v>
      </c>
      <c r="B366" s="1631" t="s">
        <v>916</v>
      </c>
      <c r="C366" s="622"/>
      <c r="D366" s="622"/>
      <c r="E366" s="622"/>
      <c r="F366" s="622"/>
      <c r="G366" s="622"/>
      <c r="H366" s="622"/>
      <c r="I366" s="622"/>
      <c r="J366" s="615"/>
      <c r="K366" s="622"/>
      <c r="L366" s="571">
        <v>0</v>
      </c>
      <c r="M366" s="608"/>
      <c r="N366" s="608"/>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0</v>
      </c>
      <c r="H367" s="1688">
        <f t="shared" si="28"/>
        <v>0</v>
      </c>
      <c r="I367" s="1688">
        <f t="shared" si="28"/>
        <v>0</v>
      </c>
      <c r="J367" s="1688">
        <f t="shared" si="28"/>
        <v>0</v>
      </c>
      <c r="K367" s="1688">
        <f t="shared" si="28"/>
        <v>0</v>
      </c>
      <c r="L367" s="1688">
        <f t="shared" si="28"/>
        <v>0</v>
      </c>
    </row>
    <row r="368" spans="1:14" ht="13.5" thickTop="1" x14ac:dyDescent="0.2">
      <c r="A368" s="2436" t="s">
        <v>1053</v>
      </c>
      <c r="B368" s="2437"/>
      <c r="C368" s="653"/>
      <c r="D368" s="653"/>
      <c r="E368" s="625"/>
      <c r="F368" s="625"/>
      <c r="G368" s="625"/>
      <c r="H368" s="625"/>
      <c r="I368" s="625"/>
      <c r="J368" s="622"/>
      <c r="K368" s="1689">
        <f>'Revenues 9-14'!K275-'Expenditures 15-22'!K367</f>
        <v>0</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6ce3111e-7420-4802-b50a-75d4e9a0b980"/>
    <ds:schemaRef ds:uri="http://schemas.microsoft.com/office/2006/metadata/properties"/>
    <ds:schemaRef ds:uri="http://www.w3.org/XML/1998/namespace"/>
    <ds:schemaRef ds:uri="http://purl.org/dc/dcmitype/"/>
    <ds:schemaRef ds:uri="http://schemas.microsoft.com/office/infopath/2007/PartnerControls"/>
    <ds:schemaRef ds:uri="http://schemas.microsoft.com/sharepoint/v3"/>
    <ds:schemaRef ds:uri="http://purl.org/dc/terms/"/>
    <ds:schemaRef ds:uri="d21dc803-237d-4c68-8692-8d731fd29118"/>
    <ds:schemaRef ds:uri="http://schemas.openxmlformats.org/package/2006/metadata/core-properties"/>
    <ds:schemaRef ds:uri="4d435f69-8686-490b-bd6d-b153bf22ab5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18</vt:lpstr>
      <vt:lpstr> SEFA</vt:lpstr>
      <vt:lpstr>SF&amp;QC Sec-1</vt:lpstr>
      <vt:lpstr>SF&amp;QC Sec-Finding 2018-001</vt:lpstr>
      <vt:lpstr>SF&amp;QC Sec-3</vt:lpstr>
      <vt:lpstr>SSPAF</vt:lpstr>
      <vt:lpstr>CAP</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2018-10-24T17:16:28Z</cp:lastPrinted>
  <dcterms:created xsi:type="dcterms:W3CDTF">2003-10-29T19:06:34Z</dcterms:created>
  <dcterms:modified xsi:type="dcterms:W3CDTF">2018-10-29T19:42:22Z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