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5" windowWidth="12120" windowHeight="1014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2)" sheetId="190" r:id="rId28"/>
    <sheet name="SEFA NOTES" sheetId="173" r:id="rId29"/>
    <sheet name=" SEFA" sheetId="179" r:id="rId30"/>
    <sheet name=" SEFA (2)" sheetId="183" r:id="rId31"/>
    <sheet name=" SEFA (3)" sheetId="184" r:id="rId32"/>
    <sheet name=" SEFA (4)" sheetId="186" r:id="rId33"/>
    <sheet name="SF&amp;QC Sec-1" sheetId="174" r:id="rId34"/>
    <sheet name="SF&amp;QC Sec-2 2018-001" sheetId="175" r:id="rId35"/>
    <sheet name="SF&amp;QC Sec-3 2018-002a" sheetId="176" r:id="rId36"/>
    <sheet name="SF&amp;QC Sec-3 2018-002b" sheetId="189" r:id="rId37"/>
    <sheet name="SF&amp;QC Sec-3 2018-003a" sheetId="185" r:id="rId38"/>
    <sheet name="SF&amp;QC Sec-3 2018-003b" sheetId="187" r:id="rId39"/>
    <sheet name="SSPAF" sheetId="177" r:id="rId40"/>
  </sheets>
  <definedNames>
    <definedName name="_xlnm.Print_Area" localSheetId="29">' SEFA'!$B$1:$M$45</definedName>
    <definedName name="_xlnm.Print_Area" localSheetId="30">' SEFA (2)'!$B$1:$M$45</definedName>
    <definedName name="_xlnm.Print_Area" localSheetId="31">' SEFA (3)'!$B$1:$M$45</definedName>
    <definedName name="_xlnm.Print_Area" localSheetId="32">' SEFA (4)'!$B$1:$M$45</definedName>
    <definedName name="_xlnm.Print_Area" localSheetId="28">'SEFA NOTES'!$A$1:$F$52</definedName>
    <definedName name="_xlnm.Print_Area" localSheetId="27">'SEFA NOTES (2)'!$A$1:$F$52</definedName>
    <definedName name="_xlnm.Print_Area" localSheetId="26">'SEFA Reconcile'!$A$1:$E$49</definedName>
    <definedName name="_xlnm.Print_Area" localSheetId="33">'SF&amp;QC Sec-1'!$A$1:$J$63</definedName>
    <definedName name="_xlnm.Print_Area" localSheetId="35">'SF&amp;QC Sec-3 2018-002a'!$A$1:$K$52</definedName>
    <definedName name="_xlnm.Print_Area" localSheetId="36">'SF&amp;QC Sec-3 2018-002b'!$A$1:$K$52</definedName>
    <definedName name="_xlnm.Print_Area" localSheetId="37">'SF&amp;QC Sec-3 2018-003a'!$A$1:$K$52</definedName>
    <definedName name="_xlnm.Print_Area" localSheetId="38">'SF&amp;QC Sec-3 2018-003b'!$A$1:$K$52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62913"/>
</workbook>
</file>

<file path=xl/calcChain.xml><?xml version="1.0" encoding="utf-8"?>
<calcChain xmlns="http://schemas.openxmlformats.org/spreadsheetml/2006/main">
  <c r="E34" i="190" l="1"/>
  <c r="A4" i="190"/>
  <c r="B4" i="189"/>
  <c r="B4" i="187" l="1"/>
  <c r="K13" i="186" l="1"/>
  <c r="K14" i="186" s="1"/>
  <c r="J13" i="186"/>
  <c r="J14" i="186" s="1"/>
  <c r="I13" i="186"/>
  <c r="H13" i="186"/>
  <c r="H14" i="186" s="1"/>
  <c r="G13" i="186"/>
  <c r="G14" i="186" s="1"/>
  <c r="F13" i="186"/>
  <c r="F14" i="186" s="1"/>
  <c r="E13" i="186"/>
  <c r="E14" i="186" s="1"/>
  <c r="K18" i="184"/>
  <c r="K19" i="184" s="1"/>
  <c r="J18" i="184"/>
  <c r="J19" i="184" s="1"/>
  <c r="I18" i="184"/>
  <c r="I19" i="184" s="1"/>
  <c r="H18" i="184"/>
  <c r="H19" i="184" s="1"/>
  <c r="G18" i="184"/>
  <c r="G19" i="184" s="1"/>
  <c r="F18" i="184"/>
  <c r="F19" i="184" s="1"/>
  <c r="E18" i="184"/>
  <c r="E19" i="184" s="1"/>
  <c r="K11" i="184"/>
  <c r="J11" i="184"/>
  <c r="I11" i="184"/>
  <c r="H11" i="184"/>
  <c r="G11" i="184"/>
  <c r="G12" i="184" s="1"/>
  <c r="G27" i="186" s="1"/>
  <c r="F11" i="184"/>
  <c r="E11" i="184"/>
  <c r="L26" i="186"/>
  <c r="L25" i="186"/>
  <c r="L24" i="186"/>
  <c r="L23" i="186"/>
  <c r="L22" i="186"/>
  <c r="L21" i="186"/>
  <c r="L20" i="186"/>
  <c r="L19" i="186"/>
  <c r="L18" i="186"/>
  <c r="L17" i="186"/>
  <c r="L16" i="186"/>
  <c r="L15" i="186"/>
  <c r="L12" i="186"/>
  <c r="L11" i="186"/>
  <c r="B4" i="186"/>
  <c r="K27" i="179"/>
  <c r="J27" i="179"/>
  <c r="I27" i="179"/>
  <c r="H27" i="179"/>
  <c r="G27" i="179"/>
  <c r="F27" i="179"/>
  <c r="E27" i="179"/>
  <c r="K21" i="179"/>
  <c r="J21" i="179"/>
  <c r="I21" i="179"/>
  <c r="H21" i="179"/>
  <c r="G21" i="179"/>
  <c r="F21" i="179"/>
  <c r="E21" i="179"/>
  <c r="F12" i="184" l="1"/>
  <c r="H12" i="184"/>
  <c r="H27" i="186" s="1"/>
  <c r="E12" i="184"/>
  <c r="E27" i="186" s="1"/>
  <c r="I12" i="184"/>
  <c r="K12" i="184"/>
  <c r="K27" i="186" s="1"/>
  <c r="L13" i="186"/>
  <c r="J12" i="184"/>
  <c r="J27" i="186" s="1"/>
  <c r="I14" i="186"/>
  <c r="L14" i="186" s="1"/>
  <c r="F27" i="186"/>
  <c r="B4" i="185"/>
  <c r="I27" i="186" l="1"/>
  <c r="L27" i="186" s="1"/>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8" i="183"/>
  <c r="L17" i="183"/>
  <c r="L16" i="183"/>
  <c r="L15" i="183"/>
  <c r="L14" i="183"/>
  <c r="L13" i="183"/>
  <c r="L12" i="183"/>
  <c r="L11" i="183"/>
  <c r="B4" i="183"/>
  <c r="I12" i="11" l="1"/>
  <c r="H12" i="11"/>
  <c r="C12" i="11"/>
  <c r="M19" i="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1" i="190" l="1"/>
  <c r="B1" i="189"/>
  <c r="B1" i="187"/>
  <c r="B1" i="186"/>
  <c r="B1" i="185"/>
  <c r="B2" i="179"/>
  <c r="B2" i="189"/>
  <c r="A2" i="190"/>
  <c r="B2" i="187"/>
  <c r="B2" i="186"/>
  <c r="B2" i="185"/>
  <c r="B2" i="184"/>
  <c r="B2" i="183"/>
  <c r="B1" i="184"/>
  <c r="B1" i="183"/>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D31" i="108" s="1"/>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c r="B5118" i="106"/>
  <c r="D5118" i="106"/>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3" i="127"/>
  <c r="B64" i="127"/>
  <c r="D26" i="108"/>
  <c r="E26" i="108"/>
  <c r="F26" i="108"/>
  <c r="G26" i="108"/>
  <c r="E27" i="108"/>
  <c r="F27" i="108"/>
  <c r="G27" i="108"/>
  <c r="E28" i="108"/>
  <c r="F28" i="108"/>
  <c r="F31" i="108"/>
  <c r="F36" i="108"/>
  <c r="F37" i="108"/>
  <c r="G28" i="108"/>
  <c r="E29" i="108"/>
  <c r="G29"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D109" i="5" s="1"/>
  <c r="B5356" i="106" s="1"/>
  <c r="D5356"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B5770" i="106"/>
  <c r="D5770" i="106" s="1"/>
  <c r="F131" i="34"/>
  <c r="F128" i="34"/>
  <c r="F127" i="34"/>
  <c r="F111" i="34"/>
  <c r="B5752" i="106"/>
  <c r="D5752" i="106" s="1"/>
  <c r="G4" i="4"/>
  <c r="B2603" i="106" s="1"/>
  <c r="D2603" i="106" s="1"/>
  <c r="H173" i="5"/>
  <c r="B5906" i="106" s="1"/>
  <c r="D5906" i="106" s="1"/>
  <c r="H109" i="5"/>
  <c r="B6025" i="106" s="1"/>
  <c r="D6025"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H4" i="4" l="1"/>
  <c r="B2655" i="106" s="1"/>
  <c r="D2655" i="106" s="1"/>
  <c r="C172" i="5"/>
  <c r="B5214" i="106" s="1"/>
  <c r="D5214" i="106" s="1"/>
  <c r="K274" i="5"/>
  <c r="B5847" i="106"/>
  <c r="D5847" i="106" s="1"/>
  <c r="F130" i="34"/>
  <c r="L5" i="11"/>
  <c r="B2056" i="106" s="1"/>
  <c r="D2056" i="106" s="1"/>
  <c r="K28" i="118"/>
  <c r="O27" i="118" s="1"/>
  <c r="O29" i="118" s="1"/>
  <c r="G5" i="4"/>
  <c r="B3409" i="106" s="1"/>
  <c r="D3409" i="106" s="1"/>
  <c r="I173" i="5"/>
  <c r="B4216" i="106" s="1"/>
  <c r="D4216" i="106" s="1"/>
  <c r="E109" i="5"/>
  <c r="E4" i="4" s="1"/>
  <c r="B2630" i="106" s="1"/>
  <c r="D2630" i="106" s="1"/>
  <c r="B5355" i="106"/>
  <c r="D5355" i="106" s="1"/>
  <c r="L367" i="29"/>
  <c r="F36" i="34"/>
  <c r="F34" i="34"/>
  <c r="B7235" i="106"/>
  <c r="D7235" i="106" s="1"/>
  <c r="B6191" i="106"/>
  <c r="D6191" i="106" s="1"/>
  <c r="J41" i="3"/>
  <c r="K24" i="12"/>
  <c r="D6103" i="106"/>
  <c r="G352" i="29"/>
  <c r="C352" i="29"/>
  <c r="K41" i="3"/>
  <c r="L15" i="11"/>
  <c r="B3459" i="106" s="1"/>
  <c r="D3459" i="106" s="1"/>
  <c r="H76" i="4"/>
  <c r="B3298" i="106" s="1"/>
  <c r="D3298" i="106" s="1"/>
  <c r="L13" i="11"/>
  <c r="B2060" i="106" s="1"/>
  <c r="D2060" i="106" s="1"/>
  <c r="K285" i="29"/>
  <c r="B1410" i="106"/>
  <c r="D1410" i="106" s="1"/>
  <c r="B1329" i="106"/>
  <c r="D1329" i="106" s="1"/>
  <c r="F61" i="34"/>
  <c r="G30" i="108"/>
  <c r="E30" i="108"/>
  <c r="C173" i="5"/>
  <c r="B5223" i="106" s="1"/>
  <c r="D5223" i="106" s="1"/>
  <c r="C109" i="5"/>
  <c r="B5121" i="106" s="1"/>
  <c r="D5121" i="106" s="1"/>
  <c r="B5096" i="106"/>
  <c r="D5096" i="106" s="1"/>
  <c r="K184" i="29"/>
  <c r="F13" i="4" s="1"/>
  <c r="B2596" i="106" s="1"/>
  <c r="D2596" i="106" s="1"/>
  <c r="B1223" i="106"/>
  <c r="D1223" i="106" s="1"/>
  <c r="D4" i="4"/>
  <c r="B2564" i="106" s="1"/>
  <c r="D256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B3447" i="106"/>
  <c r="D3447" i="106" s="1"/>
  <c r="D19" i="7"/>
  <c r="B1775" i="106" s="1"/>
  <c r="D1775" i="106" s="1"/>
  <c r="B7270" i="106"/>
  <c r="B3621" i="106" l="1"/>
  <c r="D3621" i="106" s="1"/>
  <c r="C367" i="29"/>
  <c r="B3622" i="106" s="1"/>
  <c r="D3622" i="106" s="1"/>
  <c r="H367" i="29"/>
  <c r="B3660" i="106" s="1"/>
  <c r="D3660" i="106" s="1"/>
  <c r="D7255" i="106"/>
  <c r="D7253" i="106"/>
  <c r="D7252" i="106"/>
  <c r="F73" i="34"/>
  <c r="G15" i="4"/>
  <c r="B6032" i="106" s="1"/>
  <c r="D6032" i="106" s="1"/>
  <c r="B3568" i="106"/>
  <c r="D3568" i="106" s="1"/>
  <c r="D52" i="36"/>
  <c r="B3649" i="106"/>
  <c r="D3649" i="106" s="1"/>
  <c r="G367" i="29"/>
  <c r="B3650" i="106" s="1"/>
  <c r="D3650" i="106" s="1"/>
  <c r="B7733" i="106"/>
  <c r="D7733" i="106" s="1"/>
  <c r="K26" i="12"/>
  <c r="B7743" i="106" s="1"/>
  <c r="D7743" i="106" s="1"/>
  <c r="L114" i="29"/>
  <c r="D44" i="36"/>
  <c r="L16" i="11"/>
  <c r="B2061" i="106" s="1"/>
  <c r="D2061" i="106" s="1"/>
  <c r="C4" i="4"/>
  <c r="B2551" i="106" s="1"/>
  <c r="D2551" i="106" s="1"/>
  <c r="C114" i="29"/>
  <c r="B757" i="106" s="1"/>
  <c r="D757" i="106" s="1"/>
  <c r="C6" i="4"/>
  <c r="B2553" i="106" s="1"/>
  <c r="D2553" i="106" s="1"/>
  <c r="B1381" i="106"/>
  <c r="D1381" i="106" s="1"/>
  <c r="D274"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1145" i="106" l="1"/>
  <c r="D1145" i="106" s="1"/>
  <c r="E41" i="108"/>
  <c r="E44" i="108" s="1"/>
  <c r="E45" i="108" s="1"/>
  <c r="G41" i="108"/>
  <c r="G44" i="108" s="1"/>
  <c r="G45" i="108" s="1"/>
  <c r="F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<sst xmlns="http://schemas.openxmlformats.org/spreadsheetml/2006/main" count="5618" uniqueCount="2224">
  <si>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</si>
  <si>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</si>
  <si>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</si>
  <si>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</si>
  <si>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</si>
  <si>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</si>
  <si>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</si>
  <si>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</si>
  <si>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</si>
  <si>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</si>
  <si>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</si>
  <si>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</si>
  <si>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</si>
  <si>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</si>
  <si>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</si>
  <si>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</si>
  <si>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</si>
  <si>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</si>
  <si>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</si>
  <si>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</si>
  <si>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</si>
  <si>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</si>
  <si>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</si>
  <si>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</si>
  <si>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</si>
  <si>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</si>
  <si>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</si>
  <si>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</si>
  <si>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</si>
  <si>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</si>
  <si>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</si>
  <si>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</si>
  <si>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</si>
  <si>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</si>
  <si>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</si>
  <si>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</si>
  <si>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</si>
  <si>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</si>
  <si>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</si>
  <si>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</si>
  <si>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</si>
  <si>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</si>
  <si>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</si>
  <si>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</si>
  <si>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</si>
  <si>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</si>
  <si>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</si>
  <si>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</si>
  <si>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</si>
  <si>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</si>
  <si>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</si>
  <si>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</si>
  <si>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</si>
  <si>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</si>
  <si>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</si>
  <si>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</si>
  <si>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</si>
  <si>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</si>
  <si>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</si>
  <si>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</si>
  <si>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</si>
  <si>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</si>
  <si>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</si>
  <si>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</si>
  <si>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</si>
  <si>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</si>
  <si>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</si>
  <si>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</si>
  <si>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</si>
  <si>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</si>
  <si>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</si>
  <si>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</si>
  <si>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</si>
  <si>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</si>
  <si>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</si>
  <si>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</si>
  <si>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</si>
  <si>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</si>
  <si>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</si>
  <si>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</si>
  <si>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</si>
  <si>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</si>
  <si>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</si>
  <si>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</si>
  <si>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</si>
  <si>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</si>
  <si>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</si>
  <si>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</si>
  <si>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</si>
  <si>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</si>
  <si>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</si>
  <si>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</si>
  <si>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</si>
  <si>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</si>
  <si>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</si>
  <si>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</si>
  <si>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</si>
  <si>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</si>
  <si>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</si>
  <si>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</si>
  <si>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</si>
  <si>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</si>
  <si>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</si>
  <si>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</si>
  <si>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</si>
  <si>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</si>
  <si>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</si>
  <si>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</si>
  <si>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</si>
  <si>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</si>
  <si>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</si>
  <si>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</si>
  <si>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</si>
  <si>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</si>
  <si>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</si>
  <si>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</si>
  <si>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</si>
  <si>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</si>
  <si>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</si>
  <si>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</si>
  <si>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</si>
  <si>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</si>
  <si>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</si>
  <si>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</si>
  <si>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</si>
  <si>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</si>
  <si>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</si>
  <si>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</si>
  <si>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</si>
  <si>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</si>
  <si>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</si>
  <si>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</si>
  <si>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</si>
  <si>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</si>
  <si>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</si>
  <si>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</si>
  <si>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</si>
  <si>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</si>
  <si>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</si>
  <si>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</si>
  <si>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</si>
  <si>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</si>
  <si>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</si>
  <si>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</si>
  <si>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</si>
  <si>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</si>
  <si>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</si>
  <si>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</si>
  <si>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</si>
  <si>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</si>
  <si>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</si>
  <si>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</si>
  <si>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</si>
  <si>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</si>
  <si>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</si>
  <si>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</si>
  <si>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</si>
  <si>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</si>
  <si>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</si>
  <si>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</si>
  <si>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</si>
  <si>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</si>
  <si>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</si>
  <si>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</si>
  <si>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</si>
  <si>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</si>
  <si>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</si>
  <si>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</si>
  <si>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</si>
  <si>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</si>
  <si>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</si>
  <si>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</si>
  <si>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</si>
  <si>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</si>
  <si>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</si>
  <si>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</si>
  <si>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</si>
  <si>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</si>
  <si>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</si>
  <si>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</si>
  <si>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</si>
  <si>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</si>
  <si>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</si>
  <si>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</si>
  <si>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</si>
  <si>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</si>
  <si>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</si>
  <si>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</si>
  <si>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</si>
  <si>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</si>
  <si>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</si>
  <si>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</si>
  <si>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</si>
  <si>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</si>
  <si>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</si>
  <si>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</si>
  <si>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</si>
  <si>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</si>
  <si>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</si>
  <si>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</si>
  <si>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</si>
  <si>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</si>
  <si>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</si>
  <si>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</si>
  <si>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</si>
  <si>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</si>
  <si>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</si>
  <si>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</si>
  <si>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</si>
  <si>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</si>
  <si>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</si>
  <si>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</si>
  <si>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</si>
  <si>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</si>
  <si>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</si>
  <si>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</si>
  <si>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</si>
  <si>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</si>
  <si>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</si>
  <si>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</si>
  <si>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</si>
  <si>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</si>
  <si>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</si>
  <si>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</si>
  <si>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</si>
  <si>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</si>
  <si>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</si>
  <si>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</si>
  <si>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</si>
  <si>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</si>
  <si>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</si>
  <si>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</si>
  <si>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</si>
  <si>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</si>
  <si>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</si>
  <si>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</si>
  <si>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</si>
  <si>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</si>
  <si>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</si>
  <si>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</si>
  <si>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</si>
  <si>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</si>
  <si>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</si>
  <si>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</si>
  <si>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</si>
  <si>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</si>
  <si>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</si>
  <si>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</si>
  <si>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</si>
  <si>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</si>
  <si>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</si>
  <si>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</si>
  <si>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</si>
  <si>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</si>
  <si>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</si>
  <si>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</si>
  <si>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</si>
  <si>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</si>
  <si>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</si>
  <si>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</si>
  <si>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</si>
  <si>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</si>
  <si>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</si>
  <si>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</si>
  <si>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</si>
  <si>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</si>
  <si>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</si>
  <si>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</si>
  <si>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</si>
  <si>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</si>
  <si>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</si>
  <si>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</si>
  <si>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</si>
  <si>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</si>
  <si>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</si>
  <si>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</si>
  <si>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</si>
  <si>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</si>
  <si>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</si>
  <si>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</si>
  <si>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</si>
  <si>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</si>
  <si>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</si>
  <si>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</si>
  <si>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</si>
  <si>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</si>
  <si>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</si>
  <si>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</si>
  <si>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</si>
  <si>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</si>
  <si>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</si>
  <si>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</si>
  <si>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</si>
  <si>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</si>
  <si>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</si>
  <si>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</si>
  <si>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</si>
  <si>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</si>
  <si>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</si>
  <si>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</si>
  <si>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</si>
  <si>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</si>
  <si>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</si>
  <si>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</si>
  <si>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</si>
  <si>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</si>
  <si>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</si>
  <si>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</si>
  <si>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</si>
  <si>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</si>
  <si>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</si>
  <si>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</si>
  <si>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</si>
  <si>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</si>
  <si>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</si>
  <si>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</si>
  <si>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</si>
  <si>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</si>
  <si>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</si>
  <si>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</si>
  <si>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</si>
  <si>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</si>
  <si>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</si>
  <si>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</si>
  <si>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</si>
  <si>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</si>
  <si>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</si>
  <si>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</si>
  <si>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</si>
  <si>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</si>
  <si>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</si>
  <si>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</si>
  <si>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</si>
  <si>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</si>
  <si>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</si>
  <si>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</si>
  <si>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</si>
  <si>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</si>
  <si>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</si>
  <si>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</si>
  <si>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</si>
  <si>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</si>
  <si>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</si>
  <si>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</si>
  <si>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</si>
  <si>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</si>
  <si>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</si>
  <si>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</si>
  <si>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</si>
  <si>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</si>
  <si>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</si>
  <si>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</si>
  <si>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</si>
  <si>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</si>
  <si>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</si>
  <si>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</si>
  <si>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</si>
  <si>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</si>
  <si>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</si>
  <si>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</si>
  <si>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</si>
  <si>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</si>
  <si>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</si>
  <si>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</si>
  <si>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</si>
  <si>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</si>
  <si>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</si>
  <si>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</si>
  <si>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</si>
  <si>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</si>
  <si>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</si>
  <si>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</si>
  <si>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</si>
  <si>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</si>
  <si>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</si>
  <si>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</si>
  <si>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</si>
  <si>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</si>
  <si>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</si>
  <si>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</si>
  <si>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</si>
  <si>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</si>
  <si>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</si>
  <si>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</si>
  <si>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</si>
  <si>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</si>
  <si>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</si>
  <si>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</si>
  <si>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</si>
  <si>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</si>
  <si>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</si>
  <si>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</si>
  <si>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</si>
  <si>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</si>
  <si>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</si>
  <si>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</si>
  <si>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</si>
  <si>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</si>
  <si>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</si>
  <si>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</si>
  <si>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</si>
  <si>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</si>
  <si>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</si>
  <si>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</si>
  <si>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</si>
  <si>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</si>
  <si>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</si>
  <si>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</si>
  <si>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</si>
  <si>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</si>
  <si>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</si>
  <si>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</si>
  <si>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</si>
  <si>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</si>
  <si>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</si>
  <si>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</si>
  <si>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</si>
  <si>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</si>
  <si>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</si>
  <si>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</si>
  <si>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</si>
  <si>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</si>
  <si>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</si>
  <si>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</si>
  <si>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</si>
  <si>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</si>
  <si>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</si>
  <si>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</si>
  <si>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</si>
  <si>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</si>
  <si>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</si>
  <si>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</si>
  <si>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</si>
  <si>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</si>
  <si>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</si>
  <si>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</si>
  <si>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</si>
  <si>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</si>
  <si>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</si>
  <si>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</si>
  <si>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</si>
  <si>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</si>
  <si>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</si>
  <si>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</si>
  <si>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</si>
  <si>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</si>
  <si>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</si>
  <si>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</si>
  <si>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</si>
  <si>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</si>
  <si>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</si>
  <si>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</si>
  <si>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</si>
  <si>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</si>
  <si>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</si>
  <si>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</si>
  <si>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</si>
  <si>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</si>
  <si>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</si>
  <si>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</si>
  <si>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</si>
  <si>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</si>
  <si>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</si>
  <si>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</si>
  <si>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</si>
  <si>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</si>
  <si>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</si>
  <si>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</si>
  <si>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</si>
  <si>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</si>
  <si>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</si>
  <si>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</si>
  <si>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</si>
  <si>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</si>
  <si>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</si>
  <si>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</si>
  <si>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</si>
  <si>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</si>
  <si>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</si>
  <si>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</si>
  <si>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</si>
  <si>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</si>
  <si>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</si>
  <si>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</si>
  <si>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</si>
  <si>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</si>
  <si>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</si>
  <si>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</si>
  <si>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</si>
  <si>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</si>
  <si>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</si>
  <si>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</si>
  <si>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</si>
  <si>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</si>
  <si>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</si>
  <si>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</si>
  <si>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</si>
  <si>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</si>
  <si>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</si>
  <si>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</si>
  <si>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</si>
  <si>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</si>
  <si>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</si>
  <si>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</si>
  <si>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</si>
  <si>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</si>
  <si>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</si>
  <si>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</si>
  <si>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</si>
  <si>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</si>
  <si>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</si>
  <si>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</si>
  <si>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</si>
  <si>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</si>
  <si>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</si>
  <si>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</si>
  <si>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</si>
  <si>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</si>
  <si>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</si>
  <si>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</si>
  <si>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</si>
  <si>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</si>
  <si>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</si>
  <si>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</si>
  <si>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</si>
  <si>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</si>
  <si>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</si>
  <si>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</si>
  <si>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</si>
  <si>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</si>
  <si>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</si>
  <si>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</si>
  <si>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</si>
  <si>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</si>
  <si>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</si>
  <si>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</si>
  <si>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</si>
  <si>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</si>
  <si>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</si>
  <si>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</si>
  <si>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</si>
  <si>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</si>
  <si>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</si>
  <si>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</si>
  <si>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</si>
  <si>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</si>
  <si>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</si>
  <si>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</si>
  <si>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</si>
  <si>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</si>
  <si>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</si>
  <si>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</si>
  <si>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</si>
  <si>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</si>
  <si>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</si>
  <si>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</si>
  <si>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</si>
  <si>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</si>
  <si>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</si>
  <si>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</si>
  <si>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</si>
  <si>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</si>
  <si>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</si>
  <si>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</si>
  <si>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</si>
  <si>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</si>
  <si>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</si>
  <si>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</si>
  <si>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</si>
  <si>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</si>
  <si>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</si>
  <si>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</si>
  <si>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</si>
  <si>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</si>
  <si>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</si>
  <si>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</si>
  <si>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</si>
  <si>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</si>
  <si>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</si>
  <si>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</si>
  <si>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</si>
  <si>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</si>
  <si>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</si>
  <si>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</si>
  <si>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</si>
  <si>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</si>
  <si>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</si>
  <si>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</si>
  <si>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</si>
  <si>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</si>
  <si>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</si>
  <si>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</si>
  <si>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</si>
  <si>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</si>
  <si>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</si>
  <si>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</si>
  <si>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</si>
  <si>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</si>
  <si>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</si>
  <si>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</si>
  <si>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</si>
  <si>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</si>
  <si>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</si>
  <si>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</si>
  <si>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</si>
  <si>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</si>
  <si>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</si>
  <si>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</si>
  <si>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</si>
  <si>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</si>
  <si>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</si>
  <si>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</si>
  <si>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</si>
  <si>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</si>
  <si>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</si>
  <si>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</si>
  <si>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</si>
  <si>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</si>
  <si>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</si>
  <si>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</si>
  <si>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</si>
  <si>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</si>
  <si>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</si>
  <si>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</si>
  <si>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</si>
  <si>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</si>
  <si>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</si>
  <si>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</si>
  <si>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</si>
  <si>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</si>
  <si>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</si>
  <si>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</si>
  <si>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</si>
  <si>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</si>
  <si>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</si>
  <si>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</si>
  <si>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</si>
  <si>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</si>
  <si>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</si>
  <si>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</si>
  <si>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</si>
  <si>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</si>
  <si>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</si>
  <si>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</si>
  <si>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</si>
  <si>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</si>
  <si>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</si>
  <si>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</si>
  <si>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</si>
  <si>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</si>
  <si>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</si>
  <si>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</si>
  <si>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</si>
  <si>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</si>
  <si>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</si>
  <si>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</si>
  <si>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</si>
  <si>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</si>
  <si>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</si>
  <si>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</si>
  <si>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</si>
  <si>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</si>
  <si>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</si>
  <si>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</si>
  <si>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</si>
  <si>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</si>
  <si>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</si>
  <si>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</si>
  <si>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</si>
  <si>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</si>
  <si>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</si>
  <si>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</si>
  <si>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</si>
  <si>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</si>
  <si>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</si>
  <si>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</si>
  <si>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</si>
  <si>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</si>
  <si>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</si>
  <si>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</si>
  <si>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</si>
  <si>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</si>
  <si>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</si>
  <si>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</si>
  <si>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</si>
  <si>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</si>
  <si>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</si>
  <si>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</si>
  <si>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</si>
  <si>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</si>
  <si>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</si>
  <si>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</si>
  <si>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</si>
  <si>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</si>
  <si>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</si>
  <si>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</si>
  <si>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</si>
  <si>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</si>
  <si>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</si>
  <si>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</si>
  <si>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</si>
  <si>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</si>
  <si>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</si>
  <si>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</si>
  <si>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</si>
  <si>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</si>
  <si>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</si>
  <si>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</si>
  <si>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</si>
  <si>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</si>
  <si>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</si>
  <si>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</si>
  <si>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</si>
  <si>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</si>
  <si>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</si>
  <si>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</si>
  <si>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</si>
  <si>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</si>
  <si>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</si>
  <si>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</si>
  <si>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</si>
  <si>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</si>
  <si>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</si>
  <si>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</si>
  <si>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</si>
  <si>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</si>
  <si>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</si>
  <si>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</si>
  <si>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</si>
  <si>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</si>
  <si>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</si>
  <si>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</si>
  <si>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</si>
  <si>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</si>
  <si>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</si>
  <si>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</si>
  <si>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</si>
  <si>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</si>
  <si>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</si>
  <si>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</si>
  <si>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</si>
  <si>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</si>
  <si>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</si>
  <si>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</si>
  <si>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</si>
  <si>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</si>
  <si>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</si>
  <si>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</si>
  <si>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</si>
  <si>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</si>
  <si>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</si>
  <si>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</si>
  <si>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</si>
  <si>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</si>
  <si>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</si>
  <si>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</si>
  <si>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</si>
  <si>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</si>
  <si>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</si>
  <si>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</si>
  <si>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</si>
  <si>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</si>
  <si>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</si>
  <si>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</si>
  <si>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</si>
  <si>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</si>
  <si>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</si>
  <si>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</si>
  <si>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</si>
  <si>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</si>
  <si>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</si>
  <si>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</si>
  <si>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</si>
  <si>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</si>
  <si>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</si>
  <si>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</si>
  <si>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</si>
  <si>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</si>
  <si>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</si>
  <si>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</si>
  <si>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</si>
  <si>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</si>
  <si>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</si>
  <si>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</si>
  <si>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</si>
  <si>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</si>
  <si>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</si>
  <si>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</si>
  <si>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</si>
  <si>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</si>
  <si>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</si>
  <si>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</si>
  <si>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</si>
  <si>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</si>
  <si>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</si>
  <si>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</si>
  <si>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</si>
  <si>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</si>
  <si>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</si>
  <si>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</si>
  <si>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</si>
  <si>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</si>
  <si>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</si>
  <si>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</si>
  <si>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</si>
  <si>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</si>
  <si>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</si>
  <si>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</si>
  <si>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</si>
  <si>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</si>
  <si>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</si>
  <si>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</si>
  <si>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</si>
  <si>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</si>
  <si>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</si>
  <si>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</si>
  <si>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</si>
  <si>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</si>
  <si>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</si>
  <si>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</si>
  <si>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</si>
  <si>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</si>
  <si>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</si>
  <si>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</si>
  <si>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</si>
  <si>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</si>
  <si>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</si>
  <si>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</si>
  <si>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</si>
  <si>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</si>
  <si>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</si>
  <si>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</si>
  <si>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</si>
  <si>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</si>
  <si>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</si>
  <si>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</si>
  <si>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</si>
  <si>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</si>
  <si>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</si>
  <si>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</si>
  <si>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</si>
  <si>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</si>
  <si>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</si>
  <si>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</si>
  <si>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</si>
  <si>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</si>
  <si>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</si>
  <si>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</si>
  <si>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</si>
  <si>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</si>
  <si>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</si>
  <si>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</si>
  <si>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</si>
  <si>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</si>
  <si>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</si>
  <si>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</si>
  <si>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</si>
  <si>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</si>
  <si>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</si>
  <si>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</si>
  <si>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</si>
  <si>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</si>
  <si>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</si>
  <si>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</si>
  <si>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</si>
  <si>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</si>
  <si>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</si>
  <si>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</si>
  <si>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</si>
  <si>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</si>
  <si>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</si>
  <si>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</si>
  <si>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</si>
  <si>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</si>
  <si>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</si>
  <si>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</si>
  <si>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</si>
  <si>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</si>
  <si>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</si>
  <si>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</si>
  <si>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</si>
  <si>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</si>
  <si>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</si>
  <si>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</si>
  <si>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</si>
  <si>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</si>
  <si>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</si>
  <si>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</si>
  <si>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</si>
  <si>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</si>
  <si>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</si>
  <si>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</si>
  <si>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</si>
  <si>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</si>
  <si>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</si>
  <si>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</si>
  <si>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</si>
  <si>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</si>
  <si>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</si>
  <si>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</si>
  <si>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</si>
  <si>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</si>
  <si>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</si>
  <si>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</si>
  <si>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</si>
  <si>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</si>
  <si>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</si>
  <si>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</si>
  <si>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</si>
  <si>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</si>
  <si>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</si>
  <si>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</si>
  <si>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</si>
  <si>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</si>
  <si>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</si>
  <si>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</si>
  <si>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</si>
  <si>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</si>
  <si>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</si>
  <si>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</si>
  <si>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</si>
  <si>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</si>
  <si>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</si>
  <si>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</si>
  <si>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</si>
  <si>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</si>
  <si>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</si>
  <si>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</si>
  <si>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</si>
  <si>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</si>
  <si>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</si>
  <si>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</si>
  <si>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</si>
  <si>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</si>
  <si>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</si>
  <si>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</si>
  <si>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</si>
  <si>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</si>
  <si>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</si>
  <si>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</si>
  <si>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</si>
  <si>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</si>
  <si>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</si>
  <si>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</si>
  <si>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</si>
  <si>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</si>
  <si>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</si>
  <si>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</si>
  <si>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</si>
  <si>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</si>
  <si>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</si>
  <si>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</si>
  <si>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</si>
  <si>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</si>
  <si>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</si>
  <si>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</si>
  <si>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</si>
  <si>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</si>
  <si>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</si>
  <si>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</si>
  <si>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</si>
  <si>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</si>
  <si>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</si>
  <si>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</si>
  <si>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</si>
  <si>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</si>
  <si>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</si>
  <si>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</si>
  <si>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</si>
  <si>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</si>
  <si>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</si>
  <si>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</si>
  <si>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</si>
  <si>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</si>
  <si>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</si>
  <si>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</si>
  <si>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</si>
  <si>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</si>
  <si>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</si>
  <si>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</si>
  <si>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</si>
  <si>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</si>
  <si>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</si>
  <si>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</si>
  <si>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</si>
  <si>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</si>
  <si>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</si>
  <si>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</si>
  <si>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</si>
  <si>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</si>
  <si>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</si>
  <si>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</si>
  <si>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</si>
  <si>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</si>
  <si>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</si>
  <si>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</si>
  <si>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</si>
  <si>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</si>
  <si>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</si>
  <si>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</si>
  <si>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</si>
  <si>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</si>
  <si>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</si>
  <si>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</si>
  <si>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</si>
  <si>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</si>
  <si>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</si>
  <si>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</si>
  <si>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</si>
  <si>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</si>
  <si>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</si>
  <si>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</si>
  <si>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</si>
  <si>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</si>
  <si>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</si>
  <si>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</si>
  <si>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</si>
  <si>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</si>
  <si>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</si>
  <si>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</si>
  <si>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</si>
  <si>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</si>
  <si>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</si>
  <si>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</si>
  <si>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</si>
  <si>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</si>
  <si>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</si>
  <si>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</si>
  <si>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</si>
  <si>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</si>
  <si>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</si>
  <si>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</si>
  <si>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</si>
  <si>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</si>
  <si>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</si>
  <si>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</si>
  <si>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</si>
  <si>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</si>
  <si>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</si>
  <si>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</si>
  <si>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</si>
  <si>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</si>
  <si>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</si>
  <si>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</si>
  <si>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</si>
  <si>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</si>
  <si>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</si>
  <si>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</si>
  <si>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</si>
  <si>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</si>
  <si>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</si>
  <si>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</si>
  <si>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</si>
  <si>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</si>
  <si>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</si>
  <si>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</si>
  <si>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</si>
  <si>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</si>
  <si>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</si>
  <si>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</si>
  <si>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</si>
  <si>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</si>
  <si>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</si>
  <si>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</si>
  <si>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</si>
  <si>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</si>
  <si>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</si>
  <si>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</si>
  <si>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</si>
  <si>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</si>
  <si>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</si>
  <si>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</si>
  <si>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</si>
  <si>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</si>
  <si>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</si>
  <si>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</si>
  <si>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</si>
  <si>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</si>
  <si>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</si>
  <si>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</si>
  <si>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</si>
  <si>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</si>
  <si>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</si>
  <si>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</si>
  <si>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</si>
  <si>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</si>
  <si>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</si>
  <si>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</si>
  <si>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</si>
  <si>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</si>
  <si>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</si>
  <si>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</si>
  <si>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</si>
  <si>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</si>
  <si>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</si>
  <si>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</si>
  <si>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</si>
  <si>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</si>
  <si>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</si>
  <si>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</si>
  <si>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</si>
  <si>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</si>
  <si>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</si>
  <si>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</si>
  <si>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</si>
  <si>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</si>
  <si>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</si>
  <si>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</si>
  <si>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</si>
  <si>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</si>
  <si>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</si>
  <si>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</si>
  <si>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</si>
  <si>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</si>
  <si>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</si>
  <si>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</si>
  <si>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</si>
  <si>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</si>
  <si>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</si>
  <si>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</si>
  <si>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</si>
  <si>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</si>
  <si>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</si>
  <si>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</si>
  <si>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</si>
  <si>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</si>
  <si>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</si>
  <si>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</si>
  <si>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</si>
  <si>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</si>
  <si>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</si>
  <si>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</si>
  <si>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</si>
  <si>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</si>
  <si>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</si>
  <si>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</si>
  <si>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</si>
  <si>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</si>
  <si>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</si>
  <si>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</si>
  <si>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</si>
  <si>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</si>
  <si>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</si>
  <si>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</si>
  <si>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</si>
  <si>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</si>
  <si>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</si>
  <si>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</si>
  <si>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</si>
  <si>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</si>
  <si>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</si>
  <si>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</si>
  <si>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</si>
  <si>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</si>
  <si>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</si>
  <si>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</si>
  <si>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</si>
  <si>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</si>
  <si>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</si>
  <si>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</si>
  <si>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</si>
  <si>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</si>
  <si>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</si>
  <si>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</si>
  <si>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</si>
  <si>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</si>
  <si>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</si>
  <si>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</si>
  <si>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</si>
  <si>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</si>
  <si>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</si>
  <si>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</si>
  <si>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</si>
  <si>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</si>
  <si>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</si>
  <si>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</si>
  <si>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</si>
  <si>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</si>
  <si>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</si>
  <si>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</si>
  <si>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</si>
  <si>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</si>
  <si>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</si>
  <si>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</si>
  <si>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</si>
  <si>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</si>
  <si>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</si>
  <si>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</si>
  <si>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</si>
  <si>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</si>
  <si>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</si>
  <si>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</si>
  <si>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</si>
  <si>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</si>
  <si>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</si>
  <si>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</si>
  <si>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</si>
  <si>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</si>
  <si>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</si>
  <si>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</si>
  <si>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</si>
  <si>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</si>
  <si>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</si>
  <si>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</si>
  <si>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</si>
  <si>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</si>
  <si>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</si>
  <si>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</si>
  <si>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</si>
  <si>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</si>
  <si>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</si>
  <si>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</si>
  <si>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</si>
  <si>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</si>
  <si>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</si>
  <si>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</si>
  <si>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</si>
  <si>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</si>
  <si>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</si>
  <si>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</si>
  <si>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</si>
  <si>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</si>
  <si>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</si>
  <si>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</si>
  <si>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</si>
  <si>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</si>
  <si>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</si>
  <si>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</si>
  <si>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</si>
  <si>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</si>
  <si>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</si>
  <si>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</si>
  <si>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</si>
  <si>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</si>
  <si>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</si>
  <si>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</si>
  <si>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</si>
  <si>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</si>
  <si>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</si>
  <si>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</si>
  <si>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</si>
  <si>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</si>
  <si>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</si>
  <si>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</si>
  <si>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</si>
  <si>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</si>
  <si>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</si>
  <si>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</si>
  <si>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</si>
  <si>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</si>
  <si>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</si>
  <si>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</si>
  <si>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</si>
  <si>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</si>
  <si>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</si>
  <si>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</si>
  <si>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</si>
  <si>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</si>
  <si>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</si>
  <si>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</si>
  <si>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</si>
  <si>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</si>
  <si>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</si>
  <si>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</si>
  <si>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</si>
  <si>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</si>
  <si>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</si>
  <si>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</si>
  <si>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</si>
  <si>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</si>
  <si>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</si>
  <si>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</si>
  <si>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</si>
  <si>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</si>
  <si>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</si>
  <si>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</si>
  <si>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</si>
  <si>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</si>
  <si>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</si>
  <si>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</si>
  <si>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</si>
  <si>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</si>
  <si>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</si>
  <si>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</si>
  <si>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</si>
  <si>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</si>
  <si>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</si>
  <si>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</si>
  <si>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</si>
  <si>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</si>
  <si>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</si>
  <si>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</si>
  <si>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</si>
  <si>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</si>
  <si>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</si>
  <si>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</si>
  <si>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</si>
  <si>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</si>
  <si>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</si>
  <si>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</si>
  <si>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</si>
  <si>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</si>
  <si>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</si>
  <si>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</si>
  <si>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</si>
  <si>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</si>
  <si>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</si>
  <si>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</si>
  <si>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</si>
  <si>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</si>
  <si>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</si>
  <si>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</si>
  <si>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</si>
  <si>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</si>
  <si>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</si>
  <si>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</si>
  <si>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</si>
  <si>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</si>
  <si>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</si>
  <si>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</si>
  <si>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</si>
  <si>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</si>
  <si>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</si>
  <si>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</si>
  <si>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</si>
  <si>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</si>
  <si>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</si>
  <si>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</si>
  <si>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</si>
  <si>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</si>
  <si>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</si>
  <si>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</si>
  <si>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</si>
  <si>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</si>
  <si>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</si>
  <si>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</si>
  <si>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</si>
  <si>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</si>
  <si>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</si>
  <si>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</si>
  <si>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</si>
  <si>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</si>
  <si>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</si>
  <si>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</si>
  <si>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</si>
  <si>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</si>
  <si>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</si>
  <si>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</si>
  <si>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</si>
  <si>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</si>
  <si>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</si>
  <si>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</si>
  <si>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</si>
  <si>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</si>
  <si>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</si>
  <si>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</si>
  <si>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</si>
  <si>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</si>
  <si>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</si>
  <si>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</si>
  <si>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</si>
  <si>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</si>
  <si>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</si>
  <si>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</si>
  <si>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</si>
  <si>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</si>
  <si>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</si>
  <si>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</si>
  <si>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</si>
  <si>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</si>
  <si>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</si>
  <si>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</si>
  <si>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</si>
  <si>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</si>
  <si>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</si>
  <si>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</si>
  <si>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</si>
  <si>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</si>
  <si>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</si>
  <si>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</si>
  <si>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</si>
  <si>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</si>
  <si>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</si>
  <si>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</si>
  <si>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</si>
  <si>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</si>
  <si>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</si>
  <si>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</si>
  <si>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</si>
  <si>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</si>
  <si>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</si>
  <si>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</si>
  <si>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</si>
  <si>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</si>
  <si>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</si>
  <si>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</si>
  <si>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</si>
  <si>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</si>
  <si>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</si>
  <si>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</si>
  <si>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</si>
  <si>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</si>
  <si>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</si>
  <si>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</si>
  <si>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</si>
  <si>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</si>
  <si>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</si>
  <si>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</si>
  <si>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</si>
  <si>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</si>
  <si>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</si>
  <si>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</si>
  <si>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</si>
  <si>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</si>
  <si>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</si>
  <si>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</si>
  <si>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</si>
  <si>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</si>
  <si>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</si>
  <si>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</si>
  <si>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</si>
  <si>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</si>
  <si>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</si>
  <si>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</si>
  <si>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</si>
  <si>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</si>
  <si>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</si>
  <si>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</si>
  <si>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</si>
  <si>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</si>
  <si>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</si>
  <si>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</si>
  <si>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</si>
  <si>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</si>
  <si>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</si>
  <si>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</si>
  <si>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</si>
  <si>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</si>
  <si>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</si>
  <si>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</si>
  <si>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</si>
  <si>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</si>
  <si>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</si>
  <si>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</si>
  <si>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</si>
  <si>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</si>
  <si>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</si>
  <si>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</si>
  <si>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</si>
  <si>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</si>
  <si>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</si>
  <si>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</si>
  <si>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</si>
  <si>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</si>
  <si>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</si>
  <si>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</si>
  <si>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</si>
  <si>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</si>
  <si>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</si>
  <si>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</si>
  <si>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</si>
  <si>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</si>
  <si>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</si>
  <si>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</si>
  <si>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</si>
  <si>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</si>
  <si>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</si>
  <si>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</si>
  <si>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</si>
  <si>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</si>
  <si>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</si>
  <si>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</si>
  <si>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</si>
  <si>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</si>
  <si>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</si>
  <si>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</si>
  <si>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</si>
  <si>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</si>
  <si>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</si>
  <si>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</si>
  <si>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</si>
  <si>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</si>
  <si>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</si>
  <si>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</si>
  <si>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</si>
  <si>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</si>
  <si>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</si>
  <si>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</si>
  <si>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</si>
  <si>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</si>
  <si>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</si>
  <si>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</si>
  <si>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</si>
  <si>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</si>
  <si>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</si>
  <si>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</si>
  <si>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</si>
  <si>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</si>
  <si>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</si>
  <si>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</si>
  <si>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</si>
  <si>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</si>
  <si>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</si>
  <si>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</si>
  <si>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</si>
  <si>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</si>
  <si>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</si>
  <si>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</si>
  <si>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</si>
  <si>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</si>
  <si>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</si>
  <si>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</si>
  <si>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</si>
  <si>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</si>
  <si>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</si>
  <si>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</si>
  <si>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</si>
  <si>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</si>
  <si>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</si>
  <si>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</si>
  <si>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</si>
  <si>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</si>
  <si>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</si>
  <si>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</si>
  <si>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</si>
  <si>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</si>
  <si>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</si>
  <si>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</si>
  <si>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</si>
  <si>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</si>
  <si>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</si>
  <si>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</si>
  <si>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</si>
  <si>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</si>
  <si>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</si>
  <si>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</si>
  <si>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</si>
  <si>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</si>
  <si>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</si>
  <si>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</si>
  <si>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</si>
  <si>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</si>
  <si>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</si>
  <si>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</si>
  <si>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</si>
  <si>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</si>
  <si>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</si>
  <si>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</si>
  <si>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</si>
  <si>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</si>
  <si>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</si>
  <si>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</si>
  <si>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</si>
  <si>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</si>
  <si>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</si>
  <si>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</si>
  <si>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</si>
  <si>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</si>
  <si>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</si>
  <si>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</si>
  <si>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</si>
  <si>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</si>
  <si>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</si>
  <si>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</si>
  <si>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</si>
  <si>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</si>
  <si>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</si>
  <si>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</si>
  <si>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</si>
  <si>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</si>
  <si>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</si>
  <si>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</si>
  <si>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</si>
  <si>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</si>
  <si>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</si>
  <si>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</si>
  <si>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</si>
  <si>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</si>
  <si>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</si>
  <si>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</si>
  <si>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</si>
  <si>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</si>
  <si>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</si>
  <si>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</si>
  <si>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</si>
  <si>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</si>
  <si>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</si>
  <si>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</si>
  <si>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</si>
  <si>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</si>
  <si>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</si>
  <si>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</si>
  <si>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</si>
  <si>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</si>
  <si>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</si>
  <si>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</si>
  <si>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</si>
  <si>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</si>
  <si>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</si>
  <si>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</si>
  <si>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</si>
  <si>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</si>
  <si>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</si>
  <si>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</si>
  <si>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</si>
  <si>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</si>
  <si>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</si>
  <si>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</si>
  <si>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</si>
  <si>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</si>
  <si>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</si>
  <si>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</si>
  <si>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</si>
  <si>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</si>
  <si>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</si>
  <si>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</si>
  <si>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</si>
  <si>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</si>
  <si>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</si>
  <si>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</si>
  <si>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</si>
  <si>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</si>
  <si>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</si>
  <si>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</si>
  <si>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</si>
  <si>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</si>
  <si>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</si>
  <si>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</si>
  <si>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</si>
  <si>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</si>
  <si>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</si>
  <si>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</si>
  <si>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</si>
  <si>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</si>
  <si>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</si>
  <si>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</si>
  <si>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</si>
  <si>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</si>
  <si>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</si>
  <si>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</si>
  <si>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</si>
  <si>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</si>
  <si>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</si>
  <si>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</si>
  <si>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</si>
  <si>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</si>
  <si>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</si>
  <si>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</si>
  <si>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</si>
  <si>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</si>
  <si>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</si>
  <si>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</si>
  <si>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</si>
  <si>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</si>
  <si>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</si>
  <si>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</si>
  <si>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</si>
  <si>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</si>
  <si>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</si>
  <si>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</si>
  <si>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</si>
  <si>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</si>
  <si>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</si>
  <si>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</si>
  <si>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</si>
  <si>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</si>
  <si>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</si>
  <si>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</si>
  <si>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</si>
  <si>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</si>
  <si>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</si>
  <si>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</si>
  <si>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</si>
  <si>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</si>
  <si>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</si>
  <si>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</si>
  <si>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</si>
  <si>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</si>
  <si>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</si>
  <si>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</si>
  <si>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</si>
  <si>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</si>
  <si>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</si>
  <si>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</si>
  <si>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</si>
  <si>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</si>
  <si>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</si>
  <si>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</si>
  <si>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</si>
  <si>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</si>
  <si>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</si>
  <si>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</si>
  <si>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</si>
  <si>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</si>
  <si>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</si>
  <si>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</si>
  <si>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</si>
  <si>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</si>
  <si>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</si>
  <si>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</si>
  <si>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</si>
  <si>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</si>
  <si>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</si>
  <si>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</si>
  <si>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</si>
  <si>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</si>
  <si>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</si>
  <si>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</si>
  <si>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</si>
  <si>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</si>
  <si>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</si>
  <si>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</si>
  <si>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</si>
  <si>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</si>
  <si>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</si>
  <si>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</si>
  <si>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</si>
  <si>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</si>
  <si>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</si>
  <si>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</si>
  <si>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</si>
  <si>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</si>
  <si>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</si>
  <si>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</si>
  <si>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</si>
  <si>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</si>
  <si>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</si>
  <si>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</si>
  <si>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</si>
  <si>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</si>
  <si>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</si>
  <si>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</si>
  <si>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</si>
  <si>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</si>
  <si>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</si>
  <si>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</si>
  <si>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</si>
  <si>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</si>
  <si>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</si>
  <si>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</si>
  <si>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</si>
  <si>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</si>
  <si>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</si>
  <si>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</si>
  <si>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</si>
  <si>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</si>
  <si>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</si>
  <si>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</si>
  <si>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</si>
  <si>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</si>
  <si>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</si>
  <si>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</si>
  <si>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</si>
  <si>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</si>
  <si>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</si>
  <si>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</si>
  <si>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</si>
  <si>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</si>
  <si>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</si>
  <si>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</si>
  <si>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</si>
  <si>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</si>
  <si>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</si>
  <si>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</si>
  <si>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</si>
  <si>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</si>
  <si>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</si>
  <si>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</si>
  <si>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</si>
  <si>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</si>
  <si>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</si>
  <si>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</si>
  <si>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</si>
  <si>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</si>
  <si>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</si>
  <si>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</si>
  <si>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</si>
  <si>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</si>
  <si>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</si>
  <si>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</si>
  <si>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</si>
  <si>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</si>
  <si>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</si>
  <si>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</si>
  <si>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</si>
  <si>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</si>
  <si>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</si>
  <si>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</si>
  <si>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</si>
  <si>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</si>
  <si>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</si>
  <si>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</si>
  <si>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</si>
  <si>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</si>
  <si>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</si>
  <si>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</si>
  <si>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</si>
  <si>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</si>
  <si>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</si>
  <si>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</si>
  <si>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</si>
  <si>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</si>
  <si>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</si>
  <si>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</si>
  <si>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</si>
  <si>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</si>
  <si>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</si>
  <si>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</si>
  <si>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</si>
  <si>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</si>
  <si>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</si>
  <si>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</si>
  <si>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</si>
  <si>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</si>
  <si>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</si>
  <si>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</si>
  <si>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</si>
  <si>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</si>
  <si>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</si>
  <si>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</si>
  <si>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</si>
  <si>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</si>
  <si>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</si>
  <si>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</si>
  <si>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</si>
  <si>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</si>
  <si>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</si>
  <si>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</si>
  <si>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</si>
  <si>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</si>
  <si>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</si>
  <si>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</si>
  <si>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</si>
  <si>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</si>
  <si>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</si>
  <si>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</si>
  <si>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</si>
  <si>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</si>
  <si>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</si>
  <si>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</si>
  <si>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</si>
  <si>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</si>
  <si>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</si>
  <si>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</si>
  <si>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</si>
  <si>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</si>
  <si>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</si>
  <si>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</si>
  <si>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</si>
  <si>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</si>
  <si>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</si>
  <si>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</si>
  <si>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</si>
  <si>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</si>
  <si>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</si>
  <si>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</si>
  <si>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</si>
  <si>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</si>
  <si>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</si>
  <si>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</si>
  <si>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</si>
  <si>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</si>
  <si>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</si>
  <si>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</si>
  <si>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</si>
  <si>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</si>
  <si>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</si>
  <si>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</si>
  <si>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</si>
  <si>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</si>
  <si>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</si>
  <si>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</si>
  <si>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</si>
  <si>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</si>
  <si>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</si>
  <si>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</si>
  <si>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</si>
  <si>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</si>
  <si>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</si>
  <si>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</si>
  <si>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</si>
  <si>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</si>
  <si>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</si>
  <si>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</si>
  <si>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</si>
  <si>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</si>
  <si>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</si>
  <si>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</si>
  <si>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</si>
  <si>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</si>
  <si>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</si>
  <si>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</si>
  <si>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</si>
  <si>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</si>
  <si>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</si>
  <si>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</si>
  <si>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</si>
  <si>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</si>
  <si>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</si>
  <si>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</si>
  <si>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</si>
  <si>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</si>
  <si>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</si>
  <si>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</si>
  <si>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</si>
  <si>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</si>
  <si>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</si>
  <si>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</si>
  <si>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</si>
  <si>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</si>
  <si>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</si>
  <si>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</si>
  <si>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</si>
  <si>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</si>
  <si>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</si>
  <si>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</si>
  <si>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</si>
  <si>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</si>
  <si>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</si>
  <si>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</si>
  <si>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</si>
  <si>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</si>
  <si>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</si>
  <si>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</si>
  <si>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</si>
  <si>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</si>
  <si>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</si>
  <si>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</si>
  <si>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</si>
  <si>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</si>
  <si>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</si>
  <si>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</si>
  <si>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</si>
  <si>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</si>
  <si>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</si>
  <si>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</si>
  <si>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</si>
  <si>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</si>
  <si>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</si>
  <si>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</si>
  <si>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</si>
  <si>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</si>
  <si>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</si>
  <si>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</si>
  <si>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</si>
  <si>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</si>
  <si>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</si>
  <si>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</si>
  <si>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</si>
  <si>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</si>
  <si>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</si>
  <si>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</si>
  <si>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</si>
  <si>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</si>
  <si>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</si>
  <si>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</si>
  <si>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</si>
  <si>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</si>
  <si>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</si>
  <si>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</si>
  <si>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</si>
  <si>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</si>
  <si>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</si>
  <si>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</si>
  <si>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</si>
  <si>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</si>
  <si>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</si>
  <si>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</si>
  <si>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</si>
  <si>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</si>
  <si>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</si>
  <si>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</si>
  <si>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</si>
  <si>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</si>
  <si>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</si>
  <si>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</si>
  <si>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</si>
  <si>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</si>
  <si>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</si>
  <si>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</si>
  <si>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</si>
  <si>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</si>
  <si>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</si>
  <si>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</si>
  <si>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</si>
  <si>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</si>
  <si>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</si>
  <si>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</si>
  <si>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</si>
  <si>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</si>
  <si>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</si>
  <si>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</si>
  <si>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</si>
  <si>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</si>
  <si>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</si>
  <si>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</si>
  <si>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</si>
  <si>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</si>
  <si>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</si>
  <si>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</si>
  <si>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</si>
  <si>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</si>
  <si>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</si>
  <si>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</si>
  <si>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</si>
  <si>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</si>
  <si>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</si>
  <si>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</si>
  <si>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</si>
  <si>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</si>
  <si>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</si>
  <si>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</si>
  <si>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</si>
  <si>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</si>
  <si>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</si>
  <si>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</si>
  <si>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</si>
  <si>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</si>
  <si>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</si>
  <si>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</si>
  <si>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</si>
  <si>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</si>
  <si>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</si>
  <si>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</si>
  <si>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</si>
  <si>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</si>
  <si>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</si>
  <si>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</si>
  <si>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</si>
  <si>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</si>
  <si>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</si>
  <si>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</si>
  <si>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</si>
  <si>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</si>
  <si>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</si>
  <si>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</si>
  <si>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</si>
  <si>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</si>
  <si>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</si>
  <si>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</si>
  <si>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</si>
  <si>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</si>
  <si>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</si>
  <si>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</si>
  <si>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</si>
  <si>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</si>
  <si>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</si>
  <si>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</si>
  <si>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</si>
  <si>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</si>
  <si>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</si>
  <si>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</si>
  <si>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</si>
  <si>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</si>
  <si>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</si>
  <si>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</si>
  <si>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</si>
  <si>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</si>
  <si>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</si>
  <si>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</si>
  <si>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</si>
  <si>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</si>
  <si>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</si>
  <si>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</si>
  <si>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</si>
  <si>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</si>
  <si>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</si>
  <si>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</si>
  <si>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</si>
  <si>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</si>
  <si>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</si>
  <si>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</si>
  <si>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</si>
  <si>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</si>
  <si>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</si>
  <si>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Ogle</t>
  </si>
  <si>
    <t>417 N. Colfax, P.O. Box 582</t>
  </si>
  <si>
    <t>Byron</t>
  </si>
  <si>
    <t>Matthew Zilm</t>
  </si>
  <si>
    <t>Mzilm@ocecil.org</t>
  </si>
  <si>
    <t>815-234-2722</t>
  </si>
  <si>
    <t>815-234-2938</t>
  </si>
  <si>
    <t>Benning Group, LLC</t>
  </si>
  <si>
    <t>Jenny L Blocker</t>
  </si>
  <si>
    <t>50 W. Douglas Street, Suite 801</t>
  </si>
  <si>
    <t>Freeport</t>
  </si>
  <si>
    <t>IL</t>
  </si>
  <si>
    <t>(815) 235-3157</t>
  </si>
  <si>
    <t>(815) 235-3158</t>
  </si>
  <si>
    <t>066-004238</t>
  </si>
  <si>
    <t>jblocker@benninggroup.com</t>
  </si>
  <si>
    <t>Pg</t>
  </si>
  <si>
    <t>LN</t>
  </si>
  <si>
    <t>Miscellaneous</t>
  </si>
  <si>
    <t>Federal  - Step/Dors</t>
  </si>
  <si>
    <t>Lunch Program</t>
  </si>
  <si>
    <t>N/A</t>
  </si>
  <si>
    <t>U.S. DEPARTMENT OF AGRICULTURE:</t>
  </si>
  <si>
    <t>ROBERT SONDGEROTH</t>
  </si>
  <si>
    <t>bsondgeroth@roe47.org</t>
  </si>
  <si>
    <t>815-625-1495</t>
  </si>
  <si>
    <t>815-625-1625</t>
  </si>
  <si>
    <t>Unmodified</t>
  </si>
  <si>
    <t>2017-001</t>
  </si>
  <si>
    <t xml:space="preserve">The Ogle County Educational Cooperative has </t>
  </si>
  <si>
    <t>a lack of segregation of duties over cash receipts</t>
  </si>
  <si>
    <t xml:space="preserve">and cash disbursements. </t>
  </si>
  <si>
    <t xml:space="preserve">Still exists as a finding for 2018. The Cooperative has </t>
  </si>
  <si>
    <t>safeguards in place to mitigate the risk, but the cost</t>
  </si>
  <si>
    <t xml:space="preserve">to reach full segregation of duties is not justified at </t>
  </si>
  <si>
    <t xml:space="preserve">this time. </t>
  </si>
  <si>
    <t xml:space="preserve">Internal controls are designed to allow management or employees, in the normal course of performing their assigned functions, to prevent or detect misstatements and safeguard assets. </t>
  </si>
  <si>
    <t xml:space="preserve">The Cooperative has a lack of segregation of duties in the accounting function due to the limited number of employees. </t>
  </si>
  <si>
    <t xml:space="preserve">Based on our knowledge of the Cooperative and its personnel, and during the process of obtaining an understanding of internal control in planning the audit and assessing risk, the above condition was noted. </t>
  </si>
  <si>
    <t xml:space="preserve">The lack of segregation of duties and certain checks and balances for recording financial information could result in financial activity not being reliably reported at year-end or during the fiscal year. </t>
  </si>
  <si>
    <t xml:space="preserve">Segregation of duties is normally difficult to accomplish within a small number of accounting staff. The Cooperative should consider improvements that could be implemented/improved including, but not limited to, having a second person review bank statements and reconciliations. </t>
  </si>
  <si>
    <t xml:space="preserve">See corrective action plan. </t>
  </si>
  <si>
    <t>See Below</t>
  </si>
  <si>
    <t xml:space="preserve">Amboy CUSD #272, Ashton-Franklin Center CUSD #275, Creston CCSD #161, Eswood CCSD #269, Forrestville Valley #221, Kings CSD #144, Meridian CUSD #223, Oregon CUSD #220, Polo CUSD #222, </t>
  </si>
  <si>
    <t>Rochelle CCD #231, Rochelle Township HSD #212, Steward Elementary #220</t>
  </si>
  <si>
    <r>
      <t xml:space="preserve">Of the federal expenditures presented in the schedule, </t>
    </r>
    <r>
      <rPr>
        <b/>
        <sz val="9"/>
        <rFont val="Calibri"/>
        <family val="2"/>
        <scheme val="minor"/>
      </rPr>
      <t>Ogle County Educational Cooperative</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</si>
  <si>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Ogle County Educational Cooperative</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t>
    </r>
    <r>
      <rPr>
        <sz val="9"/>
        <rFont val="Calibri"/>
        <family val="2"/>
        <scheme val="minor"/>
      </rPr>
      <t xml:space="preserve"> financial statements.</t>
    </r>
  </si>
  <si>
    <r>
      <t xml:space="preserve">The following amounts were expended in the form of non-cash assistance by </t>
    </r>
    <r>
      <rPr>
        <b/>
        <sz val="9"/>
        <rFont val="Calibri"/>
        <family val="2"/>
        <scheme val="minor"/>
      </rPr>
      <t>Ogle County Educational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</si>
  <si>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Ogle County Educational Cooperative</t>
  </si>
  <si>
    <t>Illinois State Board of Education</t>
  </si>
  <si>
    <t>U.S. Department of Education</t>
  </si>
  <si>
    <t>The Cooperative is to file a quarterly expenditure report within 20 days of the end of each quarter with the Illinois State Board of Education.</t>
  </si>
  <si>
    <t>None</t>
  </si>
  <si>
    <t xml:space="preserve">The Cooperative is required to monitor compliance of subrecipients for all pass through federal funds. </t>
  </si>
  <si>
    <t>U.S. DEPARTMENT OF EDUCATION:</t>
  </si>
  <si>
    <t>84.173A</t>
  </si>
  <si>
    <t>84.027A</t>
  </si>
  <si>
    <t xml:space="preserve"> Subtotal 84.027A</t>
  </si>
  <si>
    <t>Through Eswood School District (47-071-2690-04):</t>
  </si>
  <si>
    <t xml:space="preserve"> Fed. Special Ed - IDEA Room &amp; Board (M)</t>
  </si>
  <si>
    <t>Through Oregon School District (47-071-2200-26)</t>
  </si>
  <si>
    <t xml:space="preserve"> Excess Cost (M)</t>
  </si>
  <si>
    <t>Through Rochelle Township High School District (47-071-2120-17)</t>
  </si>
  <si>
    <t>Through Meridian School District (47-071-2230-26)</t>
  </si>
  <si>
    <t xml:space="preserve">  TOTAL THROUGH USDE PROGRAM</t>
  </si>
  <si>
    <t>Illinois Department of Human Services:</t>
  </si>
  <si>
    <t>46CVF00116</t>
  </si>
  <si>
    <t>46CXF00116</t>
  </si>
  <si>
    <t xml:space="preserve"> DORS - Secondary Transition Experience Program</t>
  </si>
  <si>
    <t xml:space="preserve"> Locally Held Match (Note A)</t>
  </si>
  <si>
    <t>U.S. DEPARTMENT OF HEALTH AND HUMAN SERVICES:</t>
  </si>
  <si>
    <t xml:space="preserve"> Through Illinois Dept. of Healthcare and Family Services:</t>
  </si>
  <si>
    <t xml:space="preserve"> Through Illinois State Board of Education:</t>
  </si>
  <si>
    <t xml:space="preserve">  Commodities Program (Non-Cash)</t>
  </si>
  <si>
    <t xml:space="preserve">  National School Lunch Program</t>
  </si>
  <si>
    <t xml:space="preserve">  School Breakfast Program</t>
  </si>
  <si>
    <t xml:space="preserve">   TOTAL THROUGH USDA PROGRAM</t>
  </si>
  <si>
    <t xml:space="preserve">  Fed. Special Ed - IDEA Pre-School Flow-Through (M)</t>
  </si>
  <si>
    <t xml:space="preserve">    Subtotal 84.173A</t>
  </si>
  <si>
    <t xml:space="preserve">  Fed. Special Ed - IDEA Flow-Through (M)</t>
  </si>
  <si>
    <t xml:space="preserve">  Subtotal 84.126</t>
  </si>
  <si>
    <t xml:space="preserve">   Total Illinois Department of Human Services</t>
  </si>
  <si>
    <t xml:space="preserve">  Through Hawthorne &amp; Associates:</t>
  </si>
  <si>
    <t xml:space="preserve">   Through Northwestern Illinois Association:</t>
  </si>
  <si>
    <t xml:space="preserve">    Medicaid Administrative Outreach</t>
  </si>
  <si>
    <t xml:space="preserve">   Through Illinois Dept. Of Healthcare &amp; Family Services:</t>
  </si>
  <si>
    <t xml:space="preserve">     Subtotal 93.778</t>
  </si>
  <si>
    <t xml:space="preserve">      TOTAL THROUGH USDHHS PROGRAMS</t>
  </si>
  <si>
    <t>Note A: DORA - Secondary Transition Experience Program grant locally held match expenditures were incurred by the 7 high schools.</t>
  </si>
  <si>
    <t>TOTAL FEDERAL AWARDS</t>
  </si>
  <si>
    <t>Fed. Special Ed. - IDEA Flow-Through</t>
  </si>
  <si>
    <t>Fed. Special Ed. - IDEA Pre-School Flow-Through</t>
  </si>
  <si>
    <t>Fed. Special Ed. - IDEA Room &amp; Board</t>
  </si>
  <si>
    <t>18-4600-00</t>
  </si>
  <si>
    <t>16-4210-00</t>
  </si>
  <si>
    <t>17-4210-00</t>
  </si>
  <si>
    <t>18-4210-00</t>
  </si>
  <si>
    <t>16-4220-00</t>
  </si>
  <si>
    <t>17-4220-00</t>
  </si>
  <si>
    <t>18-4220-00</t>
  </si>
  <si>
    <t>17-4600-00</t>
  </si>
  <si>
    <t>17-4620-00</t>
  </si>
  <si>
    <t>18-4620-00</t>
  </si>
  <si>
    <t>17-4625-00</t>
  </si>
  <si>
    <t>18-4625-00</t>
  </si>
  <si>
    <t>17-4991-00</t>
  </si>
  <si>
    <t>18-4991-00</t>
  </si>
  <si>
    <t>The September 30, 2017 and December 31, 2017 Preschool Flow-Through expenditure reports were not filed within 20 days of the end of the quarter.</t>
  </si>
  <si>
    <t xml:space="preserve">The timing of the Cooperative's September 30, 2017 and December 21, 2017 Preschool Flow-Through expenditure reports were not in compliance with ISBE's requirements. </t>
  </si>
  <si>
    <t>Inadequate review of expenditure report submission timing.</t>
  </si>
  <si>
    <t>Quarterly expenditure reports will be filed within the 20 day compliance requirement.</t>
  </si>
  <si>
    <t>Fed. Sp. Ed. - IDEA Preschool Flow-Through 2018</t>
  </si>
  <si>
    <t>Fed. Sp. Ed. - IDEA Flow-Through 2018</t>
  </si>
  <si>
    <t>The September 30, 2017 and December 31, 2017  Flow-Through expenditure reports were not filed within 20 days of the end of the quarter.</t>
  </si>
  <si>
    <t xml:space="preserve">The timing of the Cooperative's September 30, 2017 and December 21, 2017 Flow-Through expenditure reports were not in compliance with ISBE's requirements. </t>
  </si>
  <si>
    <t>Fed. Special Ed. - IDEA Flow Through Grant (M) - Amboy School District No. 272</t>
  </si>
  <si>
    <t>Fed. Special Ed. - IDEA Flow Through Grant (M) - Ashton Franklin Center School District No. 275</t>
  </si>
  <si>
    <t>Fed. Special Ed. - IDEA Flow Through Grant (M) - Creston Consolidated Community School District No. 161</t>
  </si>
  <si>
    <t>Fed. Special Ed. - IDEA Flow Through Grant (M) - Eswood Consolidated Community School District No. 269</t>
  </si>
  <si>
    <t>Fed. Special Ed. - IDEA Flow Through Grant (M) - Forrestville School District No. 221</t>
  </si>
  <si>
    <t>Fed. Special Ed. - IDEA Flow Through Grant (M) - Kings School District No. 144</t>
  </si>
  <si>
    <t>Fed. Special Ed. - IDEA Flow Through Grant (M) - Meridian School District No. 223</t>
  </si>
  <si>
    <t>Fed. Special Ed. - IDEA Flow Through Grant (M) - Oregon School District No. 220</t>
  </si>
  <si>
    <t>Fed. Special Ed. - IDEA Flow Through Grant (M) - Polo School District No. 222</t>
  </si>
  <si>
    <t>Fed. Special Ed. - IDEA Flow Through Grant (M) - Rochelle Elementary School District No. 231</t>
  </si>
  <si>
    <t>Fed. Special Ed. - IDEA Flow Through Grant (M) - Rochelle Township High School District No. 212</t>
  </si>
  <si>
    <t>Fed. Special Ed. - IDEA Flow Through Grant (M) - County of Lee School District (Steward) No. 220</t>
  </si>
  <si>
    <t>Fed. Special Ed. - IDEA Pre-School Flow Through Grant (M) - Ashton Franklin Center School District No. 275</t>
  </si>
  <si>
    <t>Fed. Special Ed. - IDEA Pre-School Flow Through Grant (M) - Forrestville School District No. 221</t>
  </si>
  <si>
    <t>Fed. Special Ed. - IDEA Pre-School Flow Through Grant (M) - Meridian School District No. 223</t>
  </si>
  <si>
    <t>Fed. Special Ed. - IDEA Pre-School Flow Through Grant (M) - Oregon School District No. 220</t>
  </si>
  <si>
    <t>Fed. Special Ed. - IDEA Pre-School Flow Through Grant (M) - Polo School District No. 222</t>
  </si>
  <si>
    <t>Fed. Special Ed. - IDEA Pre-School Flow Through Grant (M) - Rochelle Elementary School District No. 231</t>
  </si>
  <si>
    <t>Policies and procedures will be put in place to monitor subrecipients of all pass through federal funds.</t>
  </si>
  <si>
    <t>Capital leases</t>
  </si>
  <si>
    <t>ED-Pupil-Purchased Service</t>
  </si>
  <si>
    <t>10-2100-300</t>
  </si>
  <si>
    <t>Hillman Therapy</t>
  </si>
  <si>
    <t>Stephanie Kaskavage</t>
  </si>
  <si>
    <t>Presence Learning, Inc.</t>
  </si>
  <si>
    <t>TinyEye Therapy Services</t>
  </si>
  <si>
    <t xml:space="preserve">The Cooperative was unaware of the subrecipient monitoring requirement; therefore no subrecipient monitoring procedures were completed. </t>
  </si>
  <si>
    <t>Due to a lack of understanding of Uniform Guidance requirements, the Cooperative did not have policies and procedures in place to monitor subrecipients for pass through federal funds.</t>
  </si>
  <si>
    <t>The Cooperative is not in compliance with the requirements of Uniform Guidance pertaining to monitoring of subrecipients.</t>
  </si>
  <si>
    <t xml:space="preserve">Lack of understanding of Uniform Guidance requirements. </t>
  </si>
  <si>
    <t>The Cooperative should implement appropriate monitoring procedures for each of the recipients for which it passes through funds under the special education grants.</t>
  </si>
  <si>
    <t>The Cooperative should implement procedures to ensure that quarterly expenditure reports are filed within 20 days of the quarter end.</t>
  </si>
  <si>
    <t xml:space="preserve">A limited number of accounting staff precluded adequate segregation of duties. </t>
  </si>
  <si>
    <t>BENNING GROUP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</si>
</sst>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amily val="3"/>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137" fillId="0" borderId="0"/>
    <xf numFmtId="43" fontId="44" fillId="0" borderId="0" applyFont="0" applyFill="0" applyBorder="0" applyAlignment="0" applyProtection="0"/>
    <xf numFmtId="9" fontId="44" fillId="0" borderId="0" applyFont="0" applyFill="0" applyBorder="0" applyAlignment="0" applyProtection="0"/>
    <xf numFmtId="0" fontId="2" fillId="0" borderId="0"/>
  </cellStyleXfs>
  <cellXfs count="26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65" fillId="0" borderId="0" xfId="0" applyFont="1" applyAlignment="1">
      <alignment horizontal="center"/>
    </xf>
    <xf numFmtId="0" fontId="56" fillId="0" borderId="0" xfId="0" applyFont="1" applyAlignment="1">
      <alignment horizontal="center"/>
    </xf>
    <xf numFmtId="3" fontId="56" fillId="0" borderId="0" xfId="0" applyNumberFormat="1" applyFont="1" applyAlignment="1">
      <alignment horizontal="left"/>
    </xf>
    <xf numFmtId="0" fontId="65" fillId="0" borderId="0" xfId="0" applyFont="1" applyAlignment="1">
      <alignment horizontal="left"/>
    </xf>
    <xf numFmtId="0" fontId="53" fillId="0" borderId="0" xfId="3" applyFont="1" applyAlignment="1" applyProtection="1">
      <alignment horizontal="center" vertical="center"/>
    </xf>
    <xf numFmtId="3" fontId="97" fillId="0" borderId="22" xfId="3" applyNumberFormat="1" applyFont="1" applyBorder="1" applyAlignment="1" applyProtection="1">
      <alignment horizontal="center"/>
      <protection locked="0"/>
    </xf>
    <xf numFmtId="3" fontId="97" fillId="0" borderId="8" xfId="3" applyNumberFormat="1" applyFont="1" applyBorder="1" applyAlignment="1" applyProtection="1">
      <alignment horizontal="center"/>
      <protection locked="0"/>
    </xf>
    <xf numFmtId="3" fontId="97" fillId="0" borderId="22" xfId="3" applyNumberFormat="1" applyFont="1" applyFill="1" applyBorder="1" applyAlignment="1" applyProtection="1">
      <alignment horizontal="center"/>
      <protection locked="0"/>
    </xf>
    <xf numFmtId="0" fontId="54" fillId="0" borderId="148" xfId="3" applyFont="1" applyBorder="1" applyAlignment="1" applyProtection="1">
      <alignment horizontal="left" wrapText="1"/>
      <protection locked="0"/>
    </xf>
    <xf numFmtId="0" fontId="56" fillId="0" borderId="0" xfId="3" applyFont="1" applyBorder="1" applyAlignment="1" applyProtection="1">
      <alignment vertical="center"/>
    </xf>
    <xf numFmtId="0" fontId="56" fillId="0" borderId="0" xfId="3" applyFont="1" applyProtection="1"/>
    <xf numFmtId="0" fontId="56" fillId="0" borderId="0" xfId="3" applyFont="1" applyBorder="1" applyProtection="1"/>
    <xf numFmtId="0" fontId="54" fillId="0" borderId="0" xfId="3" applyFont="1" applyBorder="1" applyProtection="1"/>
    <xf numFmtId="0" fontId="61" fillId="0" borderId="0" xfId="3" applyFont="1" applyBorder="1" applyProtection="1"/>
    <xf numFmtId="0" fontId="56" fillId="0" borderId="0" xfId="3" applyFont="1" applyAlignment="1" applyProtection="1">
      <alignment horizontal="center"/>
    </xf>
    <xf numFmtId="0" fontId="64" fillId="0" borderId="0" xfId="3" applyFont="1" applyProtection="1"/>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64" fillId="0" borderId="0" xfId="3" applyFont="1" applyAlignment="1" applyProtection="1">
      <alignment vertical="center"/>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Border="1" applyAlignment="1" applyProtection="1">
      <alignment horizontal="center"/>
    </xf>
    <xf numFmtId="0" fontId="63" fillId="0" borderId="0" xfId="3" applyFont="1" applyBorder="1" applyProtection="1"/>
    <xf numFmtId="0" fontId="63" fillId="0" borderId="0" xfId="3" applyFont="1" applyProtection="1"/>
    <xf numFmtId="0" fontId="56" fillId="0" borderId="0" xfId="3" applyFont="1" applyAlignment="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118" fillId="0" borderId="0" xfId="3" applyFont="1" applyBorder="1" applyProtection="1"/>
    <xf numFmtId="0" fontId="118" fillId="0" borderId="0" xfId="3" applyFont="1" applyProtection="1"/>
    <xf numFmtId="0" fontId="56" fillId="0" borderId="9" xfId="3" applyFont="1" applyBorder="1" applyProtection="1"/>
    <xf numFmtId="0" fontId="56" fillId="0" borderId="9" xfId="3" applyFont="1" applyBorder="1" applyAlignment="1" applyProtection="1">
      <alignment horizontal="center"/>
    </xf>
    <xf numFmtId="0" fontId="56" fillId="0" borderId="0" xfId="3" applyFont="1" applyBorder="1" applyAlignment="1" applyProtection="1"/>
    <xf numFmtId="169" fontId="61" fillId="0" borderId="77" xfId="3" applyNumberFormat="1" applyFont="1" applyBorder="1" applyAlignment="1" applyProtection="1">
      <alignment horizontal="center"/>
      <protection locked="0"/>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54" fillId="0" borderId="148" xfId="3" applyFont="1" applyBorder="1" applyAlignment="1" applyProtection="1">
      <alignment wrapText="1"/>
      <protection locked="0"/>
    </xf>
    <xf numFmtId="3" fontId="61" fillId="0" borderId="22" xfId="3" applyNumberFormat="1" applyFont="1" applyFill="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31">
    <cellStyle name="Comma" xfId="1" builtinId="3"/>
    <cellStyle name="Comma 2" xfId="28"/>
    <cellStyle name="Hyperlink" xfId="2" builtinId="8"/>
    <cellStyle name="Hyperlink 2" xfId="15"/>
    <cellStyle name="Normal" xfId="0" builtinId="0"/>
    <cellStyle name="Normal 2" xfId="3"/>
    <cellStyle name="Normal 3" xfId="4"/>
    <cellStyle name="Normal 3 2" xfId="14"/>
    <cellStyle name="Normal 3 2 2" xfId="18"/>
    <cellStyle name="Normal 3 2 2 2" xfId="30"/>
    <cellStyle name="Normal 3 2 2 3" xfId="23"/>
    <cellStyle name="Normal 3 2 3" xfId="25"/>
    <cellStyle name="Normal 3 2 4" xfId="20"/>
    <cellStyle name="Normal 3 3" xfId="24"/>
    <cellStyle name="Normal 3 4" xfId="19"/>
    <cellStyle name="Normal 4" xfId="16"/>
    <cellStyle name="Normal 4 2" xfId="26"/>
    <cellStyle name="Normal 4 3" xfId="21"/>
    <cellStyle name="Normal 5" xfId="17"/>
    <cellStyle name="Normal 5 2" xfId="27"/>
    <cellStyle name="Normal 5 3"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38" t="s">
        <v>425</v>
      </c>
      <c r="J1" s="2139"/>
      <c r="K1" s="2139"/>
      <c r="L1" s="2139"/>
      <c r="M1" s="2139"/>
      <c r="N1" s="2139"/>
      <c r="O1" s="2139"/>
      <c r="P1" s="2139"/>
      <c r="Q1" s="2139"/>
      <c r="R1" s="2139"/>
      <c r="S1" s="2139"/>
    </row>
    <row r="2" spans="1:28" ht="12" customHeight="1" x14ac:dyDescent="0.2">
      <c r="A2" s="47" t="s">
        <v>1684</v>
      </c>
      <c r="D2" s="48"/>
      <c r="I2" s="2140" t="s">
        <v>1036</v>
      </c>
      <c r="J2" s="2139"/>
      <c r="K2" s="2139"/>
      <c r="L2" s="2139"/>
      <c r="M2" s="2139"/>
      <c r="N2" s="2139"/>
      <c r="O2" s="2139"/>
      <c r="P2" s="2139"/>
      <c r="Q2" s="2139"/>
      <c r="R2" s="2139"/>
      <c r="S2" s="2139"/>
    </row>
    <row r="3" spans="1:28" ht="12" customHeight="1" x14ac:dyDescent="0.2">
      <c r="A3" s="155" t="s">
        <v>1685</v>
      </c>
      <c r="B3" s="156"/>
      <c r="C3" s="156"/>
      <c r="D3" s="157"/>
      <c r="I3" s="2140" t="s">
        <v>54</v>
      </c>
      <c r="J3" s="2139"/>
      <c r="K3" s="2139"/>
      <c r="L3" s="2139"/>
      <c r="M3" s="2139"/>
      <c r="N3" s="2139"/>
      <c r="O3" s="2139"/>
      <c r="P3" s="2139"/>
      <c r="Q3" s="2139"/>
      <c r="R3" s="2139"/>
      <c r="S3" s="2139"/>
    </row>
    <row r="4" spans="1:28" ht="12" customHeight="1" x14ac:dyDescent="0.2">
      <c r="A4" s="37"/>
      <c r="I4" s="2140" t="s">
        <v>545</v>
      </c>
      <c r="J4" s="2139"/>
      <c r="K4" s="2139"/>
      <c r="L4" s="2139"/>
      <c r="M4" s="2139"/>
      <c r="N4" s="2139"/>
      <c r="O4" s="2139"/>
      <c r="P4" s="2139"/>
      <c r="Q4" s="2139"/>
      <c r="R4" s="2139"/>
      <c r="S4" s="2139"/>
    </row>
    <row r="5" spans="1:28" ht="14.1" customHeight="1" x14ac:dyDescent="0.2">
      <c r="B5" s="104"/>
      <c r="C5" s="26" t="s">
        <v>966</v>
      </c>
      <c r="D5" s="84"/>
      <c r="E5" s="84"/>
      <c r="H5" s="38"/>
      <c r="I5" s="2147" t="s">
        <v>701</v>
      </c>
      <c r="J5" s="2092"/>
      <c r="K5" s="2092"/>
      <c r="L5" s="2092"/>
      <c r="M5" s="2092"/>
      <c r="N5" s="2092"/>
      <c r="O5" s="2092"/>
      <c r="P5" s="2092"/>
      <c r="Q5" s="2092"/>
      <c r="R5" s="2092"/>
      <c r="S5" s="2092"/>
    </row>
    <row r="6" spans="1:28" ht="14.1" customHeight="1" x14ac:dyDescent="0.2">
      <c r="B6" s="104" t="s">
        <v>2074</v>
      </c>
      <c r="C6" s="26" t="s">
        <v>967</v>
      </c>
      <c r="D6" s="84"/>
      <c r="E6" s="84"/>
      <c r="I6" s="2146" t="s">
        <v>938</v>
      </c>
      <c r="J6" s="2092"/>
      <c r="K6" s="2092"/>
      <c r="L6" s="2092"/>
      <c r="M6" s="2092"/>
      <c r="N6" s="2092"/>
      <c r="O6" s="2092"/>
      <c r="P6" s="2092"/>
      <c r="Q6" s="2092"/>
      <c r="R6" s="2092"/>
      <c r="S6" s="2092"/>
    </row>
    <row r="7" spans="1:28" ht="12.2" customHeight="1" x14ac:dyDescent="0.2">
      <c r="I7" s="2141">
        <v>43281</v>
      </c>
      <c r="J7" s="2142"/>
      <c r="K7" s="2142"/>
      <c r="L7" s="2142"/>
      <c r="M7" s="2142"/>
      <c r="N7" s="2142"/>
      <c r="O7" s="2142"/>
      <c r="P7" s="2142"/>
      <c r="Q7" s="2142"/>
      <c r="R7" s="2142"/>
      <c r="S7" s="21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43" t="s">
        <v>695</v>
      </c>
      <c r="J9" s="2144"/>
      <c r="K9" s="2144"/>
      <c r="L9" s="2144"/>
      <c r="M9" s="2144"/>
      <c r="N9" s="2144"/>
      <c r="O9" s="2144"/>
      <c r="P9" s="2144"/>
      <c r="Q9" s="2144"/>
      <c r="R9" s="2144"/>
      <c r="S9" s="2145"/>
      <c r="T9" s="2088" t="s">
        <v>554</v>
      </c>
      <c r="U9" s="2089"/>
      <c r="V9" s="2089"/>
      <c r="W9" s="2089"/>
      <c r="X9" s="2089"/>
      <c r="Y9" s="2089"/>
      <c r="Z9" s="2089"/>
      <c r="AA9" s="2090"/>
    </row>
    <row r="10" spans="1:28" ht="13.5" customHeight="1" x14ac:dyDescent="0.2">
      <c r="A10" s="2097" t="s">
        <v>696</v>
      </c>
      <c r="B10" s="2098"/>
      <c r="C10" s="2098"/>
      <c r="D10" s="2098"/>
      <c r="E10" s="2098"/>
      <c r="F10" s="2098"/>
      <c r="G10" s="2098"/>
      <c r="H10" s="2099"/>
      <c r="I10" s="29"/>
      <c r="J10" s="30"/>
      <c r="K10" s="28"/>
      <c r="R10" s="30"/>
      <c r="S10" s="30"/>
      <c r="T10" s="2091"/>
      <c r="U10" s="2092"/>
      <c r="V10" s="2092"/>
      <c r="W10" s="2092"/>
      <c r="X10" s="2092"/>
      <c r="Y10" s="2092"/>
      <c r="Z10" s="2092"/>
      <c r="AA10" s="2093"/>
    </row>
    <row r="11" spans="1:28" ht="14.25" customHeight="1" x14ac:dyDescent="0.2">
      <c r="A11" s="2100" t="s">
        <v>1012</v>
      </c>
      <c r="B11" s="2101"/>
      <c r="C11" s="2101"/>
      <c r="D11" s="2101"/>
      <c r="E11" s="2101"/>
      <c r="F11" s="2101"/>
      <c r="G11" s="2101"/>
      <c r="H11" s="2102"/>
      <c r="I11" s="27"/>
      <c r="J11" s="74"/>
      <c r="K11" s="27"/>
      <c r="O11" s="148"/>
      <c r="P11" s="100" t="s">
        <v>210</v>
      </c>
      <c r="Q11" s="30"/>
      <c r="R11" s="28"/>
      <c r="S11" s="27"/>
      <c r="T11" s="2094"/>
      <c r="U11" s="2095"/>
      <c r="V11" s="2095"/>
      <c r="W11" s="2095"/>
      <c r="X11" s="2095"/>
      <c r="Y11" s="2095"/>
      <c r="Z11" s="2095"/>
      <c r="AA11" s="2096"/>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108">
        <v>47071801060</v>
      </c>
      <c r="B13" s="2109"/>
      <c r="C13" s="2109"/>
      <c r="D13" s="2109"/>
      <c r="E13" s="2109"/>
      <c r="F13" s="2109"/>
      <c r="G13" s="2109"/>
      <c r="H13" s="2110"/>
      <c r="I13" s="31"/>
      <c r="J13" s="30"/>
      <c r="K13" s="28"/>
      <c r="L13" s="30"/>
      <c r="M13" s="30"/>
      <c r="N13" s="30"/>
      <c r="O13" s="30"/>
      <c r="P13" s="30"/>
      <c r="Q13" s="30"/>
      <c r="R13" s="30"/>
      <c r="S13" s="30"/>
      <c r="T13" s="2113" t="s">
        <v>2082</v>
      </c>
      <c r="U13" s="2114"/>
      <c r="V13" s="2114"/>
      <c r="W13" s="2114"/>
      <c r="X13" s="2114"/>
      <c r="Y13" s="2115"/>
      <c r="Z13" s="2115"/>
      <c r="AA13" s="21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06" t="s">
        <v>2075</v>
      </c>
      <c r="B15" s="2111"/>
      <c r="C15" s="2111"/>
      <c r="D15" s="2111"/>
      <c r="E15" s="2111"/>
      <c r="F15" s="2111"/>
      <c r="G15" s="2111"/>
      <c r="H15" s="2112"/>
      <c r="T15" s="2074" t="s">
        <v>2083</v>
      </c>
      <c r="U15" s="2075"/>
      <c r="V15" s="2075"/>
      <c r="W15" s="2075"/>
      <c r="X15" s="2075"/>
      <c r="Y15" s="2117"/>
      <c r="Z15" s="2117"/>
      <c r="AA15" s="21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66" t="s">
        <v>2123</v>
      </c>
      <c r="B17" s="2136"/>
      <c r="C17" s="2136"/>
      <c r="D17" s="2136"/>
      <c r="E17" s="2136"/>
      <c r="F17" s="2136"/>
      <c r="G17" s="2136"/>
      <c r="H17" s="2137"/>
      <c r="T17" s="2123" t="s">
        <v>2084</v>
      </c>
      <c r="U17" s="2124"/>
      <c r="V17" s="2124"/>
      <c r="W17" s="2124"/>
      <c r="X17" s="2124"/>
      <c r="Y17" s="2124"/>
      <c r="Z17" s="2124"/>
      <c r="AA17" s="2125"/>
    </row>
    <row r="18" spans="1:27" ht="13.5" customHeight="1" x14ac:dyDescent="0.2">
      <c r="A18" s="85" t="s">
        <v>551</v>
      </c>
      <c r="B18" s="76"/>
      <c r="C18" s="72"/>
      <c r="D18" s="76"/>
      <c r="E18" s="76"/>
      <c r="F18" s="76"/>
      <c r="G18" s="76"/>
      <c r="H18" s="56"/>
      <c r="I18" s="2133" t="s">
        <v>697</v>
      </c>
      <c r="J18" s="2134"/>
      <c r="K18" s="2134"/>
      <c r="L18" s="2134"/>
      <c r="M18" s="2134"/>
      <c r="N18" s="2134"/>
      <c r="O18" s="2134"/>
      <c r="P18" s="2134"/>
      <c r="Q18" s="2134"/>
      <c r="R18" s="2134"/>
      <c r="S18" s="2135"/>
      <c r="T18" s="85" t="s">
        <v>735</v>
      </c>
      <c r="U18" s="51"/>
      <c r="V18" s="72"/>
      <c r="W18" s="50"/>
      <c r="X18" s="85" t="s">
        <v>284</v>
      </c>
      <c r="Y18" s="81"/>
      <c r="Z18" s="159" t="s">
        <v>698</v>
      </c>
      <c r="AA18" s="46"/>
    </row>
    <row r="19" spans="1:27" ht="13.5" customHeight="1" x14ac:dyDescent="0.2">
      <c r="A19" s="2106" t="s">
        <v>2076</v>
      </c>
      <c r="B19" s="2107"/>
      <c r="C19" s="2107"/>
      <c r="D19" s="2107"/>
      <c r="E19" s="2107"/>
      <c r="F19" s="2107"/>
      <c r="G19" s="2107"/>
      <c r="H19" s="2105"/>
      <c r="I19" s="30"/>
      <c r="J19" s="99"/>
      <c r="K19" s="40"/>
      <c r="L19" s="38"/>
      <c r="M19" s="112" t="s">
        <v>333</v>
      </c>
      <c r="P19" s="27"/>
      <c r="Q19" s="27"/>
      <c r="R19" s="27"/>
      <c r="S19" s="31"/>
      <c r="T19" s="2106" t="s">
        <v>2085</v>
      </c>
      <c r="U19" s="2104"/>
      <c r="V19" s="2104"/>
      <c r="W19" s="2105"/>
      <c r="X19" s="2121" t="s">
        <v>2086</v>
      </c>
      <c r="Y19" s="2122"/>
      <c r="Z19" s="2119">
        <v>61032</v>
      </c>
      <c r="AA19" s="21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03" t="s">
        <v>2077</v>
      </c>
      <c r="B21" s="2104"/>
      <c r="C21" s="2104"/>
      <c r="D21" s="2104"/>
      <c r="E21" s="2104"/>
      <c r="F21" s="2104"/>
      <c r="G21" s="2104"/>
      <c r="H21" s="2105"/>
      <c r="I21" s="2129" t="s">
        <v>699</v>
      </c>
      <c r="J21" s="2092"/>
      <c r="K21" s="2092"/>
      <c r="L21" s="2092"/>
      <c r="M21" s="2092"/>
      <c r="N21" s="2092"/>
      <c r="O21" s="2092"/>
      <c r="P21" s="2092"/>
      <c r="Q21" s="2092"/>
      <c r="R21" s="2092"/>
      <c r="S21" s="2093"/>
      <c r="T21" s="2071" t="s">
        <v>2087</v>
      </c>
      <c r="U21" s="2072"/>
      <c r="V21" s="2072"/>
      <c r="W21" s="2072"/>
      <c r="X21" s="2085" t="s">
        <v>2088</v>
      </c>
      <c r="Y21" s="2086"/>
      <c r="Z21" s="2086"/>
      <c r="AA21" s="2087"/>
    </row>
    <row r="22" spans="1:27" ht="13.5" customHeight="1" x14ac:dyDescent="0.2">
      <c r="A22" s="87" t="s">
        <v>552</v>
      </c>
      <c r="B22" s="59"/>
      <c r="C22" s="59"/>
      <c r="D22" s="59"/>
      <c r="E22" s="59"/>
      <c r="F22" s="59"/>
      <c r="G22" s="59"/>
      <c r="H22" s="60"/>
      <c r="I22" s="2130" t="s">
        <v>1504</v>
      </c>
      <c r="J22" s="2131"/>
      <c r="K22" s="2131"/>
      <c r="L22" s="2131"/>
      <c r="M22" s="2131"/>
      <c r="N22" s="2131"/>
      <c r="O22" s="2131"/>
      <c r="P22" s="2131"/>
      <c r="Q22" s="2131"/>
      <c r="R22" s="2131"/>
      <c r="S22" s="2132"/>
      <c r="T22" s="85" t="s">
        <v>1596</v>
      </c>
      <c r="U22" s="51"/>
      <c r="V22" s="72"/>
      <c r="W22" s="51"/>
      <c r="X22" s="160" t="s">
        <v>1385</v>
      </c>
      <c r="Z22" s="45"/>
      <c r="AA22" s="46"/>
    </row>
    <row r="23" spans="1:27" ht="13.5" customHeight="1" x14ac:dyDescent="0.2">
      <c r="A23" s="2126"/>
      <c r="B23" s="2127"/>
      <c r="C23" s="2127"/>
      <c r="D23" s="2127"/>
      <c r="E23" s="2127"/>
      <c r="F23" s="2127"/>
      <c r="G23" s="2127"/>
      <c r="H23" s="2128"/>
      <c r="T23" s="2066" t="s">
        <v>2089</v>
      </c>
      <c r="U23" s="2067"/>
      <c r="V23" s="2067"/>
      <c r="W23" s="2067"/>
      <c r="X23" s="2082">
        <v>43434</v>
      </c>
      <c r="Y23" s="2083"/>
      <c r="Z23" s="2083"/>
      <c r="AA23" s="2084"/>
    </row>
    <row r="24" spans="1:27" ht="14.1" customHeight="1" x14ac:dyDescent="0.2">
      <c r="A24" s="88" t="s">
        <v>698</v>
      </c>
      <c r="B24" s="49"/>
      <c r="C24" s="49"/>
      <c r="D24" s="49"/>
      <c r="E24" s="49"/>
      <c r="F24" s="49"/>
      <c r="G24" s="49"/>
      <c r="H24" s="61"/>
      <c r="J24" s="2168" t="str">
        <f>IF(B5="x",IF(AUDITCHECK!D29="AFR form Incomplete.","",IF(AUDITCHECK!D29="Deficit reduction plan is required.","School District must complete a deficit reduction plan in the 2018-2019 Budget",)),"")</f>
        <v/>
      </c>
      <c r="K24" s="2168"/>
      <c r="L24" s="2168"/>
      <c r="M24" s="2168"/>
      <c r="N24" s="2168"/>
      <c r="O24" s="2168"/>
      <c r="P24" s="2168"/>
      <c r="Q24" s="2168"/>
      <c r="R24" s="2168"/>
      <c r="S24" s="2169"/>
      <c r="T24" s="105" t="s">
        <v>552</v>
      </c>
      <c r="U24" s="106"/>
      <c r="V24" s="106"/>
      <c r="W24" s="106"/>
      <c r="X24" s="107"/>
      <c r="Y24" s="107"/>
      <c r="Z24" s="107"/>
      <c r="AA24" s="108"/>
    </row>
    <row r="25" spans="1:27" ht="14.1" customHeight="1" x14ac:dyDescent="0.2">
      <c r="A25" s="2103">
        <v>61010</v>
      </c>
      <c r="B25" s="2104"/>
      <c r="C25" s="2104"/>
      <c r="D25" s="2104"/>
      <c r="E25" s="2104"/>
      <c r="F25" s="2104"/>
      <c r="G25" s="2104"/>
      <c r="H25" s="2105"/>
      <c r="I25" s="113"/>
      <c r="J25" s="2170"/>
      <c r="K25" s="2170"/>
      <c r="L25" s="2170"/>
      <c r="M25" s="2170"/>
      <c r="N25" s="2170"/>
      <c r="O25" s="2170"/>
      <c r="P25" s="2170"/>
      <c r="Q25" s="2170"/>
      <c r="R25" s="2170"/>
      <c r="S25" s="2171"/>
      <c r="T25" s="2063" t="s">
        <v>2090</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61" t="s">
        <v>1591</v>
      </c>
      <c r="J27" s="2134"/>
      <c r="K27" s="2134"/>
      <c r="L27" s="2134"/>
      <c r="M27" s="2134"/>
      <c r="N27" s="2134"/>
      <c r="O27" s="2134"/>
      <c r="P27" s="2134"/>
      <c r="Q27" s="2134"/>
      <c r="R27" s="2134"/>
      <c r="S27" s="21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07"/>
      <c r="Q35" s="2104"/>
      <c r="R35" s="21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66" t="s">
        <v>2078</v>
      </c>
      <c r="B38" s="2136"/>
      <c r="C38" s="2136"/>
      <c r="D38" s="2136"/>
      <c r="E38" s="2136"/>
      <c r="F38" s="2104"/>
      <c r="G38" s="2104"/>
      <c r="H38" s="2105"/>
      <c r="I38" s="2155"/>
      <c r="J38" s="2075"/>
      <c r="K38" s="2075"/>
      <c r="L38" s="2075"/>
      <c r="M38" s="2075"/>
      <c r="N38" s="2075"/>
      <c r="O38" s="2075"/>
      <c r="P38" s="2076"/>
      <c r="Q38" s="2076"/>
      <c r="R38" s="2076"/>
      <c r="S38" s="2077"/>
      <c r="T38" s="2074" t="s">
        <v>2098</v>
      </c>
      <c r="U38" s="2075"/>
      <c r="V38" s="2075"/>
      <c r="W38" s="2075"/>
      <c r="X38" s="2076"/>
      <c r="Y38" s="2076"/>
      <c r="Z38" s="2076"/>
      <c r="AA38" s="2077"/>
    </row>
    <row r="39" spans="1:27" ht="12" customHeight="1" x14ac:dyDescent="0.2">
      <c r="A39" s="2159" t="s">
        <v>552</v>
      </c>
      <c r="B39" s="2160"/>
      <c r="C39" s="72"/>
      <c r="D39" s="69"/>
      <c r="E39" s="69"/>
      <c r="F39" s="79"/>
      <c r="G39" s="69"/>
      <c r="H39" s="56"/>
      <c r="I39" s="2159" t="s">
        <v>552</v>
      </c>
      <c r="J39" s="2160"/>
      <c r="K39" s="2160"/>
      <c r="L39" s="2160"/>
      <c r="M39" s="2160"/>
      <c r="N39" s="67"/>
      <c r="O39" s="72"/>
      <c r="P39" s="72"/>
      <c r="Q39" s="78"/>
      <c r="R39" s="72"/>
      <c r="S39" s="56"/>
      <c r="T39" s="72" t="s">
        <v>552</v>
      </c>
      <c r="U39" s="51"/>
      <c r="V39" s="72"/>
      <c r="W39" s="50"/>
      <c r="X39" s="78"/>
      <c r="Y39" s="45"/>
      <c r="Z39" s="45"/>
      <c r="AA39" s="46"/>
    </row>
    <row r="40" spans="1:27" ht="13.5" customHeight="1" x14ac:dyDescent="0.2">
      <c r="A40" s="2162" t="s">
        <v>2079</v>
      </c>
      <c r="B40" s="2163"/>
      <c r="C40" s="2164"/>
      <c r="D40" s="2164"/>
      <c r="E40" s="2164"/>
      <c r="F40" s="2165"/>
      <c r="G40" s="2165"/>
      <c r="H40" s="2166"/>
      <c r="I40" s="2078"/>
      <c r="J40" s="2080"/>
      <c r="K40" s="2080"/>
      <c r="L40" s="2080"/>
      <c r="M40" s="2080"/>
      <c r="N40" s="2080"/>
      <c r="O40" s="2080"/>
      <c r="P40" s="2080"/>
      <c r="Q40" s="2080"/>
      <c r="R40" s="2080"/>
      <c r="S40" s="2081"/>
      <c r="T40" s="2078" t="s">
        <v>2099</v>
      </c>
      <c r="U40" s="2079"/>
      <c r="V40" s="2080"/>
      <c r="W40" s="2080"/>
      <c r="X40" s="2080"/>
      <c r="Y40" s="2080"/>
      <c r="Z40" s="2080"/>
      <c r="AA40" s="20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52" t="s">
        <v>2080</v>
      </c>
      <c r="B42" s="2153"/>
      <c r="C42" s="2154"/>
      <c r="D42" s="2167" t="s">
        <v>2081</v>
      </c>
      <c r="E42" s="2153"/>
      <c r="F42" s="2153"/>
      <c r="G42" s="2153"/>
      <c r="H42" s="2154"/>
      <c r="I42" s="2073"/>
      <c r="J42" s="2069"/>
      <c r="K42" s="2069"/>
      <c r="L42" s="2069"/>
      <c r="M42" s="2069"/>
      <c r="N42" s="2069"/>
      <c r="O42" s="2070"/>
      <c r="P42" s="2068"/>
      <c r="Q42" s="2069"/>
      <c r="R42" s="2069"/>
      <c r="S42" s="2070"/>
      <c r="T42" s="2073" t="s">
        <v>2100</v>
      </c>
      <c r="U42" s="2069"/>
      <c r="V42" s="2069"/>
      <c r="W42" s="2070"/>
      <c r="X42" s="2068" t="s">
        <v>2101</v>
      </c>
      <c r="Y42" s="2069"/>
      <c r="Z42" s="2069"/>
      <c r="AA42" s="20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56"/>
      <c r="B44" s="2157"/>
      <c r="C44" s="2157"/>
      <c r="D44" s="2157"/>
      <c r="E44" s="2157"/>
      <c r="F44" s="2157"/>
      <c r="G44" s="2157"/>
      <c r="H44" s="2158"/>
      <c r="I44" s="2148"/>
      <c r="J44" s="2150"/>
      <c r="K44" s="2150"/>
      <c r="L44" s="2150"/>
      <c r="M44" s="2150"/>
      <c r="N44" s="2150"/>
      <c r="O44" s="2150"/>
      <c r="P44" s="2150"/>
      <c r="Q44" s="2150"/>
      <c r="R44" s="2150"/>
      <c r="S44" s="2151"/>
      <c r="T44" s="2148"/>
      <c r="U44" s="2149"/>
      <c r="V44" s="2149"/>
      <c r="W44" s="2149"/>
      <c r="X44" s="2149"/>
      <c r="Y44" s="2149"/>
      <c r="Z44" s="2150"/>
      <c r="AA44" s="21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workbookViewId="0">
      <selection activeCell="A17" sqref="A17:K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305" t="s">
        <v>1902</v>
      </c>
      <c r="B2" s="1549" t="s">
        <v>2034</v>
      </c>
      <c r="C2" s="715" t="s">
        <v>1907</v>
      </c>
      <c r="D2" s="715" t="s">
        <v>1908</v>
      </c>
      <c r="E2" s="715" t="s">
        <v>1909</v>
      </c>
      <c r="F2" s="715" t="s">
        <v>1910</v>
      </c>
    </row>
    <row r="3" spans="1:6" ht="12" customHeight="1" x14ac:dyDescent="0.2">
      <c r="A3" s="2306"/>
      <c r="B3" s="1546"/>
      <c r="C3" s="1547"/>
      <c r="D3" s="1548" t="s">
        <v>274</v>
      </c>
      <c r="E3" s="1547"/>
      <c r="F3" s="1548" t="s">
        <v>275</v>
      </c>
    </row>
    <row r="4" spans="1:6" ht="13.7" customHeight="1" x14ac:dyDescent="0.2">
      <c r="A4" s="716" t="s">
        <v>1217</v>
      </c>
      <c r="B4" s="1770">
        <f>'Revenues 9-14'!C5</f>
        <v>0</v>
      </c>
      <c r="C4" s="1545"/>
      <c r="D4" s="1773">
        <f>B4-C4</f>
        <v>0</v>
      </c>
      <c r="E4" s="1545"/>
      <c r="F4" s="1773">
        <f>E4-C4</f>
        <v>0</v>
      </c>
    </row>
    <row r="5" spans="1:6" ht="13.7" customHeight="1" x14ac:dyDescent="0.2">
      <c r="A5" s="716" t="s">
        <v>925</v>
      </c>
      <c r="B5" s="1771">
        <f>'Revenues 9-14'!D5</f>
        <v>0</v>
      </c>
      <c r="C5" s="585"/>
      <c r="D5" s="1774">
        <f t="shared" ref="D5:D18" si="0">B5-C5</f>
        <v>0</v>
      </c>
      <c r="E5" s="585"/>
      <c r="F5" s="1774">
        <f>E5-C5</f>
        <v>0</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0</v>
      </c>
      <c r="C7" s="585"/>
      <c r="D7" s="1774">
        <f t="shared" si="0"/>
        <v>0</v>
      </c>
      <c r="E7" s="585"/>
      <c r="F7" s="1774">
        <f t="shared" si="1"/>
        <v>0</v>
      </c>
    </row>
    <row r="8" spans="1:6" ht="13.7" customHeight="1" x14ac:dyDescent="0.2">
      <c r="A8" s="716" t="s">
        <v>1241</v>
      </c>
      <c r="B8" s="1771">
        <f>'Revenues 9-14'!G5</f>
        <v>0</v>
      </c>
      <c r="C8" s="585"/>
      <c r="D8" s="1774">
        <f t="shared" si="0"/>
        <v>0</v>
      </c>
      <c r="E8" s="585"/>
      <c r="F8" s="1774">
        <f t="shared" si="1"/>
        <v>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0</v>
      </c>
      <c r="C16" s="585"/>
      <c r="D16" s="1774">
        <f t="shared" si="0"/>
        <v>0</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0</v>
      </c>
      <c r="C19" s="1772">
        <f>SUM(C4:C18)</f>
        <v>0</v>
      </c>
      <c r="D19" s="1772">
        <f>SUM(D4:D18)</f>
        <v>0</v>
      </c>
      <c r="E19" s="1772">
        <f>SUM(E4:E18)</f>
        <v>0</v>
      </c>
      <c r="F19" s="1772">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workbookViewId="0">
      <selection activeCell="A17" sqref="A17:K1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11" t="s">
        <v>650</v>
      </c>
      <c r="B1" s="2312"/>
      <c r="C1" s="722"/>
    </row>
    <row r="2" spans="1:7" ht="33.75" x14ac:dyDescent="0.2">
      <c r="A2" s="2320" t="s">
        <v>1902</v>
      </c>
      <c r="B2" s="2321"/>
      <c r="C2" s="1908" t="s">
        <v>2035</v>
      </c>
      <c r="D2" s="724" t="s">
        <v>2042</v>
      </c>
      <c r="E2" s="724" t="s">
        <v>2043</v>
      </c>
      <c r="F2" s="1908" t="s">
        <v>2036</v>
      </c>
    </row>
    <row r="3" spans="1:7" ht="15.75" customHeight="1" x14ac:dyDescent="0.2">
      <c r="A3" s="2324" t="s">
        <v>1176</v>
      </c>
      <c r="B3" s="2325"/>
      <c r="C3" s="2313"/>
      <c r="D3" s="2314"/>
      <c r="E3" s="2314"/>
      <c r="F3" s="2315"/>
    </row>
    <row r="4" spans="1:7" ht="12.75" customHeight="1" thickBot="1" x14ac:dyDescent="0.25">
      <c r="A4" s="2322" t="s">
        <v>651</v>
      </c>
      <c r="B4" s="2323"/>
      <c r="C4" s="581"/>
      <c r="D4" s="581"/>
      <c r="E4" s="581"/>
      <c r="F4" s="1776">
        <f>SUM(C4+D4)-E4</f>
        <v>0</v>
      </c>
    </row>
    <row r="5" spans="1:7" ht="15.75" customHeight="1" thickTop="1" x14ac:dyDescent="0.2">
      <c r="A5" s="2307" t="s">
        <v>1172</v>
      </c>
      <c r="B5" s="2308"/>
      <c r="C5" s="2316"/>
      <c r="D5" s="2317"/>
      <c r="E5" s="2317"/>
      <c r="F5" s="2318"/>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309" t="s">
        <v>652</v>
      </c>
      <c r="B15" s="2310"/>
      <c r="C15" s="1776">
        <f>SUM(C6:C14)</f>
        <v>0</v>
      </c>
      <c r="D15" s="1776">
        <f>SUM(D6:D14)</f>
        <v>0</v>
      </c>
      <c r="E15" s="1776">
        <f>SUM(E6:E14)</f>
        <v>0</v>
      </c>
      <c r="F15" s="1776">
        <f>SUM(F6:F14)</f>
        <v>0</v>
      </c>
      <c r="G15" s="552"/>
    </row>
    <row r="16" spans="1:7" s="202" customFormat="1" ht="15.75" customHeight="1" thickTop="1" x14ac:dyDescent="0.2">
      <c r="A16" s="2319" t="s">
        <v>1173</v>
      </c>
      <c r="B16" s="2308"/>
      <c r="C16" s="2316"/>
      <c r="D16" s="2317"/>
      <c r="E16" s="2317"/>
      <c r="F16" s="2318"/>
    </row>
    <row r="17" spans="1:11" ht="12.75" customHeight="1" thickBot="1" x14ac:dyDescent="0.25">
      <c r="A17" s="2332" t="s">
        <v>66</v>
      </c>
      <c r="B17" s="2333"/>
      <c r="C17" s="727"/>
      <c r="D17" s="585"/>
      <c r="E17" s="727"/>
      <c r="F17" s="1776">
        <f>SUM(C17+D17)-E17</f>
        <v>0</v>
      </c>
    </row>
    <row r="18" spans="1:11" ht="12.75" customHeight="1" thickTop="1" thickBot="1" x14ac:dyDescent="0.25">
      <c r="A18" s="2332" t="s">
        <v>6</v>
      </c>
      <c r="B18" s="2333"/>
      <c r="C18" s="727"/>
      <c r="D18" s="585"/>
      <c r="E18" s="727"/>
      <c r="F18" s="1776">
        <f>SUM(C18+D18)-E18</f>
        <v>0</v>
      </c>
    </row>
    <row r="19" spans="1:11" ht="12.75" customHeight="1" thickTop="1" thickBot="1" x14ac:dyDescent="0.25">
      <c r="A19" s="2332" t="s">
        <v>406</v>
      </c>
      <c r="B19" s="2333"/>
      <c r="C19" s="727"/>
      <c r="D19" s="585"/>
      <c r="E19" s="727"/>
      <c r="F19" s="1776">
        <f>SUM(C19+D19)-E19</f>
        <v>0</v>
      </c>
    </row>
    <row r="20" spans="1:11" ht="12.75" customHeight="1" thickTop="1" thickBot="1" x14ac:dyDescent="0.25">
      <c r="A20" s="2332" t="s">
        <v>468</v>
      </c>
      <c r="B20" s="2333"/>
      <c r="C20" s="727"/>
      <c r="D20" s="585"/>
      <c r="E20" s="727"/>
      <c r="F20" s="1776">
        <f>SUM(C20+D20)-E20</f>
        <v>0</v>
      </c>
    </row>
    <row r="21" spans="1:11" ht="14.25" thickTop="1" thickBot="1" x14ac:dyDescent="0.25">
      <c r="A21" s="2309" t="s">
        <v>653</v>
      </c>
      <c r="B21" s="2310"/>
      <c r="C21" s="1776">
        <f>SUM(C17:C20)</f>
        <v>0</v>
      </c>
      <c r="D21" s="1776">
        <f>SUM(D17:D20)</f>
        <v>0</v>
      </c>
      <c r="E21" s="1776">
        <f>SUM(E17:E20)</f>
        <v>0</v>
      </c>
      <c r="F21" s="1776">
        <f>SUM(F17:F20)</f>
        <v>0</v>
      </c>
      <c r="G21" s="552"/>
    </row>
    <row r="22" spans="1:11" ht="15.75" customHeight="1" thickTop="1" x14ac:dyDescent="0.2">
      <c r="A22" s="2334" t="s">
        <v>1174</v>
      </c>
      <c r="B22" s="2308"/>
      <c r="C22" s="2316"/>
      <c r="D22" s="2317"/>
      <c r="E22" s="2317"/>
      <c r="F22" s="2318"/>
    </row>
    <row r="23" spans="1:11" ht="13.5" thickBot="1" x14ac:dyDescent="0.25">
      <c r="A23" s="2322" t="s">
        <v>654</v>
      </c>
      <c r="B23" s="2323"/>
      <c r="C23" s="581"/>
      <c r="D23" s="581"/>
      <c r="E23" s="581"/>
      <c r="F23" s="1776">
        <f>SUM(C23+D23)-E23</f>
        <v>0</v>
      </c>
      <c r="G23" s="552"/>
    </row>
    <row r="24" spans="1:11" ht="15.75" customHeight="1" thickTop="1" x14ac:dyDescent="0.2">
      <c r="A24" s="2334" t="s">
        <v>1175</v>
      </c>
      <c r="B24" s="2308"/>
      <c r="C24" s="2316"/>
      <c r="D24" s="2317"/>
      <c r="E24" s="2317"/>
      <c r="F24" s="2318"/>
    </row>
    <row r="25" spans="1:11" ht="13.5" thickBot="1" x14ac:dyDescent="0.25">
      <c r="A25" s="2322" t="s">
        <v>655</v>
      </c>
      <c r="B25" s="2323"/>
      <c r="C25" s="581"/>
      <c r="D25" s="581"/>
      <c r="E25" s="581"/>
      <c r="F25" s="1776">
        <f>SUM(C25+D25)-E25</f>
        <v>0</v>
      </c>
      <c r="G25" s="552"/>
    </row>
    <row r="26" spans="1:11" ht="15.75" customHeight="1" thickTop="1" x14ac:dyDescent="0.2">
      <c r="A26" s="2307" t="s">
        <v>678</v>
      </c>
      <c r="B26" s="2308"/>
      <c r="C26" s="728"/>
      <c r="D26" s="728"/>
      <c r="E26" s="728"/>
      <c r="F26" s="729"/>
    </row>
    <row r="27" spans="1:11" ht="13.5" thickBot="1" x14ac:dyDescent="0.25">
      <c r="A27" s="2309" t="s">
        <v>1130</v>
      </c>
      <c r="B27" s="2310"/>
      <c r="C27" s="585"/>
      <c r="D27" s="585"/>
      <c r="E27" s="585"/>
      <c r="F27" s="1776">
        <f>SUM(C27+D27)-E27</f>
        <v>0</v>
      </c>
      <c r="G27" s="552"/>
    </row>
    <row r="28" spans="1:11" ht="7.5" customHeight="1" thickTop="1" x14ac:dyDescent="0.2">
      <c r="A28" s="594"/>
    </row>
    <row r="29" spans="1:11" ht="23.25" customHeight="1" x14ac:dyDescent="0.2">
      <c r="A29" s="2335" t="s">
        <v>603</v>
      </c>
      <c r="B29" s="2312"/>
      <c r="C29" s="730"/>
      <c r="D29" s="730"/>
      <c r="E29" s="730"/>
      <c r="F29" s="730"/>
      <c r="G29" s="730"/>
      <c r="H29" s="730"/>
      <c r="I29" s="730"/>
      <c r="J29" s="730"/>
    </row>
    <row r="30" spans="1:11" ht="33.75" x14ac:dyDescent="0.2">
      <c r="A30" s="1550"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t="s">
        <v>2209</v>
      </c>
      <c r="B31" s="734">
        <v>42019</v>
      </c>
      <c r="C31" s="735">
        <v>96818</v>
      </c>
      <c r="D31" s="736">
        <v>8</v>
      </c>
      <c r="E31" s="735">
        <v>1530</v>
      </c>
      <c r="F31" s="735">
        <v>0</v>
      </c>
      <c r="G31" s="735"/>
      <c r="H31" s="735"/>
      <c r="I31" s="1777">
        <f>((E31+F31)-H31)+G31</f>
        <v>1530</v>
      </c>
      <c r="J31" s="735">
        <v>1530</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96818</v>
      </c>
      <c r="D49" s="746"/>
      <c r="E49" s="1777">
        <f t="shared" ref="E49:J49" si="2">SUM(E31:E48)</f>
        <v>1530</v>
      </c>
      <c r="F49" s="1777">
        <f t="shared" si="2"/>
        <v>0</v>
      </c>
      <c r="G49" s="1777">
        <f t="shared" si="2"/>
        <v>0</v>
      </c>
      <c r="H49" s="1777">
        <f t="shared" si="2"/>
        <v>0</v>
      </c>
      <c r="I49" s="1777">
        <f t="shared" si="2"/>
        <v>1530</v>
      </c>
      <c r="J49" s="1777">
        <f t="shared" si="2"/>
        <v>1530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326" t="s">
        <v>605</v>
      </c>
      <c r="C52" s="2327"/>
      <c r="D52" s="2327"/>
      <c r="E52" s="750" t="s">
        <v>900</v>
      </c>
      <c r="F52" s="2328"/>
      <c r="G52" s="2329"/>
      <c r="H52" s="737"/>
      <c r="I52" s="737"/>
      <c r="J52" s="747"/>
    </row>
    <row r="53" spans="1:11" ht="11.25" customHeight="1" x14ac:dyDescent="0.2">
      <c r="A53" s="751" t="s">
        <v>969</v>
      </c>
      <c r="B53" s="752" t="s">
        <v>1008</v>
      </c>
      <c r="C53" s="747"/>
      <c r="D53" s="738"/>
      <c r="E53" s="750" t="s">
        <v>518</v>
      </c>
      <c r="F53" s="2330"/>
      <c r="G53" s="2331"/>
      <c r="H53" s="737"/>
      <c r="I53" s="737"/>
      <c r="J53" s="747"/>
    </row>
    <row r="54" spans="1:11" ht="11.25" customHeight="1" x14ac:dyDescent="0.2">
      <c r="A54" s="753" t="s">
        <v>970</v>
      </c>
      <c r="B54" s="748" t="s">
        <v>1009</v>
      </c>
      <c r="C54" s="747"/>
      <c r="D54" s="738"/>
      <c r="E54" s="750" t="s">
        <v>519</v>
      </c>
      <c r="F54" s="2330"/>
      <c r="G54" s="23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workbookViewId="0">
      <selection activeCell="A17" sqref="A17:K1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60" t="s">
        <v>911</v>
      </c>
      <c r="B1" s="2361"/>
      <c r="C1" s="2361"/>
      <c r="D1" s="2361"/>
      <c r="E1" s="2361"/>
      <c r="F1" s="2361"/>
      <c r="G1" s="2362"/>
      <c r="H1" s="1551"/>
      <c r="I1" s="761"/>
      <c r="J1" s="433"/>
    </row>
    <row r="2" spans="1:11" ht="26.25" x14ac:dyDescent="0.2">
      <c r="A2" s="2339" t="s">
        <v>1776</v>
      </c>
      <c r="B2" s="2340"/>
      <c r="C2" s="2340"/>
      <c r="D2" s="2340"/>
      <c r="E2" s="2341"/>
      <c r="F2" s="762" t="s">
        <v>960</v>
      </c>
      <c r="G2" s="763" t="s">
        <v>1773</v>
      </c>
      <c r="H2" s="763" t="s">
        <v>430</v>
      </c>
      <c r="I2" s="763" t="s">
        <v>1220</v>
      </c>
      <c r="J2" s="763" t="s">
        <v>1916</v>
      </c>
      <c r="K2" s="763" t="s">
        <v>140</v>
      </c>
    </row>
    <row r="3" spans="1:11" x14ac:dyDescent="0.2">
      <c r="A3" s="2342" t="s">
        <v>1698</v>
      </c>
      <c r="B3" s="2343"/>
      <c r="C3" s="2343"/>
      <c r="D3" s="2343"/>
      <c r="E3" s="2344"/>
      <c r="F3" s="764"/>
      <c r="G3" s="765"/>
      <c r="H3" s="765"/>
      <c r="I3" s="765"/>
      <c r="J3" s="766"/>
      <c r="K3" s="766"/>
    </row>
    <row r="4" spans="1:11" x14ac:dyDescent="0.2">
      <c r="A4" s="2345" t="s">
        <v>387</v>
      </c>
      <c r="B4" s="2346"/>
      <c r="C4" s="2346"/>
      <c r="D4" s="2346"/>
      <c r="E4" s="2327"/>
      <c r="F4" s="767"/>
      <c r="G4" s="768"/>
      <c r="H4" s="769"/>
      <c r="I4" s="768"/>
      <c r="J4" s="770"/>
      <c r="K4" s="770"/>
    </row>
    <row r="5" spans="1:11" x14ac:dyDescent="0.2">
      <c r="A5" s="2363" t="s">
        <v>1129</v>
      </c>
      <c r="B5" s="2336"/>
      <c r="C5" s="2336"/>
      <c r="D5" s="2336"/>
      <c r="E5" s="2364"/>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363" t="s">
        <v>1917</v>
      </c>
      <c r="B10" s="2336"/>
      <c r="C10" s="2336"/>
      <c r="D10" s="2336"/>
      <c r="E10" s="2365"/>
      <c r="F10" s="784" t="s">
        <v>917</v>
      </c>
      <c r="G10" s="783"/>
      <c r="H10" s="785"/>
      <c r="I10" s="765"/>
      <c r="J10" s="766"/>
      <c r="K10" s="766"/>
    </row>
    <row r="11" spans="1:11" x14ac:dyDescent="0.2">
      <c r="A11" s="2363" t="s">
        <v>162</v>
      </c>
      <c r="B11" s="2336"/>
      <c r="C11" s="2336"/>
      <c r="D11" s="2336"/>
      <c r="E11" s="2364"/>
      <c r="F11" s="771" t="s">
        <v>907</v>
      </c>
      <c r="G11" s="772"/>
      <c r="H11" s="765"/>
      <c r="I11" s="765"/>
      <c r="J11" s="766"/>
      <c r="K11" s="774"/>
    </row>
    <row r="12" spans="1:11" ht="13.5" thickBot="1" x14ac:dyDescent="0.25">
      <c r="A12" s="2353" t="s">
        <v>961</v>
      </c>
      <c r="B12" s="2354"/>
      <c r="C12" s="2354"/>
      <c r="D12" s="2354"/>
      <c r="E12" s="2355"/>
      <c r="F12" s="1778"/>
      <c r="G12" s="1779">
        <f>SUM(G5:G11)</f>
        <v>0</v>
      </c>
      <c r="H12" s="1779">
        <f>SUM(H5:H11)</f>
        <v>0</v>
      </c>
      <c r="I12" s="1779">
        <f>SUM(I5:I11)</f>
        <v>0</v>
      </c>
      <c r="J12" s="1779">
        <f>SUM(J5:J11)</f>
        <v>0</v>
      </c>
      <c r="K12" s="1779">
        <f>SUM(K5:K11)</f>
        <v>0</v>
      </c>
    </row>
    <row r="13" spans="1:11" ht="13.5" thickTop="1" x14ac:dyDescent="0.2">
      <c r="A13" s="2347" t="s">
        <v>388</v>
      </c>
      <c r="B13" s="2348"/>
      <c r="C13" s="2348"/>
      <c r="D13" s="2348"/>
      <c r="E13" s="2349"/>
      <c r="F13" s="786"/>
      <c r="G13" s="787"/>
      <c r="H13" s="788"/>
      <c r="I13" s="789"/>
      <c r="J13" s="789"/>
      <c r="K13" s="789"/>
    </row>
    <row r="14" spans="1:11" x14ac:dyDescent="0.2">
      <c r="A14" s="2369" t="s">
        <v>476</v>
      </c>
      <c r="B14" s="2369"/>
      <c r="C14" s="2369"/>
      <c r="D14" s="2369"/>
      <c r="E14" s="2370"/>
      <c r="F14" s="790" t="s">
        <v>909</v>
      </c>
      <c r="G14" s="783"/>
      <c r="H14" s="765"/>
      <c r="I14" s="772"/>
      <c r="J14" s="774"/>
      <c r="K14" s="766"/>
    </row>
    <row r="15" spans="1:11" x14ac:dyDescent="0.2">
      <c r="A15" s="2336" t="s">
        <v>4</v>
      </c>
      <c r="B15" s="2336"/>
      <c r="C15" s="2336"/>
      <c r="D15" s="2336"/>
      <c r="E15" s="2364"/>
      <c r="F15" s="790" t="s">
        <v>910</v>
      </c>
      <c r="G15" s="772"/>
      <c r="H15" s="765"/>
      <c r="I15" s="765"/>
      <c r="J15" s="766"/>
      <c r="K15" s="766"/>
    </row>
    <row r="16" spans="1:11" x14ac:dyDescent="0.2">
      <c r="A16" s="2336" t="s">
        <v>316</v>
      </c>
      <c r="B16" s="2336"/>
      <c r="C16" s="2336"/>
      <c r="D16" s="2336"/>
      <c r="E16" s="2364"/>
      <c r="F16" s="790" t="s">
        <v>980</v>
      </c>
      <c r="G16" s="773"/>
      <c r="H16" s="768"/>
      <c r="I16" s="768"/>
      <c r="J16" s="770"/>
      <c r="K16" s="770"/>
    </row>
    <row r="17" spans="1:11" x14ac:dyDescent="0.2">
      <c r="A17" s="2358" t="s">
        <v>992</v>
      </c>
      <c r="B17" s="2358"/>
      <c r="C17" s="2358"/>
      <c r="D17" s="2358"/>
      <c r="E17" s="2359"/>
      <c r="F17" s="791"/>
      <c r="G17" s="792"/>
      <c r="H17" s="793"/>
      <c r="I17" s="793"/>
      <c r="J17" s="794"/>
      <c r="K17" s="795"/>
    </row>
    <row r="18" spans="1:11" x14ac:dyDescent="0.2">
      <c r="A18" s="2350" t="s">
        <v>386</v>
      </c>
      <c r="B18" s="2351"/>
      <c r="C18" s="2351"/>
      <c r="D18" s="2351"/>
      <c r="E18" s="2352"/>
      <c r="F18" s="790" t="s">
        <v>989</v>
      </c>
      <c r="G18" s="783"/>
      <c r="H18" s="783"/>
      <c r="I18" s="783"/>
      <c r="J18" s="766"/>
      <c r="K18" s="796"/>
    </row>
    <row r="19" spans="1:11" ht="21.75" customHeight="1" x14ac:dyDescent="0.2">
      <c r="A19" s="2371" t="s">
        <v>1913</v>
      </c>
      <c r="B19" s="2371"/>
      <c r="C19" s="2371"/>
      <c r="D19" s="2371"/>
      <c r="E19" s="2372"/>
      <c r="F19" s="790" t="s">
        <v>990</v>
      </c>
      <c r="G19" s="783"/>
      <c r="H19" s="783"/>
      <c r="I19" s="783"/>
      <c r="J19" s="766"/>
      <c r="K19" s="796"/>
    </row>
    <row r="20" spans="1:11" x14ac:dyDescent="0.2">
      <c r="A20" s="2350" t="s">
        <v>1918</v>
      </c>
      <c r="B20" s="2351"/>
      <c r="C20" s="2351"/>
      <c r="D20" s="2351"/>
      <c r="E20" s="2352"/>
      <c r="F20" s="790" t="s">
        <v>991</v>
      </c>
      <c r="G20" s="783"/>
      <c r="H20" s="783"/>
      <c r="I20" s="783"/>
      <c r="J20" s="766"/>
      <c r="K20" s="796"/>
    </row>
    <row r="21" spans="1:11" ht="13.5" thickBot="1" x14ac:dyDescent="0.25">
      <c r="A21" s="2356" t="s">
        <v>659</v>
      </c>
      <c r="B21" s="2356"/>
      <c r="C21" s="2356"/>
      <c r="D21" s="2356"/>
      <c r="E21" s="2356"/>
      <c r="F21" s="1780"/>
      <c r="G21" s="793"/>
      <c r="H21" s="797"/>
      <c r="I21" s="797"/>
      <c r="J21" s="1781">
        <f>SUM(J18:J20)</f>
        <v>0</v>
      </c>
      <c r="K21" s="794"/>
    </row>
    <row r="22" spans="1:11" ht="13.5" thickTop="1" x14ac:dyDescent="0.2">
      <c r="A22" s="2336" t="s">
        <v>1919</v>
      </c>
      <c r="B22" s="2336"/>
      <c r="C22" s="2336"/>
      <c r="D22" s="2336"/>
      <c r="E22" s="2364"/>
      <c r="F22" s="790" t="s">
        <v>917</v>
      </c>
      <c r="G22" s="783"/>
      <c r="H22" s="765"/>
      <c r="I22" s="765"/>
      <c r="J22" s="798"/>
      <c r="K22" s="766"/>
    </row>
    <row r="23" spans="1:11" ht="13.5" thickBot="1" x14ac:dyDescent="0.25">
      <c r="A23" s="2357" t="s">
        <v>962</v>
      </c>
      <c r="B23" s="2356"/>
      <c r="C23" s="2356"/>
      <c r="D23" s="2356"/>
      <c r="E23" s="2356"/>
      <c r="F23" s="1782"/>
      <c r="G23" s="1779">
        <f>SUM(G14:G16,G21,G22)</f>
        <v>0</v>
      </c>
      <c r="H23" s="1779">
        <f>SUM(H14:H16,H21,H22)</f>
        <v>0</v>
      </c>
      <c r="I23" s="1779">
        <f>SUM(I14:I16,I21,I22)</f>
        <v>0</v>
      </c>
      <c r="J23" s="1779">
        <f>SUM(J14:J16,J21,J22)</f>
        <v>0</v>
      </c>
      <c r="K23" s="1779">
        <f>SUM(K14:K16,K21,K22)</f>
        <v>0</v>
      </c>
    </row>
    <row r="24" spans="1:11" ht="14.25" thickTop="1" thickBot="1" x14ac:dyDescent="0.25">
      <c r="A24" s="2357" t="s">
        <v>2023</v>
      </c>
      <c r="B24" s="2356"/>
      <c r="C24" s="2356"/>
      <c r="D24" s="2356"/>
      <c r="E24" s="2356"/>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366"/>
      <c r="I31" s="2367"/>
      <c r="J31" s="2367"/>
      <c r="K31" s="2367"/>
    </row>
    <row r="32" spans="1:11" x14ac:dyDescent="0.2">
      <c r="A32" s="810"/>
      <c r="B32" s="237"/>
      <c r="C32" s="237"/>
      <c r="D32" s="237"/>
      <c r="E32" s="806"/>
      <c r="F32" s="812" t="s">
        <v>561</v>
      </c>
      <c r="G32" s="765"/>
      <c r="H32" s="2368"/>
      <c r="I32" s="2367"/>
      <c r="J32" s="2367"/>
      <c r="K32" s="2367"/>
    </row>
    <row r="33" spans="1:11" ht="1.5" customHeight="1" x14ac:dyDescent="0.2">
      <c r="A33" s="813" t="s">
        <v>1231</v>
      </c>
      <c r="B33" s="364"/>
      <c r="C33" s="364"/>
      <c r="D33" s="364"/>
      <c r="E33" s="364"/>
      <c r="F33" s="364"/>
      <c r="G33" s="814"/>
      <c r="H33" s="2368"/>
      <c r="I33" s="2367"/>
      <c r="J33" s="2367"/>
      <c r="K33" s="2367"/>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336" t="s">
        <v>562</v>
      </c>
      <c r="B41" s="2337"/>
      <c r="C41" s="2337"/>
      <c r="D41" s="2337"/>
      <c r="E41" s="2337"/>
      <c r="F41" s="233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1914</v>
      </c>
      <c r="B46" s="408" t="s">
        <v>1774</v>
      </c>
    </row>
    <row r="47" spans="1:11" s="824" customFormat="1" ht="12.75" customHeight="1" x14ac:dyDescent="0.2">
      <c r="A47" s="822"/>
      <c r="B47" s="823" t="s">
        <v>1775</v>
      </c>
      <c r="E47" s="823"/>
      <c r="K47" s="825"/>
    </row>
    <row r="48" spans="1:11" ht="12.75" customHeight="1" x14ac:dyDescent="0.2">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workbookViewId="0">
      <selection activeCell="A17" sqref="A17:K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5" t="s">
        <v>2032</v>
      </c>
      <c r="B1" s="2376"/>
      <c r="C1" s="2377"/>
      <c r="D1" s="827"/>
      <c r="E1" s="828"/>
      <c r="F1" s="828"/>
      <c r="G1" s="829"/>
      <c r="H1" s="830"/>
      <c r="I1" s="831"/>
      <c r="J1" s="2373"/>
      <c r="K1" s="2374"/>
      <c r="L1" s="2374"/>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c r="D5" s="842"/>
      <c r="E5" s="842"/>
      <c r="F5" s="1781">
        <f>(C5+D5)-E5</f>
        <v>0</v>
      </c>
      <c r="G5" s="838"/>
      <c r="H5" s="843"/>
      <c r="I5" s="843"/>
      <c r="J5" s="843"/>
      <c r="K5" s="794"/>
      <c r="L5" s="1790">
        <f>F5-K5</f>
        <v>0</v>
      </c>
    </row>
    <row r="6" spans="1:14" ht="14.25" thickTop="1" thickBot="1" x14ac:dyDescent="0.25">
      <c r="A6" s="779" t="s">
        <v>1179</v>
      </c>
      <c r="B6" s="841">
        <v>222</v>
      </c>
      <c r="C6" s="766">
        <v>61015</v>
      </c>
      <c r="D6" s="766"/>
      <c r="E6" s="766"/>
      <c r="F6" s="1781">
        <f>(C6+D6)-E6</f>
        <v>61015</v>
      </c>
      <c r="G6" s="838">
        <v>50</v>
      </c>
      <c r="H6" s="766"/>
      <c r="I6" s="766"/>
      <c r="J6" s="766"/>
      <c r="K6" s="1790">
        <f>(H6+I6)-J6</f>
        <v>0</v>
      </c>
      <c r="L6" s="1790">
        <f>F6-K6</f>
        <v>61015</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1937591</v>
      </c>
      <c r="D8" s="845"/>
      <c r="E8" s="845"/>
      <c r="F8" s="1781">
        <f>(C8+D8)-E8</f>
        <v>1937591</v>
      </c>
      <c r="G8" s="844">
        <v>50</v>
      </c>
      <c r="H8" s="766">
        <v>1254659</v>
      </c>
      <c r="I8" s="766">
        <v>29869</v>
      </c>
      <c r="J8" s="766"/>
      <c r="K8" s="1790">
        <f>(H8+I8)-J8</f>
        <v>1284528</v>
      </c>
      <c r="L8" s="1790">
        <f>F8-K8</f>
        <v>653063</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245020</v>
      </c>
      <c r="D10" s="847"/>
      <c r="E10" s="847"/>
      <c r="F10" s="1785">
        <f>(C10+D10)-E10</f>
        <v>245020</v>
      </c>
      <c r="G10" s="844">
        <v>20</v>
      </c>
      <c r="H10" s="848">
        <v>25960</v>
      </c>
      <c r="I10" s="848">
        <v>12099</v>
      </c>
      <c r="J10" s="848"/>
      <c r="K10" s="1790">
        <f>(H10+I10)-J10</f>
        <v>38059</v>
      </c>
      <c r="L10" s="1790">
        <f>F10-K10</f>
        <v>206961</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f>272685+20696</f>
        <v>293381</v>
      </c>
      <c r="D12" s="845">
        <v>49597</v>
      </c>
      <c r="E12" s="845"/>
      <c r="F12" s="1781">
        <f>(C12+D12)-E12</f>
        <v>342978</v>
      </c>
      <c r="G12" s="844">
        <v>10</v>
      </c>
      <c r="H12" s="766">
        <f>229057+17147</f>
        <v>246204</v>
      </c>
      <c r="I12" s="766">
        <f>10463+475</f>
        <v>10938</v>
      </c>
      <c r="J12" s="766"/>
      <c r="K12" s="1790">
        <f>(H12+I12)-J12</f>
        <v>257142</v>
      </c>
      <c r="L12" s="1790">
        <f>F12-K12</f>
        <v>85836</v>
      </c>
    </row>
    <row r="13" spans="1:14" ht="14.25" thickTop="1" thickBot="1" x14ac:dyDescent="0.25">
      <c r="A13" s="849" t="s">
        <v>1184</v>
      </c>
      <c r="B13" s="841">
        <v>252</v>
      </c>
      <c r="C13" s="845">
        <v>134002</v>
      </c>
      <c r="D13" s="845"/>
      <c r="E13" s="845"/>
      <c r="F13" s="1781">
        <f>(C13+D13)-E13</f>
        <v>134002</v>
      </c>
      <c r="G13" s="844">
        <v>5</v>
      </c>
      <c r="H13" s="766"/>
      <c r="I13" s="766"/>
      <c r="J13" s="766"/>
      <c r="K13" s="1790">
        <f>(H13+I13)-J13</f>
        <v>0</v>
      </c>
      <c r="L13" s="1790">
        <f>F13-K13</f>
        <v>134002</v>
      </c>
    </row>
    <row r="14" spans="1:14" ht="14.25" thickTop="1" thickBot="1" x14ac:dyDescent="0.25">
      <c r="A14" s="849" t="s">
        <v>1185</v>
      </c>
      <c r="B14" s="841">
        <v>253</v>
      </c>
      <c r="C14" s="766"/>
      <c r="D14" s="766"/>
      <c r="E14" s="766"/>
      <c r="F14" s="1781">
        <f>(C14+D14)-E14</f>
        <v>0</v>
      </c>
      <c r="G14" s="844">
        <v>3</v>
      </c>
      <c r="H14" s="766">
        <v>66997</v>
      </c>
      <c r="I14" s="766">
        <v>26451</v>
      </c>
      <c r="J14" s="766"/>
      <c r="K14" s="1790">
        <f>(H14+I14)-J14</f>
        <v>93448</v>
      </c>
      <c r="L14" s="1790">
        <f>F14-K14</f>
        <v>-93448</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2671009</v>
      </c>
      <c r="D16" s="1781">
        <f>SUM(D3,D5:D6,D8:D10,D12:D15)</f>
        <v>49597</v>
      </c>
      <c r="E16" s="1781">
        <f>SUM(E3,E5:E6,E8:E10,E12:E15)</f>
        <v>0</v>
      </c>
      <c r="F16" s="1781">
        <f>SUM(F3,F5:F6,F8:F10,F12:F15)</f>
        <v>2720606</v>
      </c>
      <c r="G16" s="844"/>
      <c r="H16" s="1781">
        <f>SUM(H3,H6,H8:H10,H12:H14,)</f>
        <v>1593820</v>
      </c>
      <c r="I16" s="1781">
        <f>SUM(I3,I6,I8:I10,I12:I14,)</f>
        <v>79357</v>
      </c>
      <c r="J16" s="1781">
        <f>SUM(J3,J6,J8:J10,J12:J14,)</f>
        <v>0</v>
      </c>
      <c r="K16" s="1781">
        <f>(H16+I16)-J16</f>
        <v>1673177</v>
      </c>
      <c r="L16" s="1781">
        <f>F16-K16</f>
        <v>1047429</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79357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workbookViewId="0">
      <selection activeCell="A17" sqref="A17:K1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81" t="s">
        <v>1699</v>
      </c>
      <c r="B1" s="2382"/>
      <c r="C1" s="2382"/>
      <c r="D1" s="2382"/>
      <c r="E1" s="2382"/>
      <c r="F1" s="2383"/>
      <c r="G1" s="856"/>
    </row>
    <row r="2" spans="1:7" ht="15" customHeight="1" thickBot="1" x14ac:dyDescent="0.25">
      <c r="A2" s="2384" t="s">
        <v>498</v>
      </c>
      <c r="B2" s="2385"/>
      <c r="C2" s="2385"/>
      <c r="D2" s="2385"/>
      <c r="E2" s="2385"/>
      <c r="F2" s="23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87"/>
      <c r="B5" s="2388"/>
      <c r="C5" s="2388"/>
      <c r="D5" s="2388"/>
      <c r="E5" s="2388"/>
      <c r="F5" s="2388"/>
    </row>
    <row r="6" spans="1:7" ht="13.5" customHeight="1" thickBot="1" x14ac:dyDescent="0.25">
      <c r="A6" s="2378" t="s">
        <v>1166</v>
      </c>
      <c r="B6" s="2379"/>
      <c r="C6" s="2379"/>
      <c r="D6" s="2379"/>
      <c r="E6" s="2379"/>
      <c r="F6" s="23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6724924</v>
      </c>
      <c r="G8" s="866"/>
    </row>
    <row r="9" spans="1:7" x14ac:dyDescent="0.2">
      <c r="A9" s="870" t="s">
        <v>480</v>
      </c>
      <c r="B9" s="871" t="s">
        <v>1986</v>
      </c>
      <c r="C9" s="872"/>
      <c r="D9" s="870" t="s">
        <v>522</v>
      </c>
      <c r="E9" s="869"/>
      <c r="F9" s="1933">
        <f>'Expenditures 15-22'!K151</f>
        <v>269536</v>
      </c>
      <c r="G9" s="873"/>
    </row>
    <row r="10" spans="1:7" x14ac:dyDescent="0.2">
      <c r="A10" s="870" t="s">
        <v>520</v>
      </c>
      <c r="B10" s="871" t="s">
        <v>1987</v>
      </c>
      <c r="C10" s="872"/>
      <c r="D10" s="870" t="s">
        <v>522</v>
      </c>
      <c r="E10" s="869"/>
      <c r="F10" s="1933">
        <f>'Expenditures 15-22'!K174</f>
        <v>0</v>
      </c>
      <c r="G10" s="873"/>
    </row>
    <row r="11" spans="1:7" x14ac:dyDescent="0.2">
      <c r="A11" s="870" t="s">
        <v>481</v>
      </c>
      <c r="B11" s="871" t="s">
        <v>1988</v>
      </c>
      <c r="C11" s="872"/>
      <c r="D11" s="870" t="s">
        <v>522</v>
      </c>
      <c r="E11" s="869"/>
      <c r="F11" s="1933">
        <f>'Expenditures 15-22'!K210</f>
        <v>12309</v>
      </c>
      <c r="G11" s="873"/>
    </row>
    <row r="12" spans="1:7" x14ac:dyDescent="0.2">
      <c r="A12" s="870" t="s">
        <v>482</v>
      </c>
      <c r="B12" s="871" t="s">
        <v>1989</v>
      </c>
      <c r="C12" s="872"/>
      <c r="D12" s="870" t="s">
        <v>522</v>
      </c>
      <c r="E12" s="869"/>
      <c r="F12" s="1933">
        <f>'Expenditures 15-22'!K295</f>
        <v>0</v>
      </c>
      <c r="G12" s="873"/>
    </row>
    <row r="13" spans="1:7" x14ac:dyDescent="0.2">
      <c r="A13" s="870" t="s">
        <v>108</v>
      </c>
      <c r="B13" s="871" t="s">
        <v>1990</v>
      </c>
      <c r="C13" s="872"/>
      <c r="D13" s="870" t="s">
        <v>522</v>
      </c>
      <c r="E13" s="869"/>
      <c r="F13" s="1933">
        <f>'Expenditures 15-22'!K342</f>
        <v>0</v>
      </c>
      <c r="G13" s="874"/>
    </row>
    <row r="14" spans="1:7" ht="12" customHeight="1" thickBot="1" x14ac:dyDescent="0.25">
      <c r="A14" s="1791"/>
      <c r="B14" s="1792"/>
      <c r="C14" s="1793"/>
      <c r="D14" s="1794" t="s">
        <v>522</v>
      </c>
      <c r="E14" s="1795" t="s">
        <v>1015</v>
      </c>
      <c r="F14" s="1796">
        <f>SUM(F8:F13)</f>
        <v>7006769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11953</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55316</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53537</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406886</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657417</v>
      </c>
      <c r="G53" s="866"/>
    </row>
    <row r="54" spans="1:7" x14ac:dyDescent="0.2">
      <c r="A54" s="870" t="s">
        <v>479</v>
      </c>
      <c r="B54" s="870" t="s">
        <v>1552</v>
      </c>
      <c r="C54" s="890" t="s">
        <v>1039</v>
      </c>
      <c r="D54" s="886" t="s">
        <v>1157</v>
      </c>
      <c r="E54" s="869"/>
      <c r="F54" s="1937">
        <f>'Expenditures 15-22'!G114</f>
        <v>43837</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7">
        <f>'Expenditures 15-22'!K139</f>
        <v>0</v>
      </c>
      <c r="G57" s="866"/>
    </row>
    <row r="58" spans="1:7" x14ac:dyDescent="0.2">
      <c r="A58" s="870" t="s">
        <v>480</v>
      </c>
      <c r="B58" s="870" t="s">
        <v>1992</v>
      </c>
      <c r="C58" s="887" t="s">
        <v>1039</v>
      </c>
      <c r="D58" s="886" t="s">
        <v>1157</v>
      </c>
      <c r="E58" s="869"/>
      <c r="F58" s="1939">
        <f>'Expenditures 15-22'!G151</f>
        <v>5759</v>
      </c>
      <c r="G58" s="866"/>
    </row>
    <row r="59" spans="1:7" x14ac:dyDescent="0.2">
      <c r="A59" s="894" t="s">
        <v>480</v>
      </c>
      <c r="B59" s="857" t="s">
        <v>1993</v>
      </c>
      <c r="C59" s="895" t="s">
        <v>1039</v>
      </c>
      <c r="D59" s="857" t="s">
        <v>309</v>
      </c>
      <c r="F59" s="1940">
        <f>'Expenditures 15-22'!I151</f>
        <v>0</v>
      </c>
      <c r="G59" s="866"/>
    </row>
    <row r="60" spans="1:7" x14ac:dyDescent="0.2">
      <c r="A60" s="894" t="s">
        <v>520</v>
      </c>
      <c r="B60" s="857" t="s">
        <v>1994</v>
      </c>
      <c r="C60" s="895">
        <v>4000</v>
      </c>
      <c r="D60" s="857" t="s">
        <v>330</v>
      </c>
      <c r="F60" s="1938">
        <f>'Expenditures 15-22'!K160</f>
        <v>0</v>
      </c>
      <c r="G60" s="866"/>
    </row>
    <row r="61" spans="1:7" x14ac:dyDescent="0.2">
      <c r="A61" s="896" t="s">
        <v>520</v>
      </c>
      <c r="B61" s="896" t="s">
        <v>1995</v>
      </c>
      <c r="C61" s="897" t="str">
        <f>'Expenditures 15-22'!B170</f>
        <v>5300</v>
      </c>
      <c r="D61" s="898" t="s">
        <v>329</v>
      </c>
      <c r="E61" s="880"/>
      <c r="F61" s="1937">
        <f>'Expenditures 15-22'!K170</f>
        <v>0</v>
      </c>
      <c r="G61" s="866"/>
    </row>
    <row r="62" spans="1:7" x14ac:dyDescent="0.2">
      <c r="A62" s="870" t="s">
        <v>481</v>
      </c>
      <c r="B62" s="870" t="s">
        <v>1996</v>
      </c>
      <c r="C62" s="887">
        <f>'Expenditures 15-22'!B185</f>
        <v>3000</v>
      </c>
      <c r="D62" s="877" t="s">
        <v>469</v>
      </c>
      <c r="E62" s="869"/>
      <c r="F62" s="1937">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1998</v>
      </c>
      <c r="C64" s="897" t="str">
        <f>'Expenditures 15-22'!B206</f>
        <v>5300</v>
      </c>
      <c r="D64" s="893" t="s">
        <v>329</v>
      </c>
      <c r="E64" s="869"/>
      <c r="F64" s="1937">
        <f>'Expenditures 15-22'!K206</f>
        <v>0</v>
      </c>
      <c r="G64" s="866"/>
    </row>
    <row r="65" spans="1:8" x14ac:dyDescent="0.2">
      <c r="A65" s="870" t="s">
        <v>481</v>
      </c>
      <c r="B65" s="870" t="s">
        <v>1999</v>
      </c>
      <c r="C65" s="887" t="s">
        <v>1039</v>
      </c>
      <c r="D65" s="886" t="s">
        <v>1157</v>
      </c>
      <c r="E65" s="869"/>
      <c r="F65" s="1937">
        <f>'Expenditures 15-22'!G210</f>
        <v>0</v>
      </c>
      <c r="G65" s="866"/>
    </row>
    <row r="66" spans="1:8" x14ac:dyDescent="0.2">
      <c r="A66" s="870" t="s">
        <v>481</v>
      </c>
      <c r="B66" s="870" t="s">
        <v>2000</v>
      </c>
      <c r="C66" s="887" t="s">
        <v>1039</v>
      </c>
      <c r="D66" s="886" t="s">
        <v>309</v>
      </c>
      <c r="E66" s="869"/>
      <c r="F66" s="1937">
        <f>'Expenditures 15-22'!I210</f>
        <v>0</v>
      </c>
      <c r="G66" s="866"/>
    </row>
    <row r="67" spans="1:8" x14ac:dyDescent="0.2">
      <c r="A67" s="870" t="s">
        <v>482</v>
      </c>
      <c r="B67" s="870" t="s">
        <v>2001</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2003</v>
      </c>
      <c r="C70" s="887">
        <f>'Expenditures 15-22'!B221</f>
        <v>1300</v>
      </c>
      <c r="D70" s="888" t="str">
        <f>'Expenditures 15-22'!A221</f>
        <v>Adult/Continuing Education Programs</v>
      </c>
      <c r="E70" s="869"/>
      <c r="F70" s="1937">
        <f>'Expenditures 15-22'!K221</f>
        <v>0</v>
      </c>
      <c r="G70" s="866"/>
    </row>
    <row r="71" spans="1:8" x14ac:dyDescent="0.2">
      <c r="A71" s="870" t="s">
        <v>482</v>
      </c>
      <c r="B71" s="870" t="s">
        <v>2004</v>
      </c>
      <c r="C71" s="887">
        <f>'Expenditures 15-22'!B224</f>
        <v>1600</v>
      </c>
      <c r="D71" s="888" t="str">
        <f>'Expenditures 15-22'!A224</f>
        <v>Summer School Programs</v>
      </c>
      <c r="E71" s="869"/>
      <c r="F71" s="1937">
        <f>'Expenditures 15-22'!K224</f>
        <v>0</v>
      </c>
      <c r="G71" s="866"/>
    </row>
    <row r="72" spans="1:8" x14ac:dyDescent="0.2">
      <c r="A72" s="870" t="s">
        <v>482</v>
      </c>
      <c r="B72" s="870" t="s">
        <v>2005</v>
      </c>
      <c r="C72" s="887">
        <f>'Expenditures 15-22'!B280</f>
        <v>3000</v>
      </c>
      <c r="D72" s="877" t="s">
        <v>469</v>
      </c>
      <c r="E72" s="869"/>
      <c r="F72" s="1937">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2007</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2008</v>
      </c>
      <c r="E76" s="1795" t="s">
        <v>1015</v>
      </c>
      <c r="F76" s="1799">
        <f>SUM(F18:F74)</f>
        <v>1234705</v>
      </c>
      <c r="G76" s="866"/>
    </row>
    <row r="77" spans="1:8" s="894" customFormat="1" ht="12" customHeight="1" thickTop="1" thickBot="1" x14ac:dyDescent="0.25">
      <c r="A77" s="1800"/>
      <c r="B77" s="1797"/>
      <c r="C77" s="1793"/>
      <c r="D77" s="1798" t="s">
        <v>2009</v>
      </c>
      <c r="E77" s="1795"/>
      <c r="F77" s="1801">
        <f>(F14-F76)</f>
        <v>5772064</v>
      </c>
      <c r="G77" s="870"/>
    </row>
    <row r="78" spans="1:8" s="894" customFormat="1" ht="12" customHeight="1" thickTop="1" x14ac:dyDescent="0.2">
      <c r="A78" s="1802"/>
      <c r="B78" s="1797"/>
      <c r="C78" s="1793"/>
      <c r="D78" s="1798" t="s">
        <v>2056</v>
      </c>
      <c r="E78" s="1795"/>
      <c r="F78" s="899">
        <v>0</v>
      </c>
      <c r="G78" s="900"/>
      <c r="H78" s="870"/>
    </row>
    <row r="79" spans="1:8" s="894" customFormat="1" ht="12" customHeight="1" thickBot="1" x14ac:dyDescent="0.25">
      <c r="A79" s="1803"/>
      <c r="B79" s="1797"/>
      <c r="C79" s="1793"/>
      <c r="D79" s="1798" t="s">
        <v>2010</v>
      </c>
      <c r="E79" s="1795" t="s">
        <v>1015</v>
      </c>
      <c r="F79" s="180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378" t="s">
        <v>1167</v>
      </c>
      <c r="B81" s="2379"/>
      <c r="C81" s="2379"/>
      <c r="D81" s="2379"/>
      <c r="E81" s="2379"/>
      <c r="F81" s="23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5035</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217372</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240127</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152269</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521</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42310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36742</v>
      </c>
      <c r="G129" s="931"/>
    </row>
    <row r="130" spans="1:7" x14ac:dyDescent="0.2">
      <c r="A130" s="928" t="s">
        <v>689</v>
      </c>
      <c r="B130" s="928" t="s">
        <v>804</v>
      </c>
      <c r="C130" s="933">
        <v>4300</v>
      </c>
      <c r="D130" s="934" t="str">
        <f>'Revenues 9-14'!A211</f>
        <v>Total Title I</v>
      </c>
      <c r="E130" s="907"/>
      <c r="F130" s="1810">
        <f>SUM('Revenues 9-14'!C211,'Revenues 9-14'!D211,'Revenues 9-14'!F211,'Revenues 9-14'!G211)</f>
        <v>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1681557</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69356</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41686</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257674</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44242</v>
      </c>
      <c r="G174" s="928"/>
    </row>
    <row r="175" spans="1:7" x14ac:dyDescent="0.2">
      <c r="A175" s="1942" t="s">
        <v>5</v>
      </c>
      <c r="B175" s="1943" t="s">
        <v>2055</v>
      </c>
      <c r="C175" s="1944">
        <v>3100</v>
      </c>
      <c r="D175" s="1945" t="s">
        <v>2058</v>
      </c>
      <c r="E175" s="907"/>
      <c r="F175" s="1929"/>
      <c r="G175" s="928"/>
    </row>
    <row r="176" spans="1:7" x14ac:dyDescent="0.2">
      <c r="A176" s="1942" t="s">
        <v>685</v>
      </c>
      <c r="B176" s="1943" t="s">
        <v>2055</v>
      </c>
      <c r="C176" s="1944">
        <v>3300</v>
      </c>
      <c r="D176" s="1945" t="s">
        <v>2059</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2011</v>
      </c>
      <c r="E178" s="1808" t="s">
        <v>1015</v>
      </c>
      <c r="F178" s="1809">
        <f>SUM(F84:F136,F161:F176)</f>
        <v>2788891</v>
      </c>
    </row>
    <row r="179" spans="1:7" ht="12" customHeight="1" x14ac:dyDescent="0.2">
      <c r="A179" s="1791"/>
      <c r="B179" s="1805"/>
      <c r="C179" s="1806"/>
      <c r="D179" s="1807" t="s">
        <v>2012</v>
      </c>
      <c r="E179" s="1808"/>
      <c r="F179" s="1810">
        <f>'PCTC-OEPP 27-28'!F77-F178</f>
        <v>2983173</v>
      </c>
    </row>
    <row r="180" spans="1:7" ht="12" customHeight="1" x14ac:dyDescent="0.2">
      <c r="A180" s="1791"/>
      <c r="B180" s="1805"/>
      <c r="C180" s="1806"/>
      <c r="D180" s="1807" t="s">
        <v>1921</v>
      </c>
      <c r="E180" s="1808"/>
      <c r="F180" s="1810">
        <f>'Cap Outlay Deprec 26'!I18</f>
        <v>79357</v>
      </c>
    </row>
    <row r="181" spans="1:7" ht="12" customHeight="1" x14ac:dyDescent="0.2">
      <c r="A181" s="1791"/>
      <c r="B181" s="1805"/>
      <c r="C181" s="1806"/>
      <c r="D181" s="1807" t="s">
        <v>2013</v>
      </c>
      <c r="E181" s="1808"/>
      <c r="F181" s="1810">
        <f>F179+F180</f>
        <v>3062530</v>
      </c>
    </row>
    <row r="182" spans="1:7" ht="12" customHeight="1" x14ac:dyDescent="0.2">
      <c r="A182" s="1791"/>
      <c r="B182" s="1811"/>
      <c r="C182" s="1806"/>
      <c r="D182" s="1807" t="str">
        <f>D78</f>
        <v>9 Month ADA from District Average Daily Attendance/Prior General State Aid Inquiry 2017-2018</v>
      </c>
      <c r="E182" s="1808"/>
      <c r="F182" s="1812">
        <f>'PCTC-OEPP 27-28'!F78</f>
        <v>0</v>
      </c>
      <c r="G182" s="931"/>
    </row>
    <row r="183" spans="1:7" ht="12" customHeight="1" thickBot="1" x14ac:dyDescent="0.25">
      <c r="A183" s="1791"/>
      <c r="B183" s="1811"/>
      <c r="C183" s="1806"/>
      <c r="D183" s="1807" t="s">
        <v>2014</v>
      </c>
      <c r="E183" s="1808" t="s">
        <v>1626</v>
      </c>
      <c r="F183" s="1813"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6" customFormat="1" ht="12.2" customHeight="1" x14ac:dyDescent="0.2">
      <c r="A186" s="1946" t="s">
        <v>2062</v>
      </c>
      <c r="B186" s="1947"/>
      <c r="C186" s="1948"/>
      <c r="D186" s="1947"/>
      <c r="E186" s="1948"/>
      <c r="F186" s="1947"/>
      <c r="G186" s="1947"/>
    </row>
    <row r="187" spans="1:7" s="1946" customFormat="1" ht="12.2" customHeight="1" x14ac:dyDescent="0.2">
      <c r="A187" s="1949" t="s">
        <v>2063</v>
      </c>
      <c r="C187" s="1948"/>
      <c r="D187" s="1947"/>
      <c r="E187" s="1948"/>
      <c r="F187" s="1947"/>
      <c r="G187" s="1947"/>
    </row>
    <row r="188" spans="1:7" ht="12" customHeight="1" x14ac:dyDescent="0.2">
      <c r="C188" s="950"/>
      <c r="D188" s="931"/>
      <c r="E188" s="950"/>
      <c r="F188" s="931"/>
      <c r="G188" s="931"/>
    </row>
    <row r="189" spans="1:7" x14ac:dyDescent="0.2">
      <c r="A189" s="1950" t="s">
        <v>2061</v>
      </c>
      <c r="B189" s="1951"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election activeCell="A17" sqref="A17:K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1937</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92" t="s">
        <v>1922</v>
      </c>
      <c r="B4" s="2393"/>
      <c r="C4" s="2393"/>
      <c r="D4" s="2393"/>
      <c r="E4" s="2393"/>
      <c r="F4" s="2393"/>
      <c r="G4" s="2394"/>
    </row>
    <row r="5" spans="1:7" x14ac:dyDescent="0.25">
      <c r="A5" s="2395"/>
      <c r="B5" s="2396"/>
      <c r="C5" s="2396"/>
      <c r="D5" s="2396"/>
      <c r="E5" s="2396"/>
      <c r="F5" s="2396"/>
      <c r="G5" s="2397"/>
    </row>
    <row r="6" spans="1:7" ht="18.75" x14ac:dyDescent="0.25">
      <c r="A6" s="1555" t="s">
        <v>1923</v>
      </c>
      <c r="B6" s="1556"/>
      <c r="C6" s="1556"/>
      <c r="D6" s="1556"/>
      <c r="E6" s="1556"/>
      <c r="F6" s="1556"/>
      <c r="G6" s="1557"/>
    </row>
    <row r="7" spans="1:7" ht="30.75" customHeight="1" x14ac:dyDescent="0.25">
      <c r="A7" s="2398" t="s">
        <v>2072</v>
      </c>
      <c r="B7" s="2399"/>
      <c r="C7" s="2399"/>
      <c r="D7" s="2399"/>
      <c r="E7" s="2399"/>
      <c r="F7" s="2399"/>
      <c r="G7" s="2400"/>
    </row>
    <row r="8" spans="1:7" ht="15.75" customHeight="1" x14ac:dyDescent="0.25">
      <c r="A8" s="2401" t="s">
        <v>2021</v>
      </c>
      <c r="B8" s="2402"/>
      <c r="C8" s="2402"/>
      <c r="D8" s="2402"/>
      <c r="E8" s="2402"/>
      <c r="F8" s="2402"/>
      <c r="G8" s="2403"/>
    </row>
    <row r="9" spans="1:7" ht="35.25" customHeight="1" x14ac:dyDescent="0.25">
      <c r="A9" s="2398" t="s">
        <v>2020</v>
      </c>
      <c r="B9" s="2399"/>
      <c r="C9" s="2399"/>
      <c r="D9" s="2399"/>
      <c r="E9" s="2399"/>
      <c r="F9" s="2399"/>
      <c r="G9" s="2400"/>
    </row>
    <row r="10" spans="1:7" ht="15" customHeight="1" x14ac:dyDescent="0.25">
      <c r="A10" s="1558" t="s">
        <v>1924</v>
      </c>
      <c r="B10" s="1559"/>
      <c r="C10" s="1559"/>
      <c r="D10" s="1559"/>
      <c r="E10" s="1559"/>
      <c r="F10" s="1559"/>
      <c r="G10" s="1560"/>
    </row>
    <row r="11" spans="1:7" ht="17.25" customHeight="1" x14ac:dyDescent="0.25">
      <c r="A11" s="2398" t="s">
        <v>1938</v>
      </c>
      <c r="B11" s="2399"/>
      <c r="C11" s="2399"/>
      <c r="D11" s="2399"/>
      <c r="E11" s="2399"/>
      <c r="F11" s="2399"/>
      <c r="G11" s="2400"/>
    </row>
    <row r="12" spans="1:7" ht="15" customHeight="1" x14ac:dyDescent="0.25">
      <c r="A12" s="1558" t="s">
        <v>1929</v>
      </c>
      <c r="B12" s="1559"/>
      <c r="C12" s="1559"/>
      <c r="D12" s="1559"/>
      <c r="E12" s="1559"/>
      <c r="F12" s="1559"/>
      <c r="G12" s="1560"/>
    </row>
    <row r="13" spans="1:7" ht="32.25" customHeight="1" x14ac:dyDescent="0.25">
      <c r="A13" s="2389" t="s">
        <v>1930</v>
      </c>
      <c r="B13" s="2390"/>
      <c r="C13" s="2390"/>
      <c r="D13" s="2390"/>
      <c r="E13" s="2390"/>
      <c r="F13" s="2390"/>
      <c r="G13" s="2391"/>
    </row>
    <row r="14" spans="1:7" x14ac:dyDescent="0.25">
      <c r="A14" s="1682" t="s">
        <v>1939</v>
      </c>
      <c r="B14" s="1683"/>
      <c r="C14" s="1683"/>
      <c r="D14" s="1683"/>
      <c r="E14" s="1683"/>
      <c r="F14" s="1683"/>
      <c r="G14" s="1684"/>
    </row>
    <row r="15" spans="1:7" ht="61.5" customHeight="1" x14ac:dyDescent="0.25">
      <c r="A15" s="1567" t="s">
        <v>1931</v>
      </c>
      <c r="B15" s="1567" t="s">
        <v>1932</v>
      </c>
      <c r="C15" s="1567" t="s">
        <v>1933</v>
      </c>
      <c r="D15" s="1568" t="s">
        <v>1934</v>
      </c>
      <c r="E15" s="1568" t="s">
        <v>1925</v>
      </c>
      <c r="F15" s="1568" t="s">
        <v>1935</v>
      </c>
      <c r="G15" s="1568" t="s">
        <v>1936</v>
      </c>
    </row>
    <row r="16" spans="1:7" x14ac:dyDescent="0.25">
      <c r="A16" s="1669" t="s">
        <v>1940</v>
      </c>
      <c r="B16" s="1670" t="s">
        <v>1928</v>
      </c>
      <c r="C16" s="1671" t="s">
        <v>1926</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2060" t="s">
        <v>2210</v>
      </c>
      <c r="B17" s="2061" t="s">
        <v>2211</v>
      </c>
      <c r="C17" s="2062" t="s">
        <v>2212</v>
      </c>
      <c r="D17" s="1866">
        <v>46700</v>
      </c>
      <c r="E17" s="1561">
        <f t="shared" ref="E17:E141" si="1">IF(D17&lt;=25000,D17,IF(D17&gt;25000,25000,0))</f>
        <v>25000</v>
      </c>
      <c r="F17" s="1814">
        <f t="shared" si="0"/>
        <v>25000</v>
      </c>
      <c r="G17" s="1815">
        <f>IF(F17=0,0,D17-F17)</f>
        <v>21700</v>
      </c>
      <c r="H17" s="1668"/>
    </row>
    <row r="18" spans="1:8" x14ac:dyDescent="0.25">
      <c r="A18" s="2060" t="s">
        <v>2210</v>
      </c>
      <c r="B18" s="2061" t="s">
        <v>2211</v>
      </c>
      <c r="C18" s="2062" t="s">
        <v>2213</v>
      </c>
      <c r="D18" s="1866">
        <v>30058</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5058</v>
      </c>
    </row>
    <row r="19" spans="1:8" x14ac:dyDescent="0.25">
      <c r="A19" s="2060" t="s">
        <v>2210</v>
      </c>
      <c r="B19" s="2061" t="s">
        <v>2211</v>
      </c>
      <c r="C19" s="2062" t="s">
        <v>2214</v>
      </c>
      <c r="D19" s="1866">
        <v>31444</v>
      </c>
      <c r="E19" s="1561">
        <f t="shared" si="2"/>
        <v>25000</v>
      </c>
      <c r="F19" s="1814">
        <f t="shared" si="3"/>
        <v>25000</v>
      </c>
      <c r="G19" s="1815">
        <f t="shared" si="4"/>
        <v>6444</v>
      </c>
    </row>
    <row r="20" spans="1:8" x14ac:dyDescent="0.25">
      <c r="A20" s="2060" t="s">
        <v>2210</v>
      </c>
      <c r="B20" s="2061" t="s">
        <v>2211</v>
      </c>
      <c r="C20" s="2062" t="s">
        <v>2215</v>
      </c>
      <c r="D20" s="1866">
        <v>29669</v>
      </c>
      <c r="E20" s="1561">
        <f t="shared" si="2"/>
        <v>25000</v>
      </c>
      <c r="F20" s="1814">
        <f t="shared" si="3"/>
        <v>25000</v>
      </c>
      <c r="G20" s="1815">
        <f t="shared" si="4"/>
        <v>4669</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137871</v>
      </c>
      <c r="E141" s="1562">
        <f t="shared" si="1"/>
        <v>25000</v>
      </c>
      <c r="F141" s="1816">
        <f>SUM(F17:F140)</f>
        <v>100000</v>
      </c>
      <c r="G141" s="1817">
        <f>SUM(G17:G140)</f>
        <v>37871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workbookViewId="0">
      <selection activeCell="A17" sqref="A17:K1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404" t="s">
        <v>1778</v>
      </c>
      <c r="B5" s="2405"/>
      <c r="C5" s="2405"/>
      <c r="D5" s="2405"/>
      <c r="E5" s="2405"/>
      <c r="F5" s="2405"/>
      <c r="G5" s="2406"/>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43936</v>
      </c>
      <c r="F8" s="975"/>
      <c r="G8" s="976"/>
      <c r="H8" s="162"/>
      <c r="I8" s="162"/>
    </row>
    <row r="9" spans="1:9" s="669" customFormat="1" ht="12" customHeight="1" x14ac:dyDescent="0.2">
      <c r="A9" s="971" t="s">
        <v>132</v>
      </c>
      <c r="B9" s="972"/>
      <c r="C9" s="972"/>
      <c r="D9" s="973"/>
      <c r="E9" s="974">
        <v>260872</v>
      </c>
      <c r="F9" s="975"/>
      <c r="G9" s="976"/>
      <c r="H9" s="162"/>
      <c r="I9" s="162"/>
    </row>
    <row r="10" spans="1:9" s="669" customFormat="1" ht="12" customHeight="1" x14ac:dyDescent="0.2">
      <c r="A10" s="971" t="s">
        <v>2073</v>
      </c>
      <c r="B10" s="972"/>
      <c r="C10" s="977"/>
      <c r="D10" s="973"/>
      <c r="E10" s="974">
        <v>36742</v>
      </c>
      <c r="F10" s="975"/>
      <c r="G10" s="976"/>
      <c r="H10" s="162"/>
      <c r="I10" s="162"/>
    </row>
    <row r="11" spans="1:9" s="669" customFormat="1" ht="22.5" customHeight="1" x14ac:dyDescent="0.2">
      <c r="A11" s="2409" t="s">
        <v>1942</v>
      </c>
      <c r="B11" s="2410"/>
      <c r="C11" s="2410"/>
      <c r="D11" s="2411"/>
      <c r="E11" s="978">
        <v>3284</v>
      </c>
      <c r="F11" s="975"/>
      <c r="G11" s="979"/>
      <c r="H11" s="162"/>
      <c r="I11" s="162"/>
    </row>
    <row r="12" spans="1:9" s="669" customFormat="1" ht="12" customHeight="1" x14ac:dyDescent="0.2">
      <c r="A12" s="971" t="s">
        <v>133</v>
      </c>
      <c r="B12" s="972"/>
      <c r="C12" s="972"/>
      <c r="D12" s="973"/>
      <c r="E12" s="974">
        <v>18767</v>
      </c>
      <c r="F12" s="975"/>
      <c r="G12" s="976"/>
      <c r="H12" s="162"/>
      <c r="I12" s="162"/>
    </row>
    <row r="13" spans="1:9" s="669" customFormat="1" ht="12" customHeight="1" x14ac:dyDescent="0.2">
      <c r="A13" s="971" t="s">
        <v>212</v>
      </c>
      <c r="B13" s="972"/>
      <c r="C13" s="972"/>
      <c r="D13" s="973"/>
      <c r="E13" s="974">
        <v>1655</v>
      </c>
      <c r="F13" s="975"/>
      <c r="G13" s="976"/>
      <c r="H13" s="162"/>
      <c r="I13" s="162"/>
    </row>
    <row r="14" spans="1:9" s="669" customFormat="1" ht="12" customHeight="1" x14ac:dyDescent="0.2">
      <c r="A14" s="971" t="s">
        <v>213</v>
      </c>
      <c r="B14" s="972"/>
      <c r="C14" s="972"/>
      <c r="D14" s="973"/>
      <c r="E14" s="974">
        <v>31290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2479622</v>
      </c>
      <c r="F19" s="1821"/>
      <c r="G19" s="1823">
        <f>'Expenditures 15-22'!K33-SUM('Expenditures 15-22'!G33,'Expenditures 15-22'!I33)+'Expenditures 15-22'!D229</f>
        <v>2479622</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2273797</v>
      </c>
      <c r="F21" s="1824"/>
      <c r="G21" s="1827">
        <f>'Expenditures 15-22'!K42-SUM('Expenditures 15-22'!G42,'Expenditures 15-22'!I42)+'Expenditures 15-22'!K120-SUM('Expenditures 15-22'!G120,'Expenditures 15-22'!I120)+'Expenditures 15-22'!K180-SUM('Expenditures 15-22'!G180,'Expenditures 15-22'!I180)+'Expenditures 15-22'!D238</f>
        <v>2273797</v>
      </c>
      <c r="H21" s="988"/>
      <c r="I21" s="162"/>
    </row>
    <row r="22" spans="1:9" s="669" customFormat="1" ht="12" customHeight="1" x14ac:dyDescent="0.2">
      <c r="A22" s="995" t="s">
        <v>585</v>
      </c>
      <c r="B22" s="996"/>
      <c r="C22" s="994">
        <v>2200</v>
      </c>
      <c r="D22" s="1824"/>
      <c r="E22" s="1826">
        <f>'Expenditures 15-22'!K47-SUM('Expenditures 15-22'!G47,'Expenditures 15-22'!I47)+'Expenditures 15-22'!D243</f>
        <v>98283</v>
      </c>
      <c r="F22" s="1824"/>
      <c r="G22" s="1827">
        <f>'Expenditures 15-22'!K47-SUM('Expenditures 15-22'!G47,'Expenditures 15-22'!I47)+'Expenditures 15-22'!D243</f>
        <v>98283</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690596</v>
      </c>
      <c r="F23" s="1824"/>
      <c r="G23" s="1826">
        <f>'Expenditures 15-22'!K53-SUM('Expenditures 15-22'!G53,'Expenditures 15-22'!I53)+'Expenditures 15-22'!D257+'Expenditures 15-22'!K330-SUM('Expenditures 15-22'!G330,'Expenditures 15-22'!I330)</f>
        <v>690596</v>
      </c>
      <c r="H23" s="988"/>
      <c r="I23" s="162"/>
    </row>
    <row r="24" spans="1:9" s="669" customFormat="1" ht="12" customHeight="1" x14ac:dyDescent="0.2">
      <c r="A24" s="995" t="s">
        <v>587</v>
      </c>
      <c r="B24" s="996"/>
      <c r="C24" s="994">
        <v>2400</v>
      </c>
      <c r="D24" s="1824"/>
      <c r="E24" s="1826">
        <f>'Expenditures 15-22'!K57-SUM('Expenditures 15-22'!G57,'Expenditures 15-22'!I57)+'Expenditures 15-22'!D261</f>
        <v>243140</v>
      </c>
      <c r="F24" s="1824"/>
      <c r="G24" s="1827">
        <f>'Expenditures 15-22'!K57-SUM('Expenditures 15-22'!G57,'Expenditures 15-22'!I57)+'Expenditures 15-22'!D261</f>
        <v>243140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613</v>
      </c>
      <c r="E27" s="1826">
        <f>E8</f>
        <v>43936</v>
      </c>
      <c r="F27" s="1826">
        <f>'Expenditures 15-22'!K60-SUM('Expenditures 15-22'!G60,'Expenditures 15-22'!I60)+'Expenditures 15-22'!D264-E8</f>
        <v>613</v>
      </c>
      <c r="G27" s="1827">
        <f>E8</f>
        <v>43936</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263777</v>
      </c>
      <c r="F28" s="1828">
        <f>'Expenditures 15-22'!K61-SUM('Expenditures 15-22'!G61,'Expenditures 15-22'!I61)+'Expenditures 15-22'!K124-SUM('Expenditures 15-22'!G124,'Expenditures 15-22'!I124)+'Expenditures 15-22'!D266-E9</f>
        <v>2905</v>
      </c>
      <c r="G28" s="1827">
        <f>E9</f>
        <v>260872</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12309</v>
      </c>
      <c r="F29" s="1824"/>
      <c r="G29" s="1827">
        <f>'Expenditures 15-22'!K62-SUM('Expenditures 15-22'!G62,'Expenditures 15-22'!I62)+'Expenditures 15-22'!K125-SUM('Expenditures 15-22'!G125,'Expenditures 15-22'!I125)+'Expenditures 15-22'!K182-SUM('Expenditures 15-22'!G182,'Expenditures 15-22'!I182)+'Expenditures 15-22'!D267</f>
        <v>12309</v>
      </c>
      <c r="H29" s="986"/>
    </row>
    <row r="30" spans="1:9" ht="12" customHeight="1" x14ac:dyDescent="0.2">
      <c r="A30" s="995" t="s">
        <v>102</v>
      </c>
      <c r="B30" s="998"/>
      <c r="C30" s="994">
        <v>2560</v>
      </c>
      <c r="D30" s="1824"/>
      <c r="E30" s="1826">
        <f>'Expenditures 15-22'!K63-SUM('Expenditures 15-22'!G63,'Expenditures 15-22'!I63)+'Expenditures 15-22'!D268-E10</f>
        <v>-3290</v>
      </c>
      <c r="F30" s="1824"/>
      <c r="G30" s="1826">
        <f>'Expenditures 15-22'!K63-SUM('Expenditures 15-22'!G63,'Expenditures 15-22'!I63)+'Expenditures 15-22'!D268-E10</f>
        <v>-3290</v>
      </c>
    </row>
    <row r="31" spans="1:9" ht="12" customHeight="1" x14ac:dyDescent="0.2">
      <c r="A31" s="995" t="s">
        <v>103</v>
      </c>
      <c r="B31" s="998"/>
      <c r="C31" s="994">
        <v>2570</v>
      </c>
      <c r="D31" s="1826">
        <f>'Expenditures 15-22'!K64-SUM('Expenditures 15-22'!G64,'Expenditures 15-22'!I64)+'Expenditures 15-22'!D269-E12</f>
        <v>0</v>
      </c>
      <c r="E31" s="1826">
        <f>E12</f>
        <v>18767</v>
      </c>
      <c r="F31" s="1826">
        <f>'Expenditures 15-22'!K64-SUM('Expenditures 15-22'!G64,'Expenditures 15-22'!I64)+'Expenditures 15-22'!D269-E12</f>
        <v>0</v>
      </c>
      <c r="G31" s="1826">
        <f>E12</f>
        <v>18767</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29006</v>
      </c>
      <c r="F35" s="1824"/>
      <c r="G35" s="1826">
        <f>'Expenditures 15-22'!K69-SUM('Expenditures 15-22'!G69,'Expenditures 15-22'!I69)+'Expenditures 15-22'!D274</f>
        <v>29006</v>
      </c>
    </row>
    <row r="36" spans="1:7" ht="12" customHeight="1" x14ac:dyDescent="0.2">
      <c r="A36" s="995" t="s">
        <v>423</v>
      </c>
      <c r="B36" s="998"/>
      <c r="C36" s="994">
        <v>2640</v>
      </c>
      <c r="D36" s="1826">
        <f>'Expenditures 15-22'!K70-SUM('Expenditures 15-22'!G70,'Expenditures 15-22'!I70)+'Expenditures 15-22'!D275-E13</f>
        <v>0</v>
      </c>
      <c r="E36" s="1826">
        <f>E13</f>
        <v>1655</v>
      </c>
      <c r="F36" s="1826">
        <f>'Expenditures 15-22'!K70-SUM('Expenditures 15-22'!G70,'Expenditures 15-22'!I70)+'Expenditures 15-22'!D275-E13</f>
        <v>0</v>
      </c>
      <c r="G36" s="1826">
        <f>E13</f>
        <v>1655</v>
      </c>
    </row>
    <row r="37" spans="1:7" ht="12" customHeight="1" x14ac:dyDescent="0.2">
      <c r="A37" s="995" t="s">
        <v>424</v>
      </c>
      <c r="B37" s="998"/>
      <c r="C37" s="994">
        <v>2660</v>
      </c>
      <c r="D37" s="1826">
        <f>'Expenditures 15-22'!K71-SUM('Expenditures 15-22'!G71,'Expenditures 15-22'!I71)+'Expenditures 15-22'!D276-E14</f>
        <v>75513</v>
      </c>
      <c r="E37" s="1826">
        <f>E14</f>
        <v>31290</v>
      </c>
      <c r="F37" s="1826">
        <f>'Expenditures 15-22'!K71-SUM('Expenditures 15-22'!G71,'Expenditures 15-22'!I71)+'Expenditures 15-22'!D276-E14</f>
        <v>75513</v>
      </c>
      <c r="G37" s="1826">
        <f>E14</f>
        <v>31290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4000</v>
      </c>
      <c r="F38" s="1824"/>
      <c r="G38" s="1826">
        <f>'Expenditures 15-22'!K73-SUM('Expenditures 15-22'!G73,'Expenditures 15-22'!I73)+'Expenditures 15-22'!K128-SUM('Expenditures 15-22'!G128,'Expenditures 15-22'!I128)+'Expenditures 15-22'!K183-SUM('Expenditures 15-22'!G183,'Expenditures 15-22'!I183)+'Expenditures 15-22'!D278</f>
        <v>4000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4"/>
      <c r="E40" s="1828">
        <f>-'Contracts Paid in CY 29'!G141</f>
        <v>-37871</v>
      </c>
      <c r="F40" s="1824"/>
      <c r="G40" s="1828">
        <f>-'Contracts Paid in CY 29'!G141</f>
        <v>-37871</v>
      </c>
    </row>
    <row r="41" spans="1:7" ht="12" customHeight="1" x14ac:dyDescent="0.2">
      <c r="A41" s="999" t="s">
        <v>158</v>
      </c>
      <c r="B41" s="1000"/>
      <c r="C41" s="1001"/>
      <c r="D41" s="1828">
        <f>SUM(D19:D39)</f>
        <v>76126</v>
      </c>
      <c r="E41" s="1828">
        <f>SUM(E19:E40)</f>
        <v>6149017</v>
      </c>
      <c r="F41" s="1828">
        <f>SUM(F19:F39)</f>
        <v>79031</v>
      </c>
      <c r="G41" s="1828">
        <f>SUM(G19:G40)</f>
        <v>6146112</v>
      </c>
    </row>
    <row r="42" spans="1:7" x14ac:dyDescent="0.2">
      <c r="A42" s="988"/>
      <c r="B42" s="162"/>
      <c r="C42" s="1002"/>
      <c r="D42" s="2407" t="s">
        <v>543</v>
      </c>
      <c r="E42" s="2408"/>
      <c r="F42" s="1003" t="s">
        <v>544</v>
      </c>
      <c r="G42" s="1004"/>
    </row>
    <row r="43" spans="1:7" ht="12" customHeight="1" x14ac:dyDescent="0.2">
      <c r="A43" s="988"/>
      <c r="B43" s="162"/>
      <c r="C43" s="1002"/>
      <c r="D43" s="1829" t="s">
        <v>493</v>
      </c>
      <c r="E43" s="1830">
        <f>D41</f>
        <v>76126</v>
      </c>
      <c r="F43" s="1829" t="s">
        <v>495</v>
      </c>
      <c r="G43" s="1830">
        <f>F41</f>
        <v>79031</v>
      </c>
    </row>
    <row r="44" spans="1:7" ht="12" customHeight="1" x14ac:dyDescent="0.2">
      <c r="A44" s="988"/>
      <c r="B44" s="162"/>
      <c r="C44" s="1002"/>
      <c r="D44" s="1829" t="s">
        <v>494</v>
      </c>
      <c r="E44" s="1830">
        <f>E41</f>
        <v>6149017</v>
      </c>
      <c r="F44" s="1829" t="s">
        <v>494</v>
      </c>
      <c r="G44" s="1830">
        <f>G41</f>
        <v>6146112</v>
      </c>
    </row>
    <row r="45" spans="1:7" ht="12" customHeight="1" x14ac:dyDescent="0.2">
      <c r="A45" s="988"/>
      <c r="B45" s="162"/>
      <c r="C45" s="162"/>
      <c r="D45" s="1831" t="s">
        <v>1063</v>
      </c>
      <c r="E45" s="1832">
        <f>(E43/E44)</f>
        <v>1.2380190199506685E-2</v>
      </c>
      <c r="F45" s="1831" t="s">
        <v>1063</v>
      </c>
      <c r="G45" s="1832">
        <f>(G43/G44)</f>
        <v>1.285869831203857E-2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workbookViewId="0">
      <selection sqref="A1:F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415" t="s">
        <v>1446</v>
      </c>
      <c r="B1" s="2415"/>
      <c r="C1" s="2415"/>
      <c r="D1" s="2415"/>
      <c r="E1" s="2415"/>
      <c r="F1" s="2415"/>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416" t="s">
        <v>1627</v>
      </c>
      <c r="B5" s="2417"/>
      <c r="C5" s="2418"/>
      <c r="D5" s="2418"/>
      <c r="E5" s="2418"/>
      <c r="F5" s="2418"/>
    </row>
    <row r="6" spans="1:10" ht="12" customHeight="1" x14ac:dyDescent="0.25">
      <c r="A6" s="1874"/>
      <c r="B6" s="1875"/>
      <c r="C6" s="2419" t="str">
        <f>COVER!A17</f>
        <v>Ogle County Educational Cooperative</v>
      </c>
      <c r="D6" s="2419"/>
      <c r="E6" s="2419"/>
      <c r="F6" s="1876"/>
    </row>
    <row r="7" spans="1:10" ht="11.25" customHeight="1" thickBot="1" x14ac:dyDescent="0.3">
      <c r="A7" s="1874"/>
      <c r="B7" s="1875"/>
      <c r="C7" s="2420">
        <f>COVER!A13</f>
        <v>47071801060</v>
      </c>
      <c r="D7" s="2420"/>
      <c r="E7" s="2420"/>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2074</v>
      </c>
      <c r="D26" s="1889" t="s">
        <v>2074</v>
      </c>
      <c r="E26" s="1892"/>
      <c r="F26" s="1891" t="s">
        <v>2117</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5</v>
      </c>
      <c r="I34" s="1902">
        <f>SUM(I11:I32)</f>
        <v>5</v>
      </c>
      <c r="J34" s="1902">
        <f>SUM(J11:J32)</f>
        <v>0</v>
      </c>
      <c r="K34" s="1902">
        <f>SUM(H34:J34)</f>
        <v>10</v>
      </c>
    </row>
    <row r="35" spans="1:11" ht="12" customHeight="1" x14ac:dyDescent="0.2">
      <c r="A35" s="1895" t="s">
        <v>1459</v>
      </c>
      <c r="B35" s="1896"/>
      <c r="C35" s="2421"/>
      <c r="D35" s="2421"/>
      <c r="E35" s="2421"/>
      <c r="F35" s="2422"/>
    </row>
    <row r="36" spans="1:11" ht="12" customHeight="1" x14ac:dyDescent="0.2">
      <c r="A36" s="2412"/>
      <c r="B36" s="2413"/>
      <c r="C36" s="2413"/>
      <c r="D36" s="2413"/>
      <c r="E36" s="2413"/>
      <c r="F36" s="2414"/>
    </row>
    <row r="37" spans="1:11" ht="12" customHeight="1" x14ac:dyDescent="0.2">
      <c r="A37" s="2412"/>
      <c r="B37" s="2413"/>
      <c r="C37" s="2413"/>
      <c r="D37" s="2413"/>
      <c r="E37" s="2413"/>
      <c r="F37" s="2414"/>
    </row>
    <row r="38" spans="1:11" ht="12" customHeight="1" x14ac:dyDescent="0.2">
      <c r="A38" s="2426"/>
      <c r="B38" s="2427"/>
      <c r="C38" s="2427"/>
      <c r="D38" s="2427"/>
      <c r="E38" s="2427"/>
      <c r="F38" s="2428"/>
    </row>
    <row r="39" spans="1:11" ht="4.5" hidden="1" customHeight="1" x14ac:dyDescent="0.2">
      <c r="A39" s="1897"/>
      <c r="B39" s="1897"/>
      <c r="C39" s="1897"/>
      <c r="D39" s="1897"/>
      <c r="E39" s="1897"/>
      <c r="F39" s="1897"/>
    </row>
    <row r="40" spans="1:11" s="1894" customFormat="1" ht="12" customHeight="1" x14ac:dyDescent="0.25">
      <c r="A40" s="1898" t="s">
        <v>1458</v>
      </c>
      <c r="B40" s="1899"/>
      <c r="C40" s="2429"/>
      <c r="D40" s="2429"/>
      <c r="E40" s="2429"/>
      <c r="F40" s="2430"/>
      <c r="H40" s="1903"/>
      <c r="I40" s="1903"/>
      <c r="J40" s="1903"/>
      <c r="K40" s="1903"/>
    </row>
    <row r="41" spans="1:11" s="1894" customFormat="1" ht="12" customHeight="1" x14ac:dyDescent="0.25">
      <c r="A41" s="2431" t="s">
        <v>2118</v>
      </c>
      <c r="B41" s="2432"/>
      <c r="C41" s="2432"/>
      <c r="D41" s="2432"/>
      <c r="E41" s="2432"/>
      <c r="F41" s="2433"/>
      <c r="H41" s="1903"/>
      <c r="I41" s="1903"/>
      <c r="J41" s="1903"/>
      <c r="K41" s="1903"/>
    </row>
    <row r="42" spans="1:11" s="1894" customFormat="1" ht="12" customHeight="1" x14ac:dyDescent="0.25">
      <c r="A42" s="2431" t="s">
        <v>2119</v>
      </c>
      <c r="B42" s="2432"/>
      <c r="C42" s="2432"/>
      <c r="D42" s="2432"/>
      <c r="E42" s="2432"/>
      <c r="F42" s="2433"/>
      <c r="H42" s="1903"/>
      <c r="I42" s="1903"/>
      <c r="J42" s="1903"/>
      <c r="K42" s="1903"/>
    </row>
    <row r="43" spans="1:11" s="1894" customFormat="1" ht="15" x14ac:dyDescent="0.25">
      <c r="A43" s="2423"/>
      <c r="B43" s="2424"/>
      <c r="C43" s="2424"/>
      <c r="D43" s="2424"/>
      <c r="E43" s="2424"/>
      <c r="F43" s="2425"/>
      <c r="H43" s="1903"/>
      <c r="I43" s="1903"/>
      <c r="J43" s="1903"/>
      <c r="K43" s="1903"/>
    </row>
    <row r="44" spans="1:11" s="1894" customFormat="1" ht="12" hidden="1" customHeight="1" x14ac:dyDescent="0.25">
      <c r="A44" s="2423"/>
      <c r="B44" s="2424"/>
      <c r="C44" s="2424"/>
      <c r="D44" s="2424"/>
      <c r="E44" s="2424"/>
      <c r="F44" s="2425"/>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workbookViewId="0">
      <selection activeCell="A17" sqref="A17:K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439" t="str">
        <f>COVER!A17</f>
        <v>Ogle County Educational Cooperative</v>
      </c>
      <c r="J6" s="2440"/>
      <c r="Q6" s="1685"/>
    </row>
    <row r="7" spans="1:17" x14ac:dyDescent="0.2">
      <c r="A7" s="2441" t="s">
        <v>924</v>
      </c>
      <c r="B7" s="2442"/>
      <c r="C7" s="2442"/>
      <c r="D7" s="2442"/>
      <c r="E7" s="2443"/>
      <c r="F7" s="1018"/>
      <c r="G7" s="1010"/>
      <c r="H7" s="1017" t="s">
        <v>390</v>
      </c>
      <c r="I7" s="2444">
        <f>COVER!A13</f>
        <v>47071801060</v>
      </c>
      <c r="J7" s="2444"/>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445" t="s">
        <v>502</v>
      </c>
      <c r="B11" s="2446"/>
      <c r="C11" s="24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632537</v>
      </c>
      <c r="F12" s="1040"/>
      <c r="G12" s="1833">
        <f t="shared" ref="G12:G18" si="0">SUM(E12:F12)</f>
        <v>632537</v>
      </c>
      <c r="H12" s="1041">
        <v>578984</v>
      </c>
      <c r="I12" s="1040"/>
      <c r="J12" s="1833">
        <f t="shared" ref="J12:J18" si="1">SUM(H12:I12)</f>
        <v>578984</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18767</v>
      </c>
      <c r="F16" s="1040"/>
      <c r="G16" s="1833">
        <f t="shared" si="0"/>
        <v>18767</v>
      </c>
      <c r="H16" s="1041">
        <v>20511</v>
      </c>
      <c r="I16" s="1040"/>
      <c r="J16" s="1833">
        <f t="shared" si="1"/>
        <v>20511</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448" t="s">
        <v>7</v>
      </c>
      <c r="C18" s="2449"/>
      <c r="D18" s="2450"/>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651304</v>
      </c>
      <c r="F19" s="1835">
        <f t="shared" si="2"/>
        <v>0</v>
      </c>
      <c r="G19" s="1835">
        <f t="shared" si="2"/>
        <v>651304</v>
      </c>
      <c r="H19" s="1835">
        <f t="shared" si="2"/>
        <v>599495</v>
      </c>
      <c r="I19" s="1835">
        <f t="shared" si="2"/>
        <v>0</v>
      </c>
      <c r="J19" s="1835">
        <f t="shared" si="2"/>
        <v>599495</v>
      </c>
    </row>
    <row r="20" spans="1:10" ht="13.5" thickTop="1" x14ac:dyDescent="0.2">
      <c r="A20" s="1036">
        <v>9</v>
      </c>
      <c r="B20" s="2451" t="s">
        <v>1703</v>
      </c>
      <c r="C20" s="2451"/>
      <c r="D20" s="2452"/>
      <c r="E20" s="1047"/>
      <c r="F20" s="1047"/>
      <c r="G20" s="1047"/>
      <c r="H20" s="1047"/>
      <c r="I20" s="1047"/>
      <c r="J20" s="1836">
        <f>IF(AND(G19&gt;0,J19&gt;0),(((J19-G19)/G19)),"Enter Budget Data")</f>
        <v>-7.9546571186419862E-2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457"/>
      <c r="D26" s="2457"/>
      <c r="E26" s="1051"/>
      <c r="F26" s="2456"/>
      <c r="G26" s="2456"/>
    </row>
    <row r="27" spans="1:10" x14ac:dyDescent="0.2">
      <c r="B27" s="1048"/>
      <c r="C27" s="1052" t="s">
        <v>1093</v>
      </c>
      <c r="D27" s="1053"/>
      <c r="E27" s="1054"/>
      <c r="F27" s="2453" t="s">
        <v>1589</v>
      </c>
      <c r="G27" s="2453"/>
    </row>
    <row r="28" spans="1:10" ht="28.5" customHeight="1" x14ac:dyDescent="0.2">
      <c r="B28" s="1048"/>
      <c r="C28" s="2455"/>
      <c r="D28" s="2455"/>
      <c r="E28" s="1055"/>
      <c r="F28" s="2455"/>
      <c r="G28" s="2455"/>
    </row>
    <row r="29" spans="1:10" x14ac:dyDescent="0.2">
      <c r="B29" s="1048"/>
      <c r="C29" s="1056" t="s">
        <v>1642</v>
      </c>
      <c r="E29" s="1057"/>
      <c r="F29" s="2454" t="s">
        <v>1590</v>
      </c>
      <c r="G29" s="24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436" t="s">
        <v>134</v>
      </c>
      <c r="D33" s="2437"/>
      <c r="E33" s="2437"/>
      <c r="F33" s="2437"/>
      <c r="G33" s="2437"/>
      <c r="H33" s="2437"/>
      <c r="I33" s="2437"/>
    </row>
    <row r="34" spans="1:10" ht="10.35" customHeight="1" x14ac:dyDescent="0.2">
      <c r="C34" s="2437"/>
      <c r="D34" s="2437"/>
      <c r="E34" s="2437"/>
      <c r="F34" s="2437"/>
      <c r="G34" s="2437"/>
      <c r="H34" s="2437"/>
      <c r="I34" s="2437"/>
    </row>
    <row r="35" spans="1:10" ht="7.5" customHeight="1" x14ac:dyDescent="0.2">
      <c r="C35" s="1063"/>
    </row>
    <row r="36" spans="1:10" ht="13.5" customHeight="1" x14ac:dyDescent="0.2">
      <c r="B36" s="1062"/>
      <c r="C36" s="2438" t="s">
        <v>1941</v>
      </c>
      <c r="D36" s="2437"/>
      <c r="E36" s="2437"/>
      <c r="F36" s="2437"/>
      <c r="G36" s="2437"/>
      <c r="H36" s="2437"/>
      <c r="I36" s="2437"/>
      <c r="J36" s="1064"/>
    </row>
    <row r="37" spans="1:10" ht="22.5" customHeight="1" x14ac:dyDescent="0.2">
      <c r="C37" s="2437"/>
      <c r="D37" s="2437"/>
      <c r="E37" s="2437"/>
      <c r="F37" s="2437"/>
      <c r="G37" s="2437"/>
      <c r="H37" s="2437"/>
      <c r="I37" s="2437"/>
      <c r="J37" s="1064"/>
    </row>
    <row r="38" spans="1:10" ht="7.5" customHeight="1" x14ac:dyDescent="0.2">
      <c r="C38" s="1063"/>
      <c r="D38" s="1065"/>
      <c r="E38" s="1066"/>
      <c r="F38" s="1067"/>
      <c r="G38" s="1066"/>
    </row>
    <row r="39" spans="1:10" ht="13.5" customHeight="1" x14ac:dyDescent="0.2">
      <c r="B39" s="1062"/>
      <c r="C39" s="2434" t="s">
        <v>937</v>
      </c>
      <c r="D39" s="2435"/>
      <c r="E39" s="2435"/>
      <c r="F39" s="2435"/>
      <c r="G39" s="2435"/>
      <c r="H39" s="2435"/>
      <c r="I39" s="24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workbookViewId="0">
      <selection activeCell="A17" sqref="A17:K17"/>
    </sheetView>
  </sheetViews>
  <sheetFormatPr defaultRowHeight="12.75" x14ac:dyDescent="0.2"/>
  <cols>
    <col min="1" max="1" width="3" style="329" customWidth="1"/>
    <col min="2" max="5" width="13.7109375" style="329" customWidth="1"/>
    <col min="6" max="6" width="33.28515625" style="329" customWidth="1"/>
    <col min="7" max="7" width="13.7109375" style="329" customWidth="1"/>
    <col min="8" max="10" width="15.7109375" style="329" customWidth="1"/>
    <col min="11" max="16384" width="9.140625" style="329"/>
  </cols>
  <sheetData>
    <row r="2" spans="1:7" x14ac:dyDescent="0.2">
      <c r="A2" s="389" t="s">
        <v>276</v>
      </c>
    </row>
    <row r="3" spans="1:7" x14ac:dyDescent="0.2">
      <c r="A3" s="329" t="s">
        <v>277</v>
      </c>
    </row>
    <row r="5" spans="1:7" x14ac:dyDescent="0.2">
      <c r="A5" s="1069"/>
    </row>
    <row r="6" spans="1:7" x14ac:dyDescent="0.2">
      <c r="A6" s="1069"/>
      <c r="B6" s="1954" t="s">
        <v>2091</v>
      </c>
      <c r="C6" s="1954" t="s">
        <v>2092</v>
      </c>
      <c r="D6" s="1954" t="s">
        <v>1137</v>
      </c>
      <c r="E6" s="1954" t="s">
        <v>396</v>
      </c>
      <c r="F6" s="1954" t="s">
        <v>502</v>
      </c>
      <c r="G6" s="1957" t="s">
        <v>920</v>
      </c>
    </row>
    <row r="7" spans="1:7" x14ac:dyDescent="0.2">
      <c r="A7" s="1069"/>
      <c r="B7" s="1955">
        <v>11</v>
      </c>
      <c r="C7" s="1955">
        <v>107</v>
      </c>
      <c r="D7" s="1955" t="s">
        <v>479</v>
      </c>
      <c r="E7" s="1955">
        <v>1999</v>
      </c>
      <c r="F7" s="391" t="s">
        <v>2093</v>
      </c>
      <c r="G7" s="1956">
        <v>27677</v>
      </c>
    </row>
    <row r="8" spans="1:7" x14ac:dyDescent="0.2">
      <c r="A8" s="1069"/>
      <c r="B8" s="1955">
        <v>14</v>
      </c>
      <c r="C8" s="1955">
        <v>272</v>
      </c>
      <c r="D8" s="1955" t="s">
        <v>479</v>
      </c>
      <c r="E8" s="1955">
        <v>4999</v>
      </c>
      <c r="F8" s="391" t="s">
        <v>2094</v>
      </c>
      <c r="G8" s="1956">
        <v>44242</v>
      </c>
    </row>
    <row r="9" spans="1:7" x14ac:dyDescent="0.2">
      <c r="A9" s="1070"/>
      <c r="B9" s="1955">
        <v>16</v>
      </c>
      <c r="C9" s="1955">
        <v>73</v>
      </c>
      <c r="D9" s="1955" t="s">
        <v>479</v>
      </c>
      <c r="E9" s="1955">
        <v>2900</v>
      </c>
      <c r="F9" s="391" t="s">
        <v>2095</v>
      </c>
      <c r="G9" s="1956">
        <v>4000</v>
      </c>
    </row>
    <row r="10" spans="1:7" x14ac:dyDescent="0.2">
      <c r="A10" s="1070"/>
    </row>
    <row r="11" spans="1:7" x14ac:dyDescent="0.2">
      <c r="A11" s="1070"/>
    </row>
    <row r="12" spans="1:7" x14ac:dyDescent="0.2">
      <c r="A12" s="1070"/>
    </row>
    <row r="13" spans="1:7" x14ac:dyDescent="0.2">
      <c r="A13" s="1070"/>
    </row>
    <row r="14" spans="1:7" x14ac:dyDescent="0.2">
      <c r="A14" s="1070"/>
    </row>
    <row r="15" spans="1:7" x14ac:dyDescent="0.2">
      <c r="A15" s="1070"/>
    </row>
    <row r="16" spans="1:7"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3" x14ac:dyDescent="0.2">
      <c r="A49" s="1070"/>
    </row>
    <row r="50" spans="1:3" x14ac:dyDescent="0.2">
      <c r="A50" s="1070"/>
    </row>
    <row r="51" spans="1:3" x14ac:dyDescent="0.2">
      <c r="A51" s="1070"/>
    </row>
    <row r="52" spans="1:3" x14ac:dyDescent="0.2">
      <c r="A52" s="1070"/>
    </row>
    <row r="53" spans="1:3" x14ac:dyDescent="0.2">
      <c r="A53" s="1070"/>
    </row>
    <row r="54" spans="1:3" x14ac:dyDescent="0.2">
      <c r="A54" s="1070"/>
    </row>
    <row r="55" spans="1:3" x14ac:dyDescent="0.2">
      <c r="A55" s="1070"/>
    </row>
    <row r="56" spans="1:3" x14ac:dyDescent="0.2">
      <c r="A56" s="1070"/>
    </row>
    <row r="57" spans="1:3" x14ac:dyDescent="0.2">
      <c r="A57" s="1070"/>
    </row>
    <row r="58" spans="1:3" x14ac:dyDescent="0.2">
      <c r="A58" s="1070"/>
    </row>
    <row r="59" spans="1:3" x14ac:dyDescent="0.2">
      <c r="A59" s="1070"/>
    </row>
    <row r="60" spans="1:3" x14ac:dyDescent="0.2">
      <c r="A60" s="1070"/>
    </row>
    <row r="61" spans="1:3" x14ac:dyDescent="0.2">
      <c r="A61" s="1070"/>
    </row>
    <row r="62" spans="1:3" x14ac:dyDescent="0.2">
      <c r="A62" s="1070"/>
    </row>
    <row r="63" spans="1:3" x14ac:dyDescent="0.2">
      <c r="A63" s="1070"/>
      <c r="B63" s="258" t="str">
        <f>COVER!A17</f>
        <v>Ogle County Educational Cooperative</v>
      </c>
      <c r="C63" s="258"/>
    </row>
    <row r="64" spans="1:3" x14ac:dyDescent="0.2">
      <c r="B64" s="1071">
        <f>COVER!A13</f>
        <v>47071801060</v>
      </c>
      <c r="C64" s="1071"/>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workbookViewId="0">
      <selection activeCell="A17" sqref="A17:K1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8" t="s">
        <v>1709</v>
      </c>
    </row>
    <row r="23" spans="1:5" x14ac:dyDescent="0.2">
      <c r="A23" s="168"/>
      <c r="B23" s="162" t="s">
        <v>1966</v>
      </c>
      <c r="D23" s="167" t="s">
        <v>658</v>
      </c>
      <c r="E23" s="185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75" t="s">
        <v>1125</v>
      </c>
      <c r="B35" s="2175"/>
      <c r="C35" s="2175"/>
      <c r="D35" s="2175"/>
      <c r="E35" s="21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72" t="s">
        <v>715</v>
      </c>
      <c r="B40" s="2172"/>
      <c r="C40" s="2172"/>
      <c r="D40" s="2172"/>
      <c r="E40" s="2172"/>
    </row>
    <row r="41" spans="1:5" x14ac:dyDescent="0.2">
      <c r="A41" s="2173" t="s">
        <v>1706</v>
      </c>
      <c r="B41" s="2173"/>
      <c r="C41" s="2173"/>
      <c r="D41" s="2173"/>
      <c r="E41" s="2173"/>
    </row>
    <row r="42" spans="1:5" ht="12.75" customHeight="1" x14ac:dyDescent="0.2">
      <c r="A42" s="2174" t="s">
        <v>1080</v>
      </c>
      <c r="B42" s="2174"/>
      <c r="C42" s="2174"/>
      <c r="D42" s="2174"/>
      <c r="E42" s="217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workbookViewId="0">
      <selection activeCell="A17" sqref="A17:K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workbookViewId="0">
      <selection activeCell="A17" sqref="A17:K1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458" t="s">
        <v>1784</v>
      </c>
      <c r="B18" s="24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8913" r:id="rId4">
          <objectPr defaultSize="0" r:id="rId5">
            <anchor moveWithCells="1">
              <from>
                <xdr:col>1</xdr:col>
                <xdr:colOff>0</xdr:colOff>
                <xdr:row>4</xdr:row>
                <xdr:rowOff>0</xdr:rowOff>
              </from>
              <to>
                <xdr:col>1</xdr:col>
                <xdr:colOff>914400</xdr:colOff>
                <xdr:row>8</xdr:row>
                <xdr:rowOff>123825</xdr:rowOff>
              </to>
            </anchor>
          </objectPr>
        </oleObject>
      </mc:Choice>
      <mc:Fallback>
        <oleObject progId="PDF" dvAspect="DVASPECT_ICON" shapeId="3891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workbookViewId="0">
      <selection activeCell="A17" sqref="A17:K1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59" t="s">
        <v>1790</v>
      </c>
      <c r="B1" s="2460"/>
      <c r="C1" s="2460"/>
      <c r="D1" s="2460"/>
      <c r="E1" s="2460"/>
      <c r="F1" s="2461"/>
    </row>
    <row r="2" spans="1:8" ht="45" customHeight="1" x14ac:dyDescent="0.2">
      <c r="A2" s="2469" t="s">
        <v>1791</v>
      </c>
      <c r="B2" s="2470"/>
      <c r="C2" s="2470"/>
      <c r="D2" s="2470"/>
      <c r="E2" s="2470"/>
      <c r="F2" s="2471"/>
      <c r="G2" s="1075"/>
      <c r="H2" s="1075"/>
    </row>
    <row r="3" spans="1:8" ht="57" customHeight="1" x14ac:dyDescent="0.2">
      <c r="A3" s="2472" t="s">
        <v>1786</v>
      </c>
      <c r="B3" s="2473"/>
      <c r="C3" s="2473"/>
      <c r="D3" s="2473"/>
      <c r="E3" s="2473"/>
      <c r="F3" s="2474"/>
      <c r="G3" s="1075"/>
      <c r="H3" s="1075"/>
    </row>
    <row r="4" spans="1:8" ht="14.25" customHeight="1" x14ac:dyDescent="0.2">
      <c r="A4" s="2478" t="s">
        <v>2053</v>
      </c>
      <c r="B4" s="2479"/>
      <c r="C4" s="2479"/>
      <c r="D4" s="2479"/>
      <c r="E4" s="2479"/>
      <c r="F4" s="2480"/>
      <c r="G4" s="1075"/>
      <c r="H4" s="1075"/>
    </row>
    <row r="5" spans="1:8" ht="14.25" customHeight="1" x14ac:dyDescent="0.2">
      <c r="A5" s="2481" t="s">
        <v>2054</v>
      </c>
      <c r="B5" s="2482"/>
      <c r="C5" s="2482"/>
      <c r="D5" s="2482"/>
      <c r="E5" s="2482"/>
      <c r="F5" s="2483"/>
      <c r="G5" s="1075"/>
      <c r="H5" s="1075"/>
    </row>
    <row r="6" spans="1:8" s="1076" customFormat="1" ht="41.25" customHeight="1" x14ac:dyDescent="0.2">
      <c r="A6" s="2475" t="s">
        <v>1792</v>
      </c>
      <c r="B6" s="2476"/>
      <c r="C6" s="2476"/>
      <c r="D6" s="2476"/>
      <c r="E6" s="2476"/>
      <c r="F6" s="24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6796489</v>
      </c>
      <c r="C8" s="1837">
        <f>'Acct Summary 7-8'!D8</f>
        <v>271180</v>
      </c>
      <c r="D8" s="1837">
        <f>'Acct Summary 7-8'!F8</f>
        <v>12067</v>
      </c>
      <c r="E8" s="1837">
        <f>'Acct Summary 7-8'!I8</f>
        <v>0</v>
      </c>
      <c r="F8" s="1837">
        <f>SUM(B8:E8)</f>
        <v>7079736</v>
      </c>
    </row>
    <row r="9" spans="1:8" s="1080" customFormat="1" ht="14.25" customHeight="1" thickBot="1" x14ac:dyDescent="0.25">
      <c r="A9" s="1079" t="s">
        <v>1436</v>
      </c>
      <c r="B9" s="1838">
        <f>'Acct Summary 7-8'!C17</f>
        <v>6724924</v>
      </c>
      <c r="C9" s="1838">
        <f>'Acct Summary 7-8'!D17</f>
        <v>269536</v>
      </c>
      <c r="D9" s="1838">
        <f>'Acct Summary 7-8'!F17</f>
        <v>12309</v>
      </c>
      <c r="E9" s="1837"/>
      <c r="F9" s="1837">
        <f>SUM(B9:E9)</f>
        <v>7006769</v>
      </c>
    </row>
    <row r="10" spans="1:8" s="1080" customFormat="1" ht="14.25" thickTop="1" thickBot="1" x14ac:dyDescent="0.25">
      <c r="A10" s="1081" t="s">
        <v>1437</v>
      </c>
      <c r="B10" s="1839">
        <f>(B8-B9)</f>
        <v>71565</v>
      </c>
      <c r="C10" s="1839">
        <f>(C8-C9)</f>
        <v>1644</v>
      </c>
      <c r="D10" s="1839">
        <f>(D8-D9)</f>
        <v>-242</v>
      </c>
      <c r="E10" s="1838">
        <f>(E8-E9)</f>
        <v>0</v>
      </c>
      <c r="F10" s="1840">
        <f>SUM(F8-F9)</f>
        <v>72967</v>
      </c>
    </row>
    <row r="11" spans="1:8" s="1080" customFormat="1" ht="14.25" thickTop="1" thickBot="1" x14ac:dyDescent="0.25">
      <c r="A11" s="1082" t="s">
        <v>1785</v>
      </c>
      <c r="B11" s="1841">
        <f>'Acct Summary 7-8'!C81</f>
        <v>641409</v>
      </c>
      <c r="C11" s="1841">
        <f>'Acct Summary 7-8'!D81</f>
        <v>374518</v>
      </c>
      <c r="D11" s="1841">
        <f>'Acct Summary 7-8'!F81</f>
        <v>25751</v>
      </c>
      <c r="E11" s="1841">
        <f>'Acct Summary 7-8'!I81</f>
        <v>0</v>
      </c>
      <c r="F11" s="1842">
        <f>SUM(B11:E11)</f>
        <v>1041678</v>
      </c>
    </row>
    <row r="12" spans="1:8" ht="16.5" customHeight="1" thickTop="1" x14ac:dyDescent="0.2">
      <c r="A12" s="1083"/>
      <c r="B12" s="1084"/>
      <c r="C12" s="2463" t="str">
        <f>IF(AND(F10&lt;0,F11&gt;=0,ABS(F10*3)&gt;ABS(F11)),A16,IF(AND(F10&lt;0,F11&gt;0,ABS(F10*3)&lt;=ABS(F11)),A17,IF(AND(F10&lt;0,F11&lt;0),A16,IF(F11=0,A19,A18))))</f>
        <v>Balanced - no deficit reduction plan is required.</v>
      </c>
      <c r="D12" s="2464"/>
      <c r="E12" s="2464"/>
      <c r="F12" s="2465"/>
    </row>
    <row r="13" spans="1:8" ht="19.5" customHeight="1" x14ac:dyDescent="0.2">
      <c r="A13" s="1085"/>
      <c r="B13" s="1086"/>
      <c r="C13" s="2463"/>
      <c r="D13" s="2464"/>
      <c r="E13" s="2464"/>
      <c r="F13" s="2465"/>
      <c r="H13" s="1075"/>
    </row>
    <row r="14" spans="1:8" ht="19.5" customHeight="1" x14ac:dyDescent="0.2">
      <c r="A14" s="1085"/>
      <c r="B14" s="1086"/>
      <c r="C14" s="2463"/>
      <c r="D14" s="2464"/>
      <c r="E14" s="2464"/>
      <c r="F14" s="2465"/>
      <c r="H14" s="1075"/>
    </row>
    <row r="15" spans="1:8" ht="17.25" customHeight="1" x14ac:dyDescent="0.2">
      <c r="A15" s="1085"/>
      <c r="B15" s="1086"/>
      <c r="C15" s="2466"/>
      <c r="D15" s="2467"/>
      <c r="E15" s="2467"/>
      <c r="F15" s="2468"/>
      <c r="H15" s="1075"/>
    </row>
    <row r="16" spans="1:8" s="310" customFormat="1" ht="51.75" hidden="1" customHeight="1" x14ac:dyDescent="0.2">
      <c r="A16" s="2462" t="s">
        <v>1787</v>
      </c>
      <c r="B16" s="2462"/>
      <c r="C16" s="2462"/>
      <c r="D16" s="2462"/>
      <c r="E16" s="24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topLeftCell="A41" workbookViewId="0">
      <selection activeCell="A17" sqref="A17:K1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484" t="s">
        <v>686</v>
      </c>
      <c r="B3" s="2485"/>
      <c r="C3" s="2485"/>
      <c r="D3" s="2486"/>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95" t="s">
        <v>1584</v>
      </c>
      <c r="D7" s="2496"/>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87" t="s">
        <v>1065</v>
      </c>
      <c r="B15" s="2488"/>
      <c r="C15" s="2488"/>
      <c r="D15" s="2489"/>
    </row>
    <row r="16" spans="1:4" s="669" customFormat="1" ht="24" customHeight="1" x14ac:dyDescent="0.2">
      <c r="A16" s="2490" t="s">
        <v>684</v>
      </c>
      <c r="B16" s="2491"/>
      <c r="C16" s="2491"/>
      <c r="D16" s="24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99" t="s">
        <v>332</v>
      </c>
      <c r="D21" s="2500"/>
    </row>
    <row r="22" spans="1:10" ht="12.75" x14ac:dyDescent="0.2">
      <c r="A22" s="1140"/>
      <c r="B22" s="1141">
        <v>2</v>
      </c>
      <c r="C22" s="2497" t="s">
        <v>1605</v>
      </c>
      <c r="D22" s="2498"/>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501" t="s">
        <v>557</v>
      </c>
      <c r="D43" s="25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93" t="s">
        <v>817</v>
      </c>
      <c r="D56" s="24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93" t="s">
        <v>1797</v>
      </c>
      <c r="D70" s="24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47071801060</v>
      </c>
    </row>
    <row r="3" spans="1:2" x14ac:dyDescent="0.2">
      <c r="A3" t="s">
        <v>1013</v>
      </c>
      <c r="B3" s="138" t="str">
        <f>COVER!A15</f>
        <v>Ogle</v>
      </c>
    </row>
    <row r="4" spans="1:2" x14ac:dyDescent="0.2">
      <c r="A4" t="s">
        <v>1064</v>
      </c>
      <c r="B4" s="138" t="str">
        <f>COVER!A17</f>
        <v>Ogle County Educational Cooperative</v>
      </c>
    </row>
    <row r="5" spans="1:2" x14ac:dyDescent="0.2">
      <c r="A5" t="s">
        <v>728</v>
      </c>
      <c r="B5" s="138" t="str">
        <f>COVER!A38</f>
        <v>Matthew Zilm</v>
      </c>
    </row>
    <row r="6" spans="1:2" x14ac:dyDescent="0.2">
      <c r="A6" t="s">
        <v>733</v>
      </c>
      <c r="B6" s="138">
        <f>COVER!P35</f>
        <v>0</v>
      </c>
    </row>
    <row r="7" spans="1:2" x14ac:dyDescent="0.2">
      <c r="A7" t="s">
        <v>729</v>
      </c>
      <c r="B7" s="138">
        <f>COVER!I38</f>
        <v>0</v>
      </c>
    </row>
    <row r="8" spans="1:2" x14ac:dyDescent="0.2">
      <c r="A8" t="s">
        <v>730</v>
      </c>
      <c r="B8" s="138" t="str">
        <f>COVER!T38</f>
        <v>ROBERT SONDGEROTH</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 235-3157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1138900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686</v>
      </c>
      <c r="D86" s="2" t="str">
        <f t="shared" si="0"/>
        <v>Error?</v>
      </c>
    </row>
    <row r="87" spans="1:4" x14ac:dyDescent="0.2">
      <c r="A87" s="10">
        <v>26</v>
      </c>
      <c r="D87" s="2" t="str">
        <f t="shared" si="0"/>
        <v>OK</v>
      </c>
    </row>
    <row r="88" spans="1:4" x14ac:dyDescent="0.2">
      <c r="A88" s="5">
        <v>27</v>
      </c>
      <c r="B88" s="138">
        <f>'Assets-Liab 5-6'!C32</f>
        <v>78838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497491</v>
      </c>
      <c r="C91" s="2" t="s">
        <v>594</v>
      </c>
      <c r="D91" s="2" t="str">
        <f t="shared" si="0"/>
        <v>Error?</v>
      </c>
    </row>
    <row r="92" spans="1:4" x14ac:dyDescent="0.2">
      <c r="A92" s="5">
        <v>31</v>
      </c>
      <c r="B92" s="138">
        <f>'Assets-Liab 5-6'!C39</f>
        <v>641409</v>
      </c>
      <c r="D92" s="2" t="str">
        <f t="shared" si="0"/>
        <v>Error?</v>
      </c>
    </row>
    <row r="93" spans="1:4" x14ac:dyDescent="0.2">
      <c r="A93" s="5">
        <v>32</v>
      </c>
      <c r="B93" s="138">
        <f>'Assets-Liab 5-6'!C41</f>
        <v>1138900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374518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374518</v>
      </c>
      <c r="D123" s="2" t="str">
        <f t="shared" si="0"/>
        <v>Error?</v>
      </c>
    </row>
    <row r="124" spans="1:4" x14ac:dyDescent="0.2">
      <c r="A124" s="5">
        <v>63</v>
      </c>
      <c r="B124" s="138">
        <f>'Assets-Liab 5-6'!D41</f>
        <v>374518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25751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25751</v>
      </c>
      <c r="D170" s="2" t="str">
        <f t="shared" si="1"/>
        <v>Error?</v>
      </c>
    </row>
    <row r="171" spans="1:4" x14ac:dyDescent="0.2">
      <c r="A171" s="5">
        <v>110</v>
      </c>
      <c r="B171" s="138">
        <f>'Assets-Liab 5-6'!F41</f>
        <v>25751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61015</v>
      </c>
      <c r="D273" s="2" t="str">
        <f t="shared" si="3"/>
        <v>Error?</v>
      </c>
    </row>
    <row r="274" spans="1:4" x14ac:dyDescent="0.2">
      <c r="A274" s="5">
        <v>213</v>
      </c>
      <c r="B274" s="138">
        <f>'Assets-Liab 5-6'!M17</f>
        <v>1937591</v>
      </c>
      <c r="D274" s="2" t="str">
        <f t="shared" si="3"/>
        <v>Error?</v>
      </c>
    </row>
    <row r="275" spans="1:4" x14ac:dyDescent="0.2">
      <c r="A275" s="5">
        <v>214</v>
      </c>
      <c r="B275" s="138">
        <f>'Assets-Liab 5-6'!M18</f>
        <v>245020</v>
      </c>
      <c r="D275" s="2" t="str">
        <f t="shared" si="3"/>
        <v>Error?</v>
      </c>
    </row>
    <row r="276" spans="1:4" x14ac:dyDescent="0.2">
      <c r="A276" s="5">
        <v>215</v>
      </c>
      <c r="B276" s="138">
        <f>'Assets-Liab 5-6'!M19</f>
        <v>342978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2720606</v>
      </c>
      <c r="C279" s="2" t="s">
        <v>594</v>
      </c>
      <c r="D279" s="2" t="str">
        <f t="shared" si="3"/>
        <v>Error?</v>
      </c>
    </row>
    <row r="280" spans="1:4" x14ac:dyDescent="0.2">
      <c r="A280" s="5">
        <v>219</v>
      </c>
      <c r="B280" s="138">
        <f>'Assets-Liab 5-6'!M40</f>
        <v>2720606</v>
      </c>
      <c r="D280" s="2" t="str">
        <f t="shared" si="3"/>
        <v>Error?</v>
      </c>
    </row>
    <row r="281" spans="1:4" x14ac:dyDescent="0.2">
      <c r="A281" s="5">
        <v>220</v>
      </c>
      <c r="B281" s="138">
        <f>'Assets-Liab 5-6'!M41</f>
        <v>2720606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1530</v>
      </c>
      <c r="D283" s="2" t="str">
        <f t="shared" si="3"/>
        <v>Error?</v>
      </c>
    </row>
    <row r="284" spans="1:4" x14ac:dyDescent="0.2">
      <c r="A284" s="5">
        <v>223</v>
      </c>
      <c r="B284" s="138">
        <f>'Assets-Liab 5-6'!N23</f>
        <v>1530</v>
      </c>
      <c r="C284" s="2" t="s">
        <v>594</v>
      </c>
      <c r="D284" s="2" t="str">
        <f t="shared" si="3"/>
        <v>Error?</v>
      </c>
    </row>
    <row r="285" spans="1:4" x14ac:dyDescent="0.2">
      <c r="A285" s="5">
        <v>224</v>
      </c>
      <c r="B285" s="138">
        <f>'Assets-Liab 5-6'!N36</f>
        <v>1530</v>
      </c>
      <c r="D285" s="2" t="str">
        <f t="shared" si="3"/>
        <v>Error?</v>
      </c>
    </row>
    <row r="286" spans="1:4" x14ac:dyDescent="0.2">
      <c r="A286" s="10">
        <v>225</v>
      </c>
      <c r="D286" s="2" t="str">
        <f t="shared" si="3"/>
        <v>OK</v>
      </c>
    </row>
    <row r="287" spans="1:4" x14ac:dyDescent="0.2">
      <c r="A287" s="5">
        <v>226</v>
      </c>
      <c r="B287" s="138">
        <f>'Assets-Liab 5-6'!N37</f>
        <v>1530</v>
      </c>
      <c r="C287" s="2" t="s">
        <v>594</v>
      </c>
      <c r="D287" s="2" t="str">
        <f t="shared" si="3"/>
        <v>Error?</v>
      </c>
    </row>
    <row r="288" spans="1:4" x14ac:dyDescent="0.2">
      <c r="A288" s="5">
        <v>227</v>
      </c>
      <c r="B288" s="138">
        <f>'Assets-Liab 5-6'!N41</f>
        <v>1530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101055</v>
      </c>
      <c r="D717" s="2" t="str">
        <f t="shared" si="10"/>
        <v>Error?</v>
      </c>
    </row>
    <row r="718" spans="1:4" x14ac:dyDescent="0.2">
      <c r="A718" s="5">
        <v>657</v>
      </c>
      <c r="B718" s="138">
        <f>'Expenditures 15-22'!C14</f>
        <v>0</v>
      </c>
      <c r="D718" s="2" t="str">
        <f t="shared" si="10"/>
        <v>Error?</v>
      </c>
    </row>
    <row r="719" spans="1:4" x14ac:dyDescent="0.2">
      <c r="A719" s="5">
        <v>658</v>
      </c>
      <c r="B719" s="138">
        <f>'Expenditures 15-22'!C15</f>
        <v>46012</v>
      </c>
      <c r="D719" s="2" t="str">
        <f t="shared" si="10"/>
        <v>Error?</v>
      </c>
    </row>
    <row r="720" spans="1:4" x14ac:dyDescent="0.2">
      <c r="A720" s="5">
        <v>659</v>
      </c>
      <c r="B720" s="138">
        <f>'Expenditures 15-22'!C33</f>
        <v>1427887</v>
      </c>
      <c r="C720" s="2" t="s">
        <v>594</v>
      </c>
      <c r="D720" s="2" t="str">
        <f t="shared" si="10"/>
        <v>Error?</v>
      </c>
    </row>
    <row r="721" spans="1:4" x14ac:dyDescent="0.2">
      <c r="A721" s="5">
        <v>660</v>
      </c>
      <c r="B721" s="138">
        <f>'Expenditures 15-22'!C36</f>
        <v>461622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340518</v>
      </c>
      <c r="D723" s="2" t="str">
        <f t="shared" si="10"/>
        <v>Error?</v>
      </c>
    </row>
    <row r="724" spans="1:4" x14ac:dyDescent="0.2">
      <c r="A724" s="5">
        <v>663</v>
      </c>
      <c r="B724" s="138">
        <f>'Expenditures 15-22'!C39</f>
        <v>513592</v>
      </c>
      <c r="D724" s="2" t="str">
        <f t="shared" si="10"/>
        <v>Error?</v>
      </c>
    </row>
    <row r="725" spans="1:4" x14ac:dyDescent="0.2">
      <c r="A725" s="5">
        <v>664</v>
      </c>
      <c r="B725" s="138">
        <f>'Expenditures 15-22'!C40</f>
        <v>288138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1603870</v>
      </c>
      <c r="C727" s="2" t="s">
        <v>594</v>
      </c>
      <c r="D727" s="2" t="str">
        <f t="shared" si="10"/>
        <v>Error?</v>
      </c>
    </row>
    <row r="728" spans="1:4" x14ac:dyDescent="0.2">
      <c r="A728" s="5">
        <v>667</v>
      </c>
      <c r="B728" s="138">
        <f>'Expenditures 15-22'!C44</f>
        <v>38959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38959</v>
      </c>
      <c r="C731" s="2" t="s">
        <v>594</v>
      </c>
      <c r="D731" s="2" t="str">
        <f t="shared" si="10"/>
        <v>Error?</v>
      </c>
    </row>
    <row r="732" spans="1:4" x14ac:dyDescent="0.2">
      <c r="A732" s="5">
        <v>671</v>
      </c>
      <c r="B732" s="138">
        <f>'Expenditures 15-22'!C49</f>
        <v>2264</v>
      </c>
      <c r="D732" s="2" t="str">
        <f t="shared" si="10"/>
        <v>Error?</v>
      </c>
    </row>
    <row r="733" spans="1:4" x14ac:dyDescent="0.2">
      <c r="A733" s="5">
        <v>672</v>
      </c>
      <c r="B733" s="138">
        <f>'Expenditures 15-22'!C50</f>
        <v>480221</v>
      </c>
      <c r="D733" s="2" t="str">
        <f t="shared" si="10"/>
        <v>Error?</v>
      </c>
    </row>
    <row r="734" spans="1:4" x14ac:dyDescent="0.2">
      <c r="A734" s="5">
        <v>673</v>
      </c>
      <c r="B734" s="138">
        <f>'Expenditures 15-22'!C53</f>
        <v>482485</v>
      </c>
      <c r="C734" s="2" t="s">
        <v>594</v>
      </c>
      <c r="D734" s="2" t="str">
        <f t="shared" si="10"/>
        <v>Error?</v>
      </c>
    </row>
    <row r="735" spans="1:4" x14ac:dyDescent="0.2">
      <c r="A735" s="5">
        <v>674</v>
      </c>
      <c r="B735" s="138">
        <f>'Expenditures 15-22'!C55</f>
        <v>190310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190310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30753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13176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43929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24186</v>
      </c>
      <c r="D751" s="2" t="str">
        <f t="shared" si="10"/>
        <v>Error?</v>
      </c>
    </row>
    <row r="752" spans="1:4" x14ac:dyDescent="0.2">
      <c r="A752" s="10">
        <v>691</v>
      </c>
      <c r="D752" s="2" t="str">
        <f t="shared" si="10"/>
        <v>OK</v>
      </c>
    </row>
    <row r="753" spans="1:4" x14ac:dyDescent="0.2">
      <c r="A753" s="5">
        <v>692</v>
      </c>
      <c r="B753" s="138">
        <f>'Expenditures 15-22'!C72</f>
        <v>24186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2383739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3811626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41882</v>
      </c>
      <c r="D775" s="2" t="str">
        <f t="shared" si="11"/>
        <v>Error?</v>
      </c>
    </row>
    <row r="776" spans="1:4" x14ac:dyDescent="0.2">
      <c r="A776" s="5">
        <v>715</v>
      </c>
      <c r="B776" s="138">
        <f>'Expenditures 15-22'!D14</f>
        <v>0</v>
      </c>
      <c r="D776" s="2" t="str">
        <f t="shared" si="11"/>
        <v>Error?</v>
      </c>
    </row>
    <row r="777" spans="1:4" x14ac:dyDescent="0.2">
      <c r="A777" s="5">
        <v>716</v>
      </c>
      <c r="B777" s="138">
        <f>'Expenditures 15-22'!D15</f>
        <v>6671</v>
      </c>
      <c r="D777" s="2" t="str">
        <f t="shared" si="11"/>
        <v>Error?</v>
      </c>
    </row>
    <row r="778" spans="1:4" x14ac:dyDescent="0.2">
      <c r="A778" s="5">
        <v>717</v>
      </c>
      <c r="B778" s="138">
        <f>'Expenditures 15-22'!D33</f>
        <v>538164</v>
      </c>
      <c r="C778" s="2" t="s">
        <v>594</v>
      </c>
      <c r="D778" s="2" t="str">
        <f t="shared" si="11"/>
        <v>Error?</v>
      </c>
    </row>
    <row r="779" spans="1:4" x14ac:dyDescent="0.2">
      <c r="A779" s="5">
        <v>718</v>
      </c>
      <c r="B779" s="138">
        <f>'Expenditures 15-22'!D36</f>
        <v>129091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112127</v>
      </c>
      <c r="D781" s="2" t="str">
        <f t="shared" si="11"/>
        <v>Error?</v>
      </c>
    </row>
    <row r="782" spans="1:4" x14ac:dyDescent="0.2">
      <c r="A782" s="5">
        <v>721</v>
      </c>
      <c r="B782" s="138">
        <f>'Expenditures 15-22'!D39</f>
        <v>110233</v>
      </c>
      <c r="D782" s="2" t="str">
        <f t="shared" si="11"/>
        <v>Error?</v>
      </c>
    </row>
    <row r="783" spans="1:4" x14ac:dyDescent="0.2">
      <c r="A783" s="5">
        <v>722</v>
      </c>
      <c r="B783" s="138">
        <f>'Expenditures 15-22'!D40</f>
        <v>69303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420754</v>
      </c>
      <c r="C785" s="2" t="s">
        <v>594</v>
      </c>
      <c r="D785" s="2" t="str">
        <f t="shared" si="11"/>
        <v>Error?</v>
      </c>
    </row>
    <row r="786" spans="1:4" x14ac:dyDescent="0.2">
      <c r="A786" s="5">
        <v>725</v>
      </c>
      <c r="B786" s="138">
        <f>'Expenditures 15-22'!D44</f>
        <v>2785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2785</v>
      </c>
      <c r="C789" s="2" t="s">
        <v>594</v>
      </c>
      <c r="D789" s="2" t="str">
        <f t="shared" si="11"/>
        <v>Error?</v>
      </c>
    </row>
    <row r="790" spans="1:4" x14ac:dyDescent="0.2">
      <c r="A790" s="5">
        <v>729</v>
      </c>
      <c r="B790" s="138">
        <f>'Expenditures 15-22'!D49</f>
        <v>1693</v>
      </c>
      <c r="D790" s="2" t="str">
        <f t="shared" si="11"/>
        <v>Error?</v>
      </c>
    </row>
    <row r="791" spans="1:4" x14ac:dyDescent="0.2">
      <c r="A791" s="5">
        <v>730</v>
      </c>
      <c r="B791" s="138">
        <f>'Expenditures 15-22'!D50</f>
        <v>120562</v>
      </c>
      <c r="D791" s="2" t="str">
        <f t="shared" si="11"/>
        <v>Error?</v>
      </c>
    </row>
    <row r="792" spans="1:4" x14ac:dyDescent="0.2">
      <c r="A792" s="5">
        <v>731</v>
      </c>
      <c r="B792" s="138">
        <f>'Expenditures 15-22'!D53</f>
        <v>122255</v>
      </c>
      <c r="C792" s="2" t="s">
        <v>594</v>
      </c>
      <c r="D792" s="2" t="str">
        <f t="shared" si="11"/>
        <v>Error?</v>
      </c>
    </row>
    <row r="793" spans="1:4" x14ac:dyDescent="0.2">
      <c r="A793" s="5">
        <v>732</v>
      </c>
      <c r="B793" s="138">
        <f>'Expenditures 15-22'!D55</f>
        <v>50023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50023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12094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9169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21263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10021</v>
      </c>
      <c r="D809" s="2" t="str">
        <f t="shared" si="11"/>
        <v>Error?</v>
      </c>
    </row>
    <row r="810" spans="1:4" x14ac:dyDescent="0.2">
      <c r="A810" s="10">
        <v>749</v>
      </c>
      <c r="D810" s="2" t="str">
        <f t="shared" si="11"/>
        <v>OK</v>
      </c>
    </row>
    <row r="811" spans="1:4" x14ac:dyDescent="0.2">
      <c r="A811" s="5">
        <v>750</v>
      </c>
      <c r="B811" s="138">
        <f>'Expenditures 15-22'!D72</f>
        <v>10021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627101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1165265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6679</v>
      </c>
      <c r="D833" s="2" t="str">
        <f t="shared" si="12"/>
        <v>Error?</v>
      </c>
    </row>
    <row r="834" spans="1:4" x14ac:dyDescent="0.2">
      <c r="A834" s="5">
        <v>773</v>
      </c>
      <c r="B834" s="138">
        <f>'Expenditures 15-22'!E14</f>
        <v>0</v>
      </c>
      <c r="D834" s="2" t="str">
        <f t="shared" si="12"/>
        <v>Error?</v>
      </c>
    </row>
    <row r="835" spans="1:4" x14ac:dyDescent="0.2">
      <c r="A835" s="5">
        <v>774</v>
      </c>
      <c r="B835" s="138">
        <f>'Expenditures 15-22'!E15</f>
        <v>682</v>
      </c>
      <c r="D835" s="2" t="str">
        <f t="shared" si="12"/>
        <v>Error?</v>
      </c>
    </row>
    <row r="836" spans="1:4" x14ac:dyDescent="0.2">
      <c r="A836" s="5">
        <v>775</v>
      </c>
      <c r="B836" s="138">
        <f>'Expenditures 15-22'!E33</f>
        <v>36591</v>
      </c>
      <c r="C836" s="2" t="s">
        <v>594</v>
      </c>
      <c r="D836" s="2" t="str">
        <f t="shared" si="12"/>
        <v>Error?</v>
      </c>
    </row>
    <row r="837" spans="1:4" x14ac:dyDescent="0.2">
      <c r="A837" s="5">
        <v>776</v>
      </c>
      <c r="B837" s="138">
        <f>'Expenditures 15-22'!E36</f>
        <v>8333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117306</v>
      </c>
      <c r="D839" s="2" t="str">
        <f t="shared" si="12"/>
        <v>Error?</v>
      </c>
    </row>
    <row r="840" spans="1:4" x14ac:dyDescent="0.2">
      <c r="A840" s="5">
        <v>779</v>
      </c>
      <c r="B840" s="138">
        <f>'Expenditures 15-22'!E39</f>
        <v>65933</v>
      </c>
      <c r="D840" s="2" t="str">
        <f t="shared" si="12"/>
        <v>Error?</v>
      </c>
    </row>
    <row r="841" spans="1:4" x14ac:dyDescent="0.2">
      <c r="A841" s="5">
        <v>780</v>
      </c>
      <c r="B841" s="138">
        <f>'Expenditures 15-22'!E40</f>
        <v>34941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226513</v>
      </c>
      <c r="C843" s="2" t="s">
        <v>594</v>
      </c>
      <c r="D843" s="2" t="str">
        <f t="shared" si="12"/>
        <v>Error?</v>
      </c>
    </row>
    <row r="844" spans="1:4" x14ac:dyDescent="0.2">
      <c r="A844" s="5">
        <v>783</v>
      </c>
      <c r="B844" s="138">
        <f>'Expenditures 15-22'!E44</f>
        <v>53193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53193</v>
      </c>
      <c r="C847" s="2" t="s">
        <v>594</v>
      </c>
      <c r="D847" s="2" t="str">
        <f t="shared" si="12"/>
        <v>Error?</v>
      </c>
    </row>
    <row r="848" spans="1:4" x14ac:dyDescent="0.2">
      <c r="A848" s="5">
        <v>787</v>
      </c>
      <c r="B848" s="138">
        <f>'Expenditures 15-22'!E49</f>
        <v>54102</v>
      </c>
      <c r="D848" s="2" t="str">
        <f t="shared" si="12"/>
        <v>Error?</v>
      </c>
    </row>
    <row r="849" spans="1:4" x14ac:dyDescent="0.2">
      <c r="A849" s="5">
        <v>788</v>
      </c>
      <c r="B849" s="138">
        <f>'Expenditures 15-22'!E50</f>
        <v>20600</v>
      </c>
      <c r="D849" s="2" t="str">
        <f t="shared" si="12"/>
        <v>Error?</v>
      </c>
    </row>
    <row r="850" spans="1:4" x14ac:dyDescent="0.2">
      <c r="A850" s="5">
        <v>789</v>
      </c>
      <c r="B850" s="138">
        <f>'Expenditures 15-22'!E53</f>
        <v>74702</v>
      </c>
      <c r="C850" s="2" t="s">
        <v>594</v>
      </c>
      <c r="D850" s="2" t="str">
        <f t="shared" si="12"/>
        <v>Error?</v>
      </c>
    </row>
    <row r="851" spans="1:4" x14ac:dyDescent="0.2">
      <c r="A851" s="5">
        <v>790</v>
      </c>
      <c r="B851" s="138">
        <f>'Expenditures 15-22'!E55</f>
        <v>778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778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981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3346</v>
      </c>
      <c r="D858" s="2" t="str">
        <f t="shared" si="12"/>
        <v>Error?</v>
      </c>
    </row>
    <row r="859" spans="1:4" x14ac:dyDescent="0.2">
      <c r="A859" s="5">
        <v>798</v>
      </c>
      <c r="B859" s="138">
        <f>'Expenditures 15-22'!E64</f>
        <v>18213</v>
      </c>
      <c r="D859" s="2" t="str">
        <f t="shared" si="12"/>
        <v>Error?</v>
      </c>
    </row>
    <row r="860" spans="1:4" x14ac:dyDescent="0.2">
      <c r="A860" s="10">
        <v>799</v>
      </c>
      <c r="D860" s="2" t="str">
        <f t="shared" si="12"/>
        <v>OK</v>
      </c>
    </row>
    <row r="861" spans="1:4" x14ac:dyDescent="0.2">
      <c r="A861" s="5">
        <v>800</v>
      </c>
      <c r="B861" s="138">
        <f>'Expenditures 15-22'!E65</f>
        <v>22540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29006</v>
      </c>
      <c r="D864" s="2" t="str">
        <f t="shared" si="12"/>
        <v>Error?</v>
      </c>
    </row>
    <row r="865" spans="1:4" x14ac:dyDescent="0.2">
      <c r="A865" s="5">
        <v>804</v>
      </c>
      <c r="B865" s="138">
        <f>'Expenditures 15-22'!E70</f>
        <v>1655</v>
      </c>
      <c r="D865" s="2" t="str">
        <f t="shared" si="12"/>
        <v>Error?</v>
      </c>
    </row>
    <row r="866" spans="1:4" x14ac:dyDescent="0.2">
      <c r="A866" s="10">
        <v>805</v>
      </c>
      <c r="D866" s="2" t="str">
        <f t="shared" si="12"/>
        <v>OK</v>
      </c>
    </row>
    <row r="867" spans="1:4" x14ac:dyDescent="0.2">
      <c r="A867" s="5">
        <v>806</v>
      </c>
      <c r="B867" s="138">
        <f>'Expenditures 15-22'!E71</f>
        <v>61096</v>
      </c>
      <c r="D867" s="2" t="str">
        <f t="shared" si="12"/>
        <v>Error?</v>
      </c>
    </row>
    <row r="868" spans="1:4" x14ac:dyDescent="0.2">
      <c r="A868" s="10">
        <v>807</v>
      </c>
      <c r="D868" s="2" t="str">
        <f t="shared" si="12"/>
        <v>OK</v>
      </c>
    </row>
    <row r="869" spans="1:4" x14ac:dyDescent="0.2">
      <c r="A869" s="5">
        <v>808</v>
      </c>
      <c r="B869" s="138">
        <f>'Expenditures 15-22'!E72</f>
        <v>91757</v>
      </c>
      <c r="C869" s="2" t="s">
        <v>594</v>
      </c>
      <c r="D869" s="2" t="str">
        <f t="shared" si="12"/>
        <v>Error?</v>
      </c>
    </row>
    <row r="870" spans="1:4" x14ac:dyDescent="0.2">
      <c r="A870" s="5">
        <v>809</v>
      </c>
      <c r="B870" s="138">
        <f>'Expenditures 15-22'!E73</f>
        <v>4000</v>
      </c>
      <c r="D870" s="2" t="str">
        <f t="shared" si="12"/>
        <v>Error?</v>
      </c>
    </row>
    <row r="871" spans="1:4" x14ac:dyDescent="0.2">
      <c r="A871" s="5">
        <v>810</v>
      </c>
      <c r="B871" s="138">
        <f>'Expenditures 15-22'!E74</f>
        <v>473483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609383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983</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172</v>
      </c>
      <c r="D893" s="2" t="str">
        <f t="shared" si="12"/>
        <v>Error?</v>
      </c>
    </row>
    <row r="894" spans="1:4" x14ac:dyDescent="0.2">
      <c r="A894" s="5">
        <v>833</v>
      </c>
      <c r="B894" s="138">
        <f>'Expenditures 15-22'!F33</f>
        <v>14778</v>
      </c>
      <c r="C894" s="2" t="s">
        <v>594</v>
      </c>
      <c r="D894" s="2" t="str">
        <f t="shared" si="12"/>
        <v>Error?</v>
      </c>
    </row>
    <row r="895" spans="1:4" x14ac:dyDescent="0.2">
      <c r="A895" s="5">
        <v>834</v>
      </c>
      <c r="B895" s="138">
        <f>'Expenditures 15-22'!F36</f>
        <v>1326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5264</v>
      </c>
      <c r="D897" s="2" t="str">
        <f t="shared" si="13"/>
        <v>Error?</v>
      </c>
    </row>
    <row r="898" spans="1:4" x14ac:dyDescent="0.2">
      <c r="A898" s="5">
        <v>837</v>
      </c>
      <c r="B898" s="138">
        <f>'Expenditures 15-22'!F39</f>
        <v>14701</v>
      </c>
      <c r="D898" s="2" t="str">
        <f t="shared" si="13"/>
        <v>Error?</v>
      </c>
    </row>
    <row r="899" spans="1:4" x14ac:dyDescent="0.2">
      <c r="A899" s="5">
        <v>838</v>
      </c>
      <c r="B899" s="138">
        <f>'Expenditures 15-22'!F40</f>
        <v>1369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22660</v>
      </c>
      <c r="C901" s="2" t="s">
        <v>594</v>
      </c>
      <c r="D901" s="2" t="str">
        <f t="shared" si="13"/>
        <v>Error?</v>
      </c>
    </row>
    <row r="902" spans="1:4" x14ac:dyDescent="0.2">
      <c r="A902" s="5">
        <v>841</v>
      </c>
      <c r="B902" s="138">
        <f>'Expenditures 15-22'!F44</f>
        <v>3346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3346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6070</v>
      </c>
      <c r="D907" s="2" t="str">
        <f t="shared" si="13"/>
        <v>Error?</v>
      </c>
    </row>
    <row r="908" spans="1:4" x14ac:dyDescent="0.2">
      <c r="A908" s="5">
        <v>847</v>
      </c>
      <c r="B908" s="138">
        <f>'Expenditures 15-22'!F53</f>
        <v>6070</v>
      </c>
      <c r="C908" s="2" t="s">
        <v>594</v>
      </c>
      <c r="D908" s="2" t="str">
        <f t="shared" si="13"/>
        <v>Error?</v>
      </c>
    </row>
    <row r="909" spans="1:4" x14ac:dyDescent="0.2">
      <c r="A909" s="5">
        <v>848</v>
      </c>
      <c r="B909" s="138">
        <f>'Expenditures 15-22'!F55</f>
        <v>2029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2029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567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7761</v>
      </c>
      <c r="D916" s="2" t="str">
        <f t="shared" si="13"/>
        <v>Error?</v>
      </c>
    </row>
    <row r="917" spans="1:4" x14ac:dyDescent="0.2">
      <c r="A917" s="5">
        <v>856</v>
      </c>
      <c r="B917" s="138">
        <f>'Expenditures 15-22'!F64</f>
        <v>554</v>
      </c>
      <c r="D917" s="2" t="str">
        <f t="shared" si="13"/>
        <v>Error?</v>
      </c>
    </row>
    <row r="918" spans="1:4" x14ac:dyDescent="0.2">
      <c r="A918" s="10">
        <v>857</v>
      </c>
      <c r="D918" s="2" t="str">
        <f t="shared" si="13"/>
        <v>OK</v>
      </c>
    </row>
    <row r="919" spans="1:4" x14ac:dyDescent="0.2">
      <c r="A919" s="5">
        <v>858</v>
      </c>
      <c r="B919" s="138">
        <f>'Expenditures 15-22'!F65</f>
        <v>8882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11500</v>
      </c>
      <c r="D925" s="2" t="str">
        <f t="shared" si="13"/>
        <v>Error?</v>
      </c>
    </row>
    <row r="926" spans="1:4" x14ac:dyDescent="0.2">
      <c r="A926" s="10">
        <v>865</v>
      </c>
      <c r="D926" s="2" t="str">
        <f t="shared" si="13"/>
        <v>OK</v>
      </c>
    </row>
    <row r="927" spans="1:4" x14ac:dyDescent="0.2">
      <c r="A927" s="5">
        <v>866</v>
      </c>
      <c r="B927" s="138">
        <f>'Expenditures 15-22'!F72</f>
        <v>11500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54487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69265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18315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18315</v>
      </c>
      <c r="C959" s="2" t="s">
        <v>594</v>
      </c>
      <c r="D959" s="2" t="str">
        <f t="shared" ref="D959:D1022" si="14">IF(ISBLANK(B959),"OK",IF(A959-B959=0,"OK","Error?"))</f>
        <v>Error?</v>
      </c>
    </row>
    <row r="960" spans="1:4" x14ac:dyDescent="0.2">
      <c r="A960" s="5">
        <v>899</v>
      </c>
      <c r="B960" s="138">
        <f>'Expenditures 15-22'!G44</f>
        <v>745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745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24777</v>
      </c>
      <c r="D983" s="2" t="str">
        <f t="shared" si="14"/>
        <v>Error?</v>
      </c>
    </row>
    <row r="984" spans="1:4" x14ac:dyDescent="0.2">
      <c r="A984" s="10">
        <v>923</v>
      </c>
      <c r="D984" s="2" t="str">
        <f t="shared" si="14"/>
        <v>OK</v>
      </c>
    </row>
    <row r="985" spans="1:4" x14ac:dyDescent="0.2">
      <c r="A985" s="5">
        <v>924</v>
      </c>
      <c r="B985" s="138">
        <f>'Expenditures 15-22'!G72</f>
        <v>24777</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43837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43837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462202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5084</v>
      </c>
      <c r="D1023" s="2" t="str">
        <f t="shared" ref="D1023:D1086" si="15">IF(ISBLANK(B1023),"OK",IF(A1023-B1023=0,"OK","Error?"))</f>
        <v>Error?</v>
      </c>
    </row>
    <row r="1024" spans="1:4" x14ac:dyDescent="0.2">
      <c r="A1024" s="5">
        <v>963</v>
      </c>
      <c r="B1024" s="138">
        <f>'Expenditures 15-22'!H53</f>
        <v>5084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5238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558108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1025548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150599</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53537</v>
      </c>
      <c r="C1107" s="2" t="s">
        <v>594</v>
      </c>
      <c r="D1107" s="2" t="str">
        <f t="shared" si="16"/>
        <v>Error?</v>
      </c>
    </row>
    <row r="1108" spans="1:4" x14ac:dyDescent="0.2">
      <c r="A1108" s="5">
        <v>1047</v>
      </c>
      <c r="B1108" s="138">
        <f>'Expenditures 15-22'!K33</f>
        <v>2479622</v>
      </c>
      <c r="C1108" s="2" t="s">
        <v>594</v>
      </c>
      <c r="D1108" s="2" t="str">
        <f t="shared" si="16"/>
        <v>Error?</v>
      </c>
    </row>
    <row r="1109" spans="1:4" x14ac:dyDescent="0.2">
      <c r="A1109" s="5">
        <v>1048</v>
      </c>
      <c r="B1109" s="138">
        <f>'Expenditures 15-22'!K36</f>
        <v>600372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593530</v>
      </c>
      <c r="C1111" s="2" t="s">
        <v>594</v>
      </c>
      <c r="D1111" s="2" t="str">
        <f t="shared" si="16"/>
        <v>Error?</v>
      </c>
    </row>
    <row r="1112" spans="1:4" x14ac:dyDescent="0.2">
      <c r="A1112" s="5">
        <v>1051</v>
      </c>
      <c r="B1112" s="138">
        <f>'Expenditures 15-22'!K39</f>
        <v>704459</v>
      </c>
      <c r="C1112" s="2" t="s">
        <v>594</v>
      </c>
      <c r="D1112" s="2" t="str">
        <f t="shared" si="16"/>
        <v>Error?</v>
      </c>
    </row>
    <row r="1113" spans="1:4" x14ac:dyDescent="0.2">
      <c r="A1113" s="5">
        <v>1052</v>
      </c>
      <c r="B1113" s="138">
        <f>'Expenditures 15-22'!K40</f>
        <v>393751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2292112</v>
      </c>
      <c r="C1115" s="2" t="s">
        <v>594</v>
      </c>
      <c r="D1115" s="2" t="str">
        <f t="shared" si="16"/>
        <v>Error?</v>
      </c>
    </row>
    <row r="1116" spans="1:4" x14ac:dyDescent="0.2">
      <c r="A1116" s="5">
        <v>1055</v>
      </c>
      <c r="B1116" s="138">
        <f>'Expenditures 15-22'!K44</f>
        <v>99028</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99028</v>
      </c>
      <c r="C1119" s="2" t="s">
        <v>594</v>
      </c>
      <c r="D1119" s="2" t="str">
        <f t="shared" si="16"/>
        <v>Error?</v>
      </c>
    </row>
    <row r="1120" spans="1:4" x14ac:dyDescent="0.2">
      <c r="A1120" s="5">
        <v>1059</v>
      </c>
      <c r="B1120" s="138">
        <f>'Expenditures 15-22'!K49</f>
        <v>58059</v>
      </c>
      <c r="C1120" s="2" t="s">
        <v>594</v>
      </c>
      <c r="D1120" s="2" t="str">
        <f t="shared" si="16"/>
        <v>Error?</v>
      </c>
    </row>
    <row r="1121" spans="1:4" x14ac:dyDescent="0.2">
      <c r="A1121" s="5">
        <v>1060</v>
      </c>
      <c r="B1121" s="138">
        <f>'Expenditures 15-22'!K50</f>
        <v>632537</v>
      </c>
      <c r="C1121" s="2" t="s">
        <v>594</v>
      </c>
      <c r="D1121" s="2" t="str">
        <f t="shared" si="16"/>
        <v>Error?</v>
      </c>
    </row>
    <row r="1122" spans="1:4" x14ac:dyDescent="0.2">
      <c r="A1122" s="5">
        <v>1061</v>
      </c>
      <c r="B1122" s="138">
        <f>'Expenditures 15-22'!K53</f>
        <v>690596</v>
      </c>
      <c r="C1122" s="2" t="s">
        <v>594</v>
      </c>
      <c r="D1122" s="2" t="str">
        <f t="shared" si="16"/>
        <v>Error?</v>
      </c>
    </row>
    <row r="1123" spans="1:4" x14ac:dyDescent="0.2">
      <c r="A1123" s="5">
        <v>1062</v>
      </c>
      <c r="B1123" s="138">
        <f>'Expenditures 15-22'!K55</f>
        <v>243140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243140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44549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33452</v>
      </c>
      <c r="C1130" s="2" t="s">
        <v>594</v>
      </c>
      <c r="D1130" s="2" t="str">
        <f t="shared" si="16"/>
        <v>Error?</v>
      </c>
    </row>
    <row r="1131" spans="1:4" x14ac:dyDescent="0.2">
      <c r="A1131" s="5">
        <v>1070</v>
      </c>
      <c r="B1131" s="138">
        <f>'Expenditures 15-22'!K64</f>
        <v>18767</v>
      </c>
      <c r="C1131" s="2" t="s">
        <v>594</v>
      </c>
      <c r="D1131" s="2" t="str">
        <f t="shared" si="16"/>
        <v>Error?</v>
      </c>
    </row>
    <row r="1132" spans="1:4" x14ac:dyDescent="0.2">
      <c r="A1132" s="10">
        <v>1071</v>
      </c>
      <c r="D1132" s="2" t="str">
        <f t="shared" si="16"/>
        <v>OK</v>
      </c>
    </row>
    <row r="1133" spans="1:4" x14ac:dyDescent="0.2">
      <c r="A1133" s="5">
        <v>1072</v>
      </c>
      <c r="B1133" s="138">
        <f>'Expenditures 15-22'!K65</f>
        <v>96768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29006</v>
      </c>
      <c r="C1136" s="2" t="s">
        <v>594</v>
      </c>
      <c r="D1136" s="2" t="str">
        <f t="shared" si="16"/>
        <v>Error?</v>
      </c>
    </row>
    <row r="1137" spans="1:4" x14ac:dyDescent="0.2">
      <c r="A1137" s="5">
        <v>1076</v>
      </c>
      <c r="B1137" s="138">
        <f>'Expenditures 15-22'!K70</f>
        <v>1655</v>
      </c>
      <c r="C1137" s="2" t="s">
        <v>594</v>
      </c>
      <c r="D1137" s="2" t="str">
        <f t="shared" si="16"/>
        <v>Error?</v>
      </c>
    </row>
    <row r="1138" spans="1:4" x14ac:dyDescent="0.2">
      <c r="A1138" s="10">
        <v>1077</v>
      </c>
      <c r="D1138" s="2" t="str">
        <f t="shared" si="16"/>
        <v>OK</v>
      </c>
    </row>
    <row r="1139" spans="1:4" x14ac:dyDescent="0.2">
      <c r="A1139" s="5">
        <v>1078</v>
      </c>
      <c r="B1139" s="138">
        <f>'Expenditures 15-22'!K71</f>
        <v>131580</v>
      </c>
      <c r="C1139" s="2" t="s">
        <v>594</v>
      </c>
      <c r="D1139" s="2" t="str">
        <f t="shared" si="16"/>
        <v>Error?</v>
      </c>
    </row>
    <row r="1140" spans="1:4" x14ac:dyDescent="0.2">
      <c r="A1140" s="10">
        <v>1079</v>
      </c>
      <c r="D1140" s="2" t="str">
        <f t="shared" si="16"/>
        <v>OK</v>
      </c>
    </row>
    <row r="1141" spans="1:4" x14ac:dyDescent="0.2">
      <c r="A1141" s="5">
        <v>1080</v>
      </c>
      <c r="B1141" s="138">
        <f>'Expenditures 15-22'!K72</f>
        <v>162241</v>
      </c>
      <c r="C1141" s="2" t="s">
        <v>594</v>
      </c>
      <c r="D1141" s="2" t="str">
        <f t="shared" si="16"/>
        <v>Error?</v>
      </c>
    </row>
    <row r="1142" spans="1:4" x14ac:dyDescent="0.2">
      <c r="A1142" s="5">
        <v>1081</v>
      </c>
      <c r="B1142" s="138">
        <f>'Expenditures 15-22'!K73</f>
        <v>4000</v>
      </c>
      <c r="C1142" s="2" t="s">
        <v>594</v>
      </c>
      <c r="D1142" s="2" t="str">
        <f t="shared" si="16"/>
        <v>Error?</v>
      </c>
    </row>
    <row r="1143" spans="1:4" x14ac:dyDescent="0.2">
      <c r="A1143" s="5">
        <v>1082</v>
      </c>
      <c r="B1143" s="138">
        <f>'Expenditures 15-22'!K74</f>
        <v>3587885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657417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6724924</v>
      </c>
      <c r="C1152" s="2" t="s">
        <v>594</v>
      </c>
      <c r="D1152" s="2" t="str">
        <f t="shared" si="17"/>
        <v>Error?</v>
      </c>
    </row>
    <row r="1153" spans="1:4" x14ac:dyDescent="0.2">
      <c r="A1153" s="5">
        <v>1092</v>
      </c>
      <c r="B1153" s="138">
        <f>'Expenditures 15-22'!K115</f>
        <v>71565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25500</v>
      </c>
      <c r="D1221" s="2" t="str">
        <f t="shared" si="18"/>
        <v>Error?</v>
      </c>
    </row>
    <row r="1222" spans="1:4" x14ac:dyDescent="0.2">
      <c r="A1222" s="10">
        <v>1161</v>
      </c>
      <c r="D1222" s="2" t="str">
        <f t="shared" si="18"/>
        <v>OK</v>
      </c>
    </row>
    <row r="1223" spans="1:4" x14ac:dyDescent="0.2">
      <c r="A1223" s="5">
        <v>1162</v>
      </c>
      <c r="B1223" s="138">
        <f>'Expenditures 15-22'!C127</f>
        <v>25500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25500</v>
      </c>
      <c r="C1225" s="2" t="s">
        <v>594</v>
      </c>
      <c r="D1225" s="2" t="str">
        <f t="shared" si="18"/>
        <v>Error?</v>
      </c>
    </row>
    <row r="1226" spans="1:4" x14ac:dyDescent="0.2">
      <c r="A1226" s="5">
        <v>1165</v>
      </c>
      <c r="B1226" s="138">
        <f>'Expenditures 15-22'!C151</f>
        <v>25500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11251</v>
      </c>
      <c r="D1229" s="2" t="str">
        <f t="shared" si="18"/>
        <v>Error?</v>
      </c>
    </row>
    <row r="1230" spans="1:4" x14ac:dyDescent="0.2">
      <c r="A1230" s="10">
        <v>1169</v>
      </c>
      <c r="D1230" s="2" t="str">
        <f t="shared" si="18"/>
        <v>OK</v>
      </c>
    </row>
    <row r="1231" spans="1:4" x14ac:dyDescent="0.2">
      <c r="A1231" s="5">
        <v>1170</v>
      </c>
      <c r="B1231" s="138">
        <f>'Expenditures 15-22'!D127</f>
        <v>11251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11251</v>
      </c>
      <c r="C1233" s="2" t="s">
        <v>594</v>
      </c>
      <c r="D1233" s="2" t="str">
        <f t="shared" si="18"/>
        <v>Error?</v>
      </c>
    </row>
    <row r="1234" spans="1:4" x14ac:dyDescent="0.2">
      <c r="A1234" s="5">
        <v>1173</v>
      </c>
      <c r="B1234" s="138">
        <f>'Expenditures 15-22'!D151</f>
        <v>11251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191513</v>
      </c>
      <c r="D1237" s="2" t="str">
        <f t="shared" si="18"/>
        <v>Error?</v>
      </c>
    </row>
    <row r="1238" spans="1:4" x14ac:dyDescent="0.2">
      <c r="A1238" s="10">
        <v>1177</v>
      </c>
      <c r="D1238" s="2" t="str">
        <f t="shared" si="18"/>
        <v>OK</v>
      </c>
    </row>
    <row r="1239" spans="1:4" x14ac:dyDescent="0.2">
      <c r="A1239" s="5">
        <v>1178</v>
      </c>
      <c r="B1239" s="138">
        <f>'Expenditures 15-22'!E127</f>
        <v>191513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191513</v>
      </c>
      <c r="C1241" s="2" t="s">
        <v>594</v>
      </c>
      <c r="D1241" s="2" t="str">
        <f t="shared" si="18"/>
        <v>Error?</v>
      </c>
    </row>
    <row r="1242" spans="1:4" x14ac:dyDescent="0.2">
      <c r="A1242" s="5">
        <v>1181</v>
      </c>
      <c r="B1242" s="138">
        <f>'Expenditures 15-22'!E151</f>
        <v>191513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35513</v>
      </c>
      <c r="D1245" s="2" t="str">
        <f t="shared" si="18"/>
        <v>Error?</v>
      </c>
    </row>
    <row r="1246" spans="1:4" x14ac:dyDescent="0.2">
      <c r="A1246" s="10">
        <v>1185</v>
      </c>
      <c r="D1246" s="2" t="str">
        <f t="shared" si="18"/>
        <v>OK</v>
      </c>
    </row>
    <row r="1247" spans="1:4" x14ac:dyDescent="0.2">
      <c r="A1247" s="5">
        <v>1186</v>
      </c>
      <c r="B1247" s="138">
        <f>'Expenditures 15-22'!F127</f>
        <v>35513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35513</v>
      </c>
      <c r="C1249" s="2" t="s">
        <v>594</v>
      </c>
      <c r="D1249" s="2" t="str">
        <f t="shared" si="18"/>
        <v>Error?</v>
      </c>
    </row>
    <row r="1250" spans="1:4" x14ac:dyDescent="0.2">
      <c r="A1250" s="5">
        <v>1189</v>
      </c>
      <c r="B1250" s="138">
        <f>'Expenditures 15-22'!F151</f>
        <v>35513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5759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5759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5759</v>
      </c>
      <c r="C1258" s="2" t="s">
        <v>594</v>
      </c>
      <c r="D1258" s="2" t="str">
        <f t="shared" si="18"/>
        <v>Error?</v>
      </c>
    </row>
    <row r="1259" spans="1:4" x14ac:dyDescent="0.2">
      <c r="A1259" s="5">
        <v>1198</v>
      </c>
      <c r="B1259" s="138">
        <f>'Expenditures 15-22'!G151</f>
        <v>5759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269536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269536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269536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269536</v>
      </c>
      <c r="C1288" s="2" t="s">
        <v>594</v>
      </c>
      <c r="D1288" s="2" t="str">
        <f t="shared" si="19"/>
        <v>Error?</v>
      </c>
    </row>
    <row r="1289" spans="1:4" x14ac:dyDescent="0.2">
      <c r="A1289" s="5">
        <v>1228</v>
      </c>
      <c r="B1289" s="138">
        <f>'Expenditures 15-22'!K152</f>
        <v>1644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7912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7912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7912</v>
      </c>
      <c r="C1353" s="2" t="s">
        <v>594</v>
      </c>
      <c r="D1353" s="2" t="str">
        <f t="shared" si="20"/>
        <v>Error?</v>
      </c>
    </row>
    <row r="1354" spans="1:4" x14ac:dyDescent="0.2">
      <c r="A1354" s="5">
        <v>1293</v>
      </c>
      <c r="B1354" s="138">
        <f>'Expenditures 15-22'!F182</f>
        <v>4397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4397</v>
      </c>
      <c r="C1358" s="2" t="s">
        <v>594</v>
      </c>
      <c r="D1358" s="2" t="str">
        <f t="shared" si="20"/>
        <v>Error?</v>
      </c>
    </row>
    <row r="1359" spans="1:4" x14ac:dyDescent="0.2">
      <c r="A1359" s="5">
        <v>1298</v>
      </c>
      <c r="B1359" s="138">
        <f>'Expenditures 15-22'!F210</f>
        <v>4397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12309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12309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12309</v>
      </c>
      <c r="C1388" s="2" t="s">
        <v>594</v>
      </c>
      <c r="D1388" s="2" t="str">
        <f t="shared" si="20"/>
        <v>Error?</v>
      </c>
    </row>
    <row r="1389" spans="1:4" x14ac:dyDescent="0.2">
      <c r="A1389" s="5">
        <v>1328</v>
      </c>
      <c r="B1389" s="138">
        <f>'Expenditures 15-22'!K211</f>
        <v>-242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569844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641409</v>
      </c>
      <c r="C1630" s="2" t="s">
        <v>594</v>
      </c>
      <c r="D1630" s="2" t="str">
        <f t="shared" si="24"/>
        <v>Error?</v>
      </c>
    </row>
    <row r="1631" spans="1:4" x14ac:dyDescent="0.2">
      <c r="A1631" s="5">
        <v>1570</v>
      </c>
      <c r="B1631" s="138">
        <f>'Acct Summary 7-8'!D79</f>
        <v>372874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374518</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25993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25751</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1530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1937591</v>
      </c>
      <c r="D2009" s="2" t="str">
        <f t="shared" si="30"/>
        <v>Error?</v>
      </c>
    </row>
    <row r="2010" spans="1:4" x14ac:dyDescent="0.2">
      <c r="A2010" s="5">
        <v>1949</v>
      </c>
      <c r="B2010" s="138">
        <f>'Cap Outlay Deprec 26'!C10</f>
        <v>245020</v>
      </c>
      <c r="D2010" s="2" t="str">
        <f t="shared" si="30"/>
        <v>Error?</v>
      </c>
    </row>
    <row r="2011" spans="1:4" x14ac:dyDescent="0.2">
      <c r="A2011" s="5">
        <v>1950</v>
      </c>
      <c r="B2011" s="138">
        <f>'Cap Outlay Deprec 26'!C12</f>
        <v>293381</v>
      </c>
      <c r="D2011" s="2" t="str">
        <f t="shared" si="30"/>
        <v>Error?</v>
      </c>
    </row>
    <row r="2012" spans="1:4" x14ac:dyDescent="0.2">
      <c r="A2012" s="5">
        <v>1951</v>
      </c>
      <c r="B2012" s="138">
        <f>'Cap Outlay Deprec 26'!C13</f>
        <v>134002</v>
      </c>
      <c r="D2012" s="2" t="str">
        <f t="shared" si="30"/>
        <v>Error?</v>
      </c>
    </row>
    <row r="2013" spans="1:4" x14ac:dyDescent="0.2">
      <c r="A2013" s="5">
        <v>1952</v>
      </c>
      <c r="B2013" s="138">
        <f>'Cap Outlay Deprec 26'!C16</f>
        <v>2671009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49597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49597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1937591</v>
      </c>
      <c r="C2027" s="2" t="s">
        <v>594</v>
      </c>
      <c r="D2027" s="2" t="str">
        <f t="shared" si="30"/>
        <v>Error?</v>
      </c>
    </row>
    <row r="2028" spans="1:4" x14ac:dyDescent="0.2">
      <c r="A2028" s="5">
        <v>1967</v>
      </c>
      <c r="B2028" s="138">
        <f>'Cap Outlay Deprec 26'!F10</f>
        <v>245020</v>
      </c>
      <c r="C2028" s="2" t="s">
        <v>594</v>
      </c>
      <c r="D2028" s="2" t="str">
        <f t="shared" si="30"/>
        <v>Error?</v>
      </c>
    </row>
    <row r="2029" spans="1:4" x14ac:dyDescent="0.2">
      <c r="A2029" s="5">
        <v>1968</v>
      </c>
      <c r="B2029" s="138">
        <f>'Cap Outlay Deprec 26'!F12</f>
        <v>342978</v>
      </c>
      <c r="C2029" s="2" t="s">
        <v>594</v>
      </c>
      <c r="D2029" s="2" t="str">
        <f t="shared" si="30"/>
        <v>Error?</v>
      </c>
    </row>
    <row r="2030" spans="1:4" x14ac:dyDescent="0.2">
      <c r="A2030" s="5">
        <v>1969</v>
      </c>
      <c r="B2030" s="138">
        <f>'Cap Outlay Deprec 26'!F13</f>
        <v>134002</v>
      </c>
      <c r="C2030" s="2" t="s">
        <v>594</v>
      </c>
      <c r="D2030" s="2" t="str">
        <f t="shared" si="30"/>
        <v>Error?</v>
      </c>
    </row>
    <row r="2031" spans="1:4" x14ac:dyDescent="0.2">
      <c r="A2031" s="5">
        <v>1970</v>
      </c>
      <c r="B2031" s="138">
        <f>'Cap Outlay Deprec 26'!F16</f>
        <v>2720606</v>
      </c>
      <c r="C2031" s="2" t="s">
        <v>594</v>
      </c>
      <c r="D2031" s="2" t="str">
        <f t="shared" si="30"/>
        <v>Error?</v>
      </c>
    </row>
    <row r="2032" spans="1:4" x14ac:dyDescent="0.2">
      <c r="A2032" s="10">
        <v>1971</v>
      </c>
      <c r="D2032" s="2" t="str">
        <f t="shared" si="30"/>
        <v>OK</v>
      </c>
    </row>
    <row r="2033" spans="1:4" x14ac:dyDescent="0.2">
      <c r="A2033" s="5">
        <v>1972</v>
      </c>
      <c r="B2033" s="138">
        <f>'Cap Outlay Deprec 26'!H8</f>
        <v>1254659</v>
      </c>
      <c r="D2033" s="2" t="str">
        <f t="shared" si="30"/>
        <v>Error?</v>
      </c>
    </row>
    <row r="2034" spans="1:4" x14ac:dyDescent="0.2">
      <c r="A2034" s="5">
        <v>1973</v>
      </c>
      <c r="B2034" s="138">
        <f>'Cap Outlay Deprec 26'!H10</f>
        <v>25960</v>
      </c>
      <c r="D2034" s="2" t="str">
        <f t="shared" si="30"/>
        <v>Error?</v>
      </c>
    </row>
    <row r="2035" spans="1:4" x14ac:dyDescent="0.2">
      <c r="A2035" s="5">
        <v>1974</v>
      </c>
      <c r="B2035" s="138">
        <f>'Cap Outlay Deprec 26'!H12</f>
        <v>246204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1593820</v>
      </c>
      <c r="C2037" s="2" t="s">
        <v>594</v>
      </c>
      <c r="D2037" s="2" t="str">
        <f t="shared" si="30"/>
        <v>Error?</v>
      </c>
    </row>
    <row r="2038" spans="1:4" x14ac:dyDescent="0.2">
      <c r="A2038" s="10">
        <v>1977</v>
      </c>
      <c r="D2038" s="2" t="str">
        <f t="shared" si="30"/>
        <v>OK</v>
      </c>
    </row>
    <row r="2039" spans="1:4" x14ac:dyDescent="0.2">
      <c r="A2039" s="5">
        <v>1978</v>
      </c>
      <c r="B2039" s="138">
        <f>'Cap Outlay Deprec 26'!I8</f>
        <v>29869</v>
      </c>
      <c r="D2039" s="2" t="str">
        <f t="shared" si="30"/>
        <v>Error?</v>
      </c>
    </row>
    <row r="2040" spans="1:4" x14ac:dyDescent="0.2">
      <c r="A2040" s="5">
        <v>1979</v>
      </c>
      <c r="B2040" s="138">
        <f>'Cap Outlay Deprec 26'!I10</f>
        <v>12099</v>
      </c>
      <c r="D2040" s="2" t="str">
        <f t="shared" si="30"/>
        <v>Error?</v>
      </c>
    </row>
    <row r="2041" spans="1:4" x14ac:dyDescent="0.2">
      <c r="A2041" s="5">
        <v>1980</v>
      </c>
      <c r="B2041" s="138">
        <f>'Cap Outlay Deprec 26'!I12</f>
        <v>10938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79357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1284528</v>
      </c>
      <c r="C2051" s="2" t="s">
        <v>594</v>
      </c>
      <c r="D2051" s="2" t="str">
        <f t="shared" si="31"/>
        <v>Error?</v>
      </c>
    </row>
    <row r="2052" spans="1:4" x14ac:dyDescent="0.2">
      <c r="A2052" s="5">
        <v>1991</v>
      </c>
      <c r="B2052" s="138">
        <f>'Cap Outlay Deprec 26'!K10</f>
        <v>38059</v>
      </c>
      <c r="C2052" s="2" t="s">
        <v>594</v>
      </c>
      <c r="D2052" s="2" t="str">
        <f t="shared" si="31"/>
        <v>Error?</v>
      </c>
    </row>
    <row r="2053" spans="1:4" x14ac:dyDescent="0.2">
      <c r="A2053" s="5">
        <v>1992</v>
      </c>
      <c r="B2053" s="138">
        <f>'Cap Outlay Deprec 26'!K12</f>
        <v>257142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1673177</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653063</v>
      </c>
      <c r="C2057" s="2" t="s">
        <v>594</v>
      </c>
      <c r="D2057" s="2" t="str">
        <f t="shared" si="31"/>
        <v>Error?</v>
      </c>
    </row>
    <row r="2058" spans="1:4" x14ac:dyDescent="0.2">
      <c r="A2058" s="5">
        <v>1997</v>
      </c>
      <c r="B2058" s="138">
        <f>'Cap Outlay Deprec 26'!L10</f>
        <v>206961</v>
      </c>
      <c r="C2058" s="2" t="s">
        <v>594</v>
      </c>
      <c r="D2058" s="2" t="str">
        <f t="shared" si="31"/>
        <v>Error?</v>
      </c>
    </row>
    <row r="2059" spans="1:4" x14ac:dyDescent="0.2">
      <c r="A2059" s="5">
        <v>1998</v>
      </c>
      <c r="B2059" s="138">
        <f>'Cap Outlay Deprec 26'!L12</f>
        <v>85836</v>
      </c>
      <c r="C2059" s="2" t="s">
        <v>594</v>
      </c>
      <c r="D2059" s="2" t="str">
        <f t="shared" si="31"/>
        <v>Error?</v>
      </c>
    </row>
    <row r="2060" spans="1:4" x14ac:dyDescent="0.2">
      <c r="A2060" s="5">
        <v>1999</v>
      </c>
      <c r="B2060" s="138">
        <f>'Cap Outlay Deprec 26'!L13</f>
        <v>134002</v>
      </c>
      <c r="C2060" s="2" t="s">
        <v>594</v>
      </c>
      <c r="D2060" s="2" t="str">
        <f t="shared" si="31"/>
        <v>Error?</v>
      </c>
    </row>
    <row r="2061" spans="1:4" x14ac:dyDescent="0.2">
      <c r="A2061" s="5">
        <v>2000</v>
      </c>
      <c r="B2061" s="138">
        <f>'Cap Outlay Deprec 26'!L16</f>
        <v>1047429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99309</v>
      </c>
      <c r="C2088" s="2" t="s">
        <v>594</v>
      </c>
      <c r="D2088" s="2" t="str">
        <f t="shared" si="31"/>
        <v>Error?</v>
      </c>
    </row>
    <row r="2089" spans="1:4" x14ac:dyDescent="0.2">
      <c r="A2089" s="5">
        <v>2028</v>
      </c>
      <c r="B2089" s="138">
        <f>'Expenditures 15-22'!K92</f>
        <v>40235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3484498</v>
      </c>
      <c r="C2551" s="2" t="s">
        <v>594</v>
      </c>
      <c r="D2551" s="2" t="str">
        <f t="shared" si="38"/>
        <v>Error?</v>
      </c>
    </row>
    <row r="2552" spans="1:4" x14ac:dyDescent="0.2">
      <c r="A2552" s="10">
        <v>2491</v>
      </c>
      <c r="D2552" s="2" t="str">
        <f t="shared" si="38"/>
        <v>OK</v>
      </c>
    </row>
    <row r="2553" spans="1:4" x14ac:dyDescent="0.2">
      <c r="A2553" s="5">
        <v>2492</v>
      </c>
      <c r="B2553" s="138">
        <f>'Acct Summary 7-8'!C6</f>
        <v>898955</v>
      </c>
      <c r="C2553" s="2" t="s">
        <v>594</v>
      </c>
      <c r="D2553" s="2" t="str">
        <f t="shared" si="38"/>
        <v>Error?</v>
      </c>
    </row>
    <row r="2554" spans="1:4" x14ac:dyDescent="0.2">
      <c r="A2554" s="5">
        <v>2493</v>
      </c>
      <c r="B2554" s="138">
        <f>'Acct Summary 7-8'!C7</f>
        <v>1905997</v>
      </c>
      <c r="C2554" s="2" t="s">
        <v>594</v>
      </c>
      <c r="D2554" s="2" t="str">
        <f t="shared" si="38"/>
        <v>Error?</v>
      </c>
    </row>
    <row r="2555" spans="1:4" x14ac:dyDescent="0.2">
      <c r="A2555" s="5">
        <v>2494</v>
      </c>
      <c r="B2555" s="138">
        <f>'Acct Summary 7-8'!C8</f>
        <v>6796489</v>
      </c>
      <c r="C2555" s="2" t="s">
        <v>594</v>
      </c>
      <c r="D2555" s="2" t="str">
        <f t="shared" si="38"/>
        <v>Error?</v>
      </c>
    </row>
    <row r="2556" spans="1:4" x14ac:dyDescent="0.2">
      <c r="A2556" s="5">
        <v>2495</v>
      </c>
      <c r="B2556" s="138">
        <f>'Acct Summary 7-8'!C12</f>
        <v>2479622</v>
      </c>
      <c r="C2556" s="2" t="s">
        <v>594</v>
      </c>
      <c r="D2556" s="2" t="str">
        <f t="shared" si="38"/>
        <v>Error?</v>
      </c>
    </row>
    <row r="2557" spans="1:4" x14ac:dyDescent="0.2">
      <c r="A2557" s="5">
        <v>2496</v>
      </c>
      <c r="B2557" s="138">
        <f>'Acct Summary 7-8'!C13</f>
        <v>3587885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657417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6724924</v>
      </c>
      <c r="C2561" s="2" t="s">
        <v>594</v>
      </c>
      <c r="D2561" s="2" t="str">
        <f t="shared" si="39"/>
        <v>Error?</v>
      </c>
    </row>
    <row r="2562" spans="1:4" x14ac:dyDescent="0.2">
      <c r="A2562" s="5">
        <v>2501</v>
      </c>
      <c r="B2562" s="138">
        <f>'Acct Summary 7-8'!C20</f>
        <v>71565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4549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266631</v>
      </c>
      <c r="C2567" s="2" t="s">
        <v>594</v>
      </c>
      <c r="D2567" s="2" t="str">
        <f t="shared" si="39"/>
        <v>Error?</v>
      </c>
    </row>
    <row r="2568" spans="1:4" x14ac:dyDescent="0.2">
      <c r="A2568" s="5">
        <v>2507</v>
      </c>
      <c r="B2568" s="138">
        <f>'Acct Summary 7-8'!D8</f>
        <v>271180</v>
      </c>
      <c r="C2568" s="2" t="s">
        <v>594</v>
      </c>
      <c r="D2568" s="2" t="str">
        <f t="shared" si="39"/>
        <v>Error?</v>
      </c>
    </row>
    <row r="2569" spans="1:4" x14ac:dyDescent="0.2">
      <c r="A2569" s="5">
        <v>2508</v>
      </c>
      <c r="B2569" s="138">
        <f>'Acct Summary 7-8'!D13</f>
        <v>269536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269536</v>
      </c>
      <c r="C2573" s="2" t="s">
        <v>594</v>
      </c>
      <c r="D2573" s="2" t="str">
        <f t="shared" si="39"/>
        <v>Error?</v>
      </c>
    </row>
    <row r="2574" spans="1:4" x14ac:dyDescent="0.2">
      <c r="A2574" s="5">
        <v>2513</v>
      </c>
      <c r="B2574" s="138">
        <f>'Acct Summary 7-8'!D20</f>
        <v>1644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12067</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12067</v>
      </c>
      <c r="C2595" s="2" t="s">
        <v>594</v>
      </c>
      <c r="D2595" s="2" t="str">
        <f t="shared" si="39"/>
        <v>Error?</v>
      </c>
    </row>
    <row r="2596" spans="1:4" x14ac:dyDescent="0.2">
      <c r="A2596" s="5">
        <v>2535</v>
      </c>
      <c r="B2596" s="138">
        <f>'Acct Summary 7-8'!F13</f>
        <v>12309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12309</v>
      </c>
      <c r="C2600" s="2" t="s">
        <v>594</v>
      </c>
      <c r="D2600" s="2" t="str">
        <f t="shared" si="39"/>
        <v>Error?</v>
      </c>
    </row>
    <row r="2601" spans="1:4" x14ac:dyDescent="0.2">
      <c r="A2601" s="5">
        <v>2540</v>
      </c>
      <c r="B2601" s="138">
        <f>'Acct Summary 7-8'!F20</f>
        <v>-242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99309</v>
      </c>
      <c r="C2789" s="2" t="s">
        <v>594</v>
      </c>
      <c r="D2789" s="2" t="str">
        <f t="shared" si="42"/>
        <v>Error?</v>
      </c>
    </row>
    <row r="2790" spans="1:4" x14ac:dyDescent="0.2">
      <c r="A2790" s="5">
        <v>2729</v>
      </c>
      <c r="B2790" s="138">
        <f>'Expenditures 15-22'!E102</f>
        <v>99309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43936</v>
      </c>
      <c r="D2855" s="2" t="str">
        <f t="shared" si="43"/>
        <v>Error?</v>
      </c>
    </row>
    <row r="2856" spans="1:4" x14ac:dyDescent="0.2">
      <c r="A2856" s="5">
        <v>2795</v>
      </c>
      <c r="B2856" s="138">
        <f>'ICR Computation 30'!E12</f>
        <v>18767</v>
      </c>
      <c r="D2856" s="2" t="str">
        <f t="shared" si="43"/>
        <v>Error?</v>
      </c>
    </row>
    <row r="2857" spans="1:4" x14ac:dyDescent="0.2">
      <c r="A2857" s="10">
        <v>2796</v>
      </c>
      <c r="D2857" s="2" t="str">
        <f t="shared" si="43"/>
        <v>OK</v>
      </c>
    </row>
    <row r="2858" spans="1:4" x14ac:dyDescent="0.2">
      <c r="A2858" s="5">
        <v>2797</v>
      </c>
      <c r="B2858" s="138">
        <f>'ICR Computation 30'!E13</f>
        <v>1655</v>
      </c>
      <c r="D2858" s="2" t="str">
        <f t="shared" si="43"/>
        <v>Error?</v>
      </c>
    </row>
    <row r="2859" spans="1:4" x14ac:dyDescent="0.2">
      <c r="A2859" s="10">
        <v>2798</v>
      </c>
      <c r="D2859" s="2" t="str">
        <f t="shared" si="43"/>
        <v>OK</v>
      </c>
    </row>
    <row r="2860" spans="1:4" x14ac:dyDescent="0.2">
      <c r="A2860" s="5">
        <v>2799</v>
      </c>
      <c r="B2860" s="138">
        <f>'ICR Computation 30'!E14</f>
        <v>31290</v>
      </c>
      <c r="D2860" s="2" t="str">
        <f t="shared" si="43"/>
        <v>Error?</v>
      </c>
    </row>
    <row r="2861" spans="1:4" x14ac:dyDescent="0.2">
      <c r="A2861" s="10">
        <v>2800</v>
      </c>
      <c r="D2861" s="2" t="str">
        <f t="shared" si="43"/>
        <v>OK</v>
      </c>
    </row>
    <row r="2862" spans="1:4" x14ac:dyDescent="0.2">
      <c r="A2862" s="5">
        <v>2801</v>
      </c>
      <c r="B2862" s="138">
        <f>'ICR Computation 30'!E9</f>
        <v>260872</v>
      </c>
      <c r="D2862" s="2" t="str">
        <f t="shared" si="43"/>
        <v>Error?</v>
      </c>
    </row>
    <row r="2863" spans="1:4" x14ac:dyDescent="0.2">
      <c r="A2863" s="10">
        <v>2802</v>
      </c>
      <c r="D2863" s="2" t="str">
        <f t="shared" si="43"/>
        <v>OK</v>
      </c>
    </row>
    <row r="2864" spans="1:4" x14ac:dyDescent="0.2">
      <c r="A2864" s="5">
        <v>2803</v>
      </c>
      <c r="B2864" s="138">
        <f>'Assets-Liab 5-6'!M20</f>
        <v>134002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14625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14625</v>
      </c>
      <c r="D2914" s="2" t="str">
        <f t="shared" si="44"/>
        <v>Error?</v>
      </c>
    </row>
    <row r="2915" spans="1:4" x14ac:dyDescent="0.2">
      <c r="A2915" s="10">
        <v>2854</v>
      </c>
      <c r="D2915" s="2" t="str">
        <f t="shared" si="44"/>
        <v>OK</v>
      </c>
    </row>
    <row r="2916" spans="1:4" x14ac:dyDescent="0.2">
      <c r="A2916" s="5">
        <v>2855</v>
      </c>
      <c r="B2916" s="138">
        <f>'Assets-Liab 5-6'!L34</f>
        <v>14625</v>
      </c>
      <c r="C2916" s="2" t="s">
        <v>594</v>
      </c>
      <c r="D2916" s="2" t="str">
        <f t="shared" si="44"/>
        <v>Error?</v>
      </c>
    </row>
    <row r="2917" spans="1:4" x14ac:dyDescent="0.2">
      <c r="A2917" s="5">
        <v>2856</v>
      </c>
      <c r="B2917" s="138">
        <f>'Assets-Liab 5-6'!L41</f>
        <v>14625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99309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99309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71565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1644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1211954</v>
      </c>
      <c r="D3366" s="2" t="str">
        <f t="shared" si="51"/>
        <v>Error?</v>
      </c>
    </row>
    <row r="3367" spans="1:4" x14ac:dyDescent="0.2">
      <c r="A3367" s="5">
        <v>3306</v>
      </c>
      <c r="B3367" s="138">
        <f>'Expenditures 15-22'!C19</f>
        <v>68866</v>
      </c>
      <c r="D3367" s="2" t="str">
        <f t="shared" si="51"/>
        <v>Error?</v>
      </c>
    </row>
    <row r="3368" spans="1:4" x14ac:dyDescent="0.2">
      <c r="A3368" s="5">
        <v>3307</v>
      </c>
      <c r="B3368" s="138">
        <f>'Expenditures 15-22'!D8</f>
        <v>464635</v>
      </c>
      <c r="D3368" s="2" t="str">
        <f t="shared" si="51"/>
        <v>Error?</v>
      </c>
    </row>
    <row r="3369" spans="1:4" x14ac:dyDescent="0.2">
      <c r="A3369" s="5">
        <v>3308</v>
      </c>
      <c r="B3369" s="138">
        <f>'Expenditures 15-22'!D19</f>
        <v>24976</v>
      </c>
      <c r="D3369" s="2" t="str">
        <f t="shared" si="51"/>
        <v>Error?</v>
      </c>
    </row>
    <row r="3370" spans="1:4" x14ac:dyDescent="0.2">
      <c r="A3370" s="5">
        <v>3309</v>
      </c>
      <c r="B3370" s="138">
        <f>'Expenditures 15-22'!E8</f>
        <v>29230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13422</v>
      </c>
      <c r="D3372" s="2" t="str">
        <f t="shared" si="51"/>
        <v>Error?</v>
      </c>
    </row>
    <row r="3373" spans="1:4" x14ac:dyDescent="0.2">
      <c r="A3373" s="5">
        <v>3312</v>
      </c>
      <c r="B3373" s="138">
        <f>'Expenditures 15-22'!F19</f>
        <v>201</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1719241</v>
      </c>
      <c r="C3380" s="2" t="s">
        <v>594</v>
      </c>
      <c r="D3380" s="2" t="str">
        <f t="shared" si="51"/>
        <v>Error?</v>
      </c>
    </row>
    <row r="3381" spans="1:4" x14ac:dyDescent="0.2">
      <c r="A3381" s="5">
        <v>3320</v>
      </c>
      <c r="B3381" s="138">
        <f>'Expenditures 15-22'!K19</f>
        <v>94043</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507039</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628802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233792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24368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14625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36742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337444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7133933</v>
      </c>
      <c r="C4122" s="2" t="s">
        <v>594</v>
      </c>
      <c r="D4122" s="2" t="str">
        <f t="shared" si="63"/>
        <v>Error?</v>
      </c>
    </row>
    <row r="4123" spans="1:4" x14ac:dyDescent="0.2">
      <c r="A4123" s="5">
        <v>4062</v>
      </c>
      <c r="B4123" s="138">
        <f>'Acct Summary 7-8'!D10</f>
        <v>271180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12067</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337444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7062368</v>
      </c>
      <c r="C4136" s="2" t="s">
        <v>594</v>
      </c>
      <c r="D4136" s="2" t="str">
        <f t="shared" si="63"/>
        <v>Error?</v>
      </c>
    </row>
    <row r="4137" spans="1:4" x14ac:dyDescent="0.2">
      <c r="A4137" s="5">
        <v>4076</v>
      </c>
      <c r="B4137" s="138">
        <f>'Acct Summary 7-8'!D19</f>
        <v>269536</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12309</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1530</v>
      </c>
      <c r="C4171" s="2" t="s">
        <v>594</v>
      </c>
      <c r="D4171" s="2" t="str">
        <f t="shared" si="64"/>
        <v>Error?</v>
      </c>
    </row>
    <row r="4172" spans="1:4" x14ac:dyDescent="0.2">
      <c r="A4172" s="5">
        <v>4111</v>
      </c>
      <c r="B4172" s="138">
        <f>'Short-Term Long-Term Debt 24'!J49</f>
        <v>1530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1041678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41686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257674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238127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44242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1530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2989098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2989098</v>
      </c>
      <c r="C5087" s="2" t="s">
        <v>594</v>
      </c>
      <c r="D5087" s="2" t="str">
        <f t="shared" si="78"/>
        <v>Error?</v>
      </c>
    </row>
    <row r="5088" spans="1:4" x14ac:dyDescent="0.2">
      <c r="A5088" s="5">
        <v>5027</v>
      </c>
      <c r="B5088" s="138">
        <f>'Revenues 9-14'!C65</f>
        <v>5824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5824</v>
      </c>
      <c r="C5090" s="2" t="s">
        <v>594</v>
      </c>
      <c r="D5090" s="2" t="str">
        <f t="shared" si="78"/>
        <v>Error?</v>
      </c>
    </row>
    <row r="5091" spans="1:4" x14ac:dyDescent="0.2">
      <c r="A5091" s="5">
        <v>5030</v>
      </c>
      <c r="B5091" s="138">
        <f>'Revenues 9-14'!C70</f>
        <v>684</v>
      </c>
      <c r="D5091" s="2" t="str">
        <f t="shared" si="78"/>
        <v>Error?</v>
      </c>
    </row>
    <row r="5092" spans="1:4" x14ac:dyDescent="0.2">
      <c r="A5092" s="5">
        <v>5031</v>
      </c>
      <c r="B5092" s="138">
        <f>'Revenues 9-14'!C71</f>
        <v>155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1686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5035</v>
      </c>
      <c r="C5096" s="2" t="s">
        <v>594</v>
      </c>
      <c r="D5096" s="2" t="str">
        <f t="shared" si="78"/>
        <v>OK</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1365</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1365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217372</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27677</v>
      </c>
      <c r="D5119" s="2" t="str">
        <f t="shared" ref="D5119:D5182" si="79">IF(ISBLANK(B5119),"OK",IF(A5119-B5119=0,"OK","Error?"))</f>
        <v>Error?</v>
      </c>
    </row>
    <row r="5120" spans="1:4" x14ac:dyDescent="0.2">
      <c r="A5120" s="5">
        <v>5059</v>
      </c>
      <c r="B5120" s="138">
        <f>'Revenues 9-14'!C108</f>
        <v>483176</v>
      </c>
      <c r="C5120" s="2" t="s">
        <v>594</v>
      </c>
      <c r="D5120" s="2" t="str">
        <f t="shared" si="79"/>
        <v>Error?</v>
      </c>
    </row>
    <row r="5121" spans="1:4" x14ac:dyDescent="0.2">
      <c r="A5121" s="5">
        <v>5060</v>
      </c>
      <c r="B5121" s="138">
        <f>'Revenues 9-14'!C109</f>
        <v>3484498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507039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507039</v>
      </c>
      <c r="C5125" s="2" t="s">
        <v>594</v>
      </c>
      <c r="D5125" s="2" t="str">
        <f t="shared" si="79"/>
        <v>Error?</v>
      </c>
    </row>
    <row r="5126" spans="1:4" x14ac:dyDescent="0.2">
      <c r="A5126" s="5">
        <v>5065</v>
      </c>
      <c r="B5126" s="138">
        <f>'Revenues 9-14'!C117</f>
        <v>703855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703855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152269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152269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521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42310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195100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898955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26840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9902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36742</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41371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1414926</v>
      </c>
      <c r="D5278" s="2" t="str">
        <f t="shared" si="81"/>
        <v>Error?</v>
      </c>
    </row>
    <row r="5279" spans="1:4" x14ac:dyDescent="0.2">
      <c r="A5279" s="5">
        <v>5218</v>
      </c>
      <c r="B5279" s="138">
        <f>'Revenues 9-14'!C221</f>
        <v>69356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1525653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1905997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1905997</v>
      </c>
      <c r="C5326" s="2" t="s">
        <v>594</v>
      </c>
      <c r="D5326" s="2" t="str">
        <f t="shared" si="82"/>
        <v>Error?</v>
      </c>
    </row>
    <row r="5327" spans="1:4" x14ac:dyDescent="0.2">
      <c r="A5327" s="5">
        <v>5266</v>
      </c>
      <c r="B5327" s="138">
        <f>'Revenues 9-14'!C275</f>
        <v>6796489</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2549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2549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2000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2000</v>
      </c>
      <c r="C5355" s="2" t="s">
        <v>594</v>
      </c>
      <c r="D5355" s="2" t="str">
        <f t="shared" si="82"/>
        <v>Error?</v>
      </c>
    </row>
    <row r="5356" spans="1:4" x14ac:dyDescent="0.2">
      <c r="A5356" s="5">
        <v>5295</v>
      </c>
      <c r="B5356" s="138">
        <f>'Revenues 9-14'!D109</f>
        <v>4549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266631</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266631</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266631</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266631</v>
      </c>
      <c r="C5507" s="2" t="s">
        <v>594</v>
      </c>
      <c r="D5507" s="2" t="str">
        <f t="shared" si="85"/>
        <v>Error?</v>
      </c>
    </row>
    <row r="5508" spans="1:4" x14ac:dyDescent="0.2">
      <c r="A5508" s="5">
        <v>5447</v>
      </c>
      <c r="B5508" s="138">
        <f>'Revenues 9-14'!D275</f>
        <v>271180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11953</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11953</v>
      </c>
      <c r="C5579" s="2" t="s">
        <v>594</v>
      </c>
      <c r="D5579" s="2" t="str">
        <f t="shared" si="86"/>
        <v>Error?</v>
      </c>
    </row>
    <row r="5580" spans="1:4" x14ac:dyDescent="0.2">
      <c r="A5580" s="5">
        <v>5519</v>
      </c>
      <c r="B5580" s="138">
        <f>'Revenues 9-14'!F65</f>
        <v>114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12067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12067</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2510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3284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510098</v>
      </c>
      <c r="D6090" s="2" t="str">
        <f t="shared" si="94"/>
        <v>Error?</v>
      </c>
      <c r="E6090" s="2" t="s">
        <v>199</v>
      </c>
    </row>
    <row r="6091" spans="1:5" x14ac:dyDescent="0.2">
      <c r="A6091">
        <v>6030</v>
      </c>
      <c r="B6091" s="138">
        <f>'Assets-Liab 5-6'!D8</f>
        <v>140726</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1383</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13093</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404874</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71565</v>
      </c>
      <c r="D6267" s="2" t="str">
        <f t="shared" si="96"/>
        <v>Error?</v>
      </c>
      <c r="E6267" s="2" t="s">
        <v>199</v>
      </c>
    </row>
    <row r="6268" spans="1:5" x14ac:dyDescent="0.2">
      <c r="A6268">
        <v>6207</v>
      </c>
      <c r="B6268" s="138">
        <f>'Acct Summary 7-8'!D82</f>
        <v>1644</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-242</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0.11157467388203159</v>
      </c>
      <c r="D6276" s="2" t="str">
        <f t="shared" si="97"/>
        <v>Error?</v>
      </c>
      <c r="E6276" s="2" t="s">
        <v>199</v>
      </c>
    </row>
    <row r="6277" spans="1:5" x14ac:dyDescent="0.2">
      <c r="A6277">
        <v>6216</v>
      </c>
      <c r="B6277" s="138">
        <f>'Acct Summary 7-8'!D83</f>
        <v>4.3896421533811455E-3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-9.3976932934643313E-3</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55316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406886</v>
      </c>
      <c r="D6880" s="2" t="str">
        <f t="shared" si="106"/>
        <v>Error?</v>
      </c>
    </row>
    <row r="6881" spans="1:4" x14ac:dyDescent="0.2">
      <c r="A6881">
        <v>6820</v>
      </c>
      <c r="B6881" s="138">
        <f>'Expenditures 15-22'!K22</f>
        <v>406886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40235</v>
      </c>
      <c r="D6983" s="2" t="str">
        <f t="shared" si="108"/>
        <v>Error?</v>
      </c>
    </row>
    <row r="6984" spans="1:4" x14ac:dyDescent="0.2">
      <c r="A6984">
        <v>6923</v>
      </c>
      <c r="B6984" s="138">
        <f>'Expenditures 15-22'!K86</f>
        <v>40235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40235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507039</v>
      </c>
      <c r="D6998" s="2" t="str">
        <f t="shared" si="108"/>
        <v>Error?</v>
      </c>
    </row>
    <row r="6999" spans="1:4" x14ac:dyDescent="0.2">
      <c r="A6999">
        <v>6938</v>
      </c>
      <c r="B6999" s="138">
        <f>'Expenditures 15-22'!K94</f>
        <v>507039</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10834</v>
      </c>
      <c r="D7009" s="2" t="str">
        <f t="shared" si="108"/>
        <v>Error?</v>
      </c>
    </row>
    <row r="7010" spans="1:4" x14ac:dyDescent="0.2">
      <c r="A7010">
        <v>6949</v>
      </c>
      <c r="B7010" s="138">
        <f>'Expenditures 15-22'!K99</f>
        <v>10834</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517873</v>
      </c>
      <c r="D7012" s="2" t="str">
        <f t="shared" si="108"/>
        <v>Error?</v>
      </c>
    </row>
    <row r="7013" spans="1:4" x14ac:dyDescent="0.2">
      <c r="A7013">
        <v>6952</v>
      </c>
      <c r="B7013" s="138">
        <f>'Expenditures 15-22'!K100</f>
        <v>517873</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55316</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61015</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61015</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61015</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66997</v>
      </c>
      <c r="D7619" s="2" t="str">
        <f t="shared" si="124"/>
        <v>Error?</v>
      </c>
      <c r="E7619" s="2" t="s">
        <v>19</v>
      </c>
    </row>
    <row r="7620" spans="1:5" x14ac:dyDescent="0.2">
      <c r="A7620">
        <f t="shared" si="123"/>
        <v>7559</v>
      </c>
      <c r="B7620" s="138">
        <f>'Cap Outlay Deprec 26'!I14</f>
        <v>26451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93448</v>
      </c>
      <c r="D7622" s="2" t="str">
        <f t="shared" si="124"/>
        <v>Error?</v>
      </c>
      <c r="E7622" s="2" t="s">
        <v>19</v>
      </c>
    </row>
    <row r="7623" spans="1:5" x14ac:dyDescent="0.2">
      <c r="A7623">
        <f t="shared" si="123"/>
        <v>7562</v>
      </c>
      <c r="B7623" s="138">
        <f>'Cap Outlay Deprec 26'!L14</f>
        <v>-93448</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79357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137871</v>
      </c>
      <c r="D7797" s="2" t="str">
        <f t="shared" si="127"/>
        <v>Error?</v>
      </c>
      <c r="E7797" s="4" t="s">
        <v>2017</v>
      </c>
    </row>
    <row r="7798" spans="1:5" x14ac:dyDescent="0.2">
      <c r="A7798">
        <v>7737</v>
      </c>
      <c r="B7798" s="138">
        <f>'Contracts Paid in CY 29'!F141</f>
        <v>100000</v>
      </c>
      <c r="D7798" s="2" t="str">
        <f t="shared" si="127"/>
        <v>Error?</v>
      </c>
      <c r="E7798" s="4" t="s">
        <v>2017</v>
      </c>
    </row>
    <row r="7799" spans="1:5" x14ac:dyDescent="0.2">
      <c r="A7799">
        <v>7738</v>
      </c>
      <c r="B7799" s="138">
        <f>'Contracts Paid in CY 29'!G141</f>
        <v>37871</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topLeftCell="A7" workbookViewId="0">
      <selection activeCell="A17" sqref="A17:K1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503" t="s">
        <v>1253</v>
      </c>
      <c r="B2" s="2503"/>
      <c r="C2" s="2503"/>
      <c r="D2" s="2503"/>
      <c r="E2" s="2503"/>
      <c r="F2" s="2503"/>
      <c r="G2" s="2503"/>
      <c r="H2" s="2503"/>
      <c r="I2" s="2503"/>
      <c r="J2" s="2503"/>
      <c r="K2" s="2503"/>
      <c r="L2" s="2503"/>
    </row>
    <row r="3" spans="1:29" ht="13.5" customHeight="1" x14ac:dyDescent="0.2">
      <c r="A3" s="2534" t="s">
        <v>1252</v>
      </c>
      <c r="B3" s="2534"/>
      <c r="C3" s="2534"/>
      <c r="D3" s="2534"/>
      <c r="E3" s="2534"/>
      <c r="F3" s="2534"/>
      <c r="G3" s="2534"/>
      <c r="H3" s="2534"/>
      <c r="I3" s="2534"/>
      <c r="J3" s="2534"/>
      <c r="K3" s="2534"/>
      <c r="L3" s="2534"/>
    </row>
    <row r="4" spans="1:29" ht="13.5" customHeight="1" x14ac:dyDescent="0.2">
      <c r="A4" s="2503" t="s">
        <v>1799</v>
      </c>
      <c r="B4" s="2524"/>
      <c r="C4" s="2524"/>
      <c r="D4" s="2524"/>
      <c r="E4" s="2524"/>
      <c r="F4" s="2524"/>
      <c r="G4" s="2524"/>
      <c r="H4" s="2524"/>
      <c r="I4" s="2524"/>
      <c r="J4" s="2524"/>
      <c r="K4" s="2524"/>
      <c r="L4" s="252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525" t="str">
        <f>COVER!A17</f>
        <v>Ogle County Educational Cooperative</v>
      </c>
      <c r="B7" s="2526"/>
      <c r="C7" s="2526"/>
      <c r="D7" s="2527"/>
      <c r="E7" s="2528">
        <f>COVER!A13</f>
        <v>47071801060</v>
      </c>
      <c r="F7" s="2529"/>
      <c r="G7" s="2535" t="str">
        <f>COVER!T23</f>
        <v>066-004238</v>
      </c>
      <c r="H7" s="2536"/>
      <c r="I7" s="2536"/>
      <c r="J7" s="2536"/>
      <c r="K7" s="2536"/>
      <c r="L7" s="253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538"/>
      <c r="B9" s="2539"/>
      <c r="C9" s="2539"/>
      <c r="D9" s="2539"/>
      <c r="E9" s="2539"/>
      <c r="F9" s="2540"/>
      <c r="G9" s="2509" t="str">
        <f>COVER!T13</f>
        <v>Benning Group, LLC</v>
      </c>
      <c r="H9" s="2541"/>
      <c r="I9" s="2541"/>
      <c r="J9" s="2541"/>
      <c r="K9" s="2541"/>
      <c r="L9" s="2542"/>
    </row>
    <row r="10" spans="1:29" ht="13.5" customHeight="1" x14ac:dyDescent="0.2">
      <c r="A10" s="2515" t="str">
        <f>COVER!A38</f>
        <v>Matthew Zilm</v>
      </c>
      <c r="B10" s="2516"/>
      <c r="C10" s="2516"/>
      <c r="D10" s="2516"/>
      <c r="E10" s="2516"/>
      <c r="F10" s="2517"/>
      <c r="G10" s="2509" t="str">
        <f>COVER!T17</f>
        <v>50 W. Douglas Street, Suite 801</v>
      </c>
      <c r="H10" s="2510"/>
      <c r="I10" s="2510"/>
      <c r="J10" s="2510"/>
      <c r="K10" s="2510"/>
      <c r="L10" s="2511"/>
    </row>
    <row r="11" spans="1:29" ht="13.5" customHeight="1" x14ac:dyDescent="0.2">
      <c r="A11" s="1185" t="s">
        <v>1599</v>
      </c>
      <c r="B11" s="1186"/>
      <c r="C11" s="1187"/>
      <c r="D11" s="1192"/>
      <c r="E11" s="1187"/>
      <c r="F11" s="1191"/>
      <c r="G11" s="2509" t="str">
        <f>COVER!T19</f>
        <v>Freeport</v>
      </c>
      <c r="H11" s="2510"/>
      <c r="I11" s="2510"/>
      <c r="J11" s="2510"/>
      <c r="K11" s="2510"/>
      <c r="L11" s="2511"/>
    </row>
    <row r="12" spans="1:29" ht="13.5" customHeight="1" x14ac:dyDescent="0.2">
      <c r="A12" s="2518" t="s">
        <v>1598</v>
      </c>
      <c r="B12" s="2519"/>
      <c r="C12" s="2519"/>
      <c r="D12" s="2519"/>
      <c r="E12" s="2519"/>
      <c r="F12" s="2520"/>
      <c r="G12" s="2512"/>
      <c r="H12" s="2513"/>
      <c r="I12" s="2513"/>
      <c r="J12" s="2513"/>
      <c r="K12" s="2513"/>
      <c r="L12" s="2514"/>
    </row>
    <row r="13" spans="1:29" ht="13.5" customHeight="1" x14ac:dyDescent="0.2">
      <c r="A13" s="2509"/>
      <c r="B13" s="2510"/>
      <c r="C13" s="2510"/>
      <c r="D13" s="2510"/>
      <c r="E13" s="2510"/>
      <c r="F13" s="2511"/>
      <c r="G13" s="2504" t="s">
        <v>1600</v>
      </c>
      <c r="H13" s="2505"/>
      <c r="I13" s="2521" t="str">
        <f>COVER!T25</f>
        <v>jblocker@benninggroup.com</v>
      </c>
      <c r="J13" s="2522"/>
      <c r="K13" s="2522"/>
      <c r="L13" s="2523"/>
    </row>
    <row r="14" spans="1:29" ht="13.5" customHeight="1" x14ac:dyDescent="0.2">
      <c r="A14" s="2509" t="str">
        <f>COVER!A19</f>
        <v>417 N. Colfax, P.O. Box 582</v>
      </c>
      <c r="B14" s="2510"/>
      <c r="C14" s="2510"/>
      <c r="D14" s="2510"/>
      <c r="E14" s="2510"/>
      <c r="F14" s="2511"/>
      <c r="G14" s="1196" t="s">
        <v>1247</v>
      </c>
      <c r="H14" s="1194"/>
      <c r="I14" s="1194"/>
      <c r="J14" s="1194"/>
      <c r="K14" s="1194"/>
      <c r="L14" s="1195"/>
    </row>
    <row r="15" spans="1:29" ht="13.5" customHeight="1" x14ac:dyDescent="0.2">
      <c r="A15" s="2509" t="str">
        <f>COVER!A21</f>
        <v>Byron</v>
      </c>
      <c r="B15" s="2510"/>
      <c r="C15" s="2510"/>
      <c r="D15" s="2510"/>
      <c r="E15" s="2510"/>
      <c r="F15" s="2511"/>
      <c r="G15" s="2506" t="str">
        <f>COVER!T15</f>
        <v>Jenny L Blocker</v>
      </c>
      <c r="H15" s="2507"/>
      <c r="I15" s="2507"/>
      <c r="J15" s="2507"/>
      <c r="K15" s="2507"/>
      <c r="L15" s="2508"/>
    </row>
    <row r="16" spans="1:29" ht="12.2" customHeight="1" x14ac:dyDescent="0.2">
      <c r="A16" s="2531">
        <f>COVER!A25</f>
        <v>61010</v>
      </c>
      <c r="B16" s="2532"/>
      <c r="C16" s="2532"/>
      <c r="D16" s="2532"/>
      <c r="E16" s="2532"/>
      <c r="F16" s="2533"/>
      <c r="G16" s="2543"/>
      <c r="H16" s="2544"/>
      <c r="I16" s="2544"/>
      <c r="J16" s="2544"/>
      <c r="K16" s="2544"/>
      <c r="L16" s="2545"/>
    </row>
    <row r="17" spans="1:13" ht="12.2" customHeight="1" x14ac:dyDescent="0.2">
      <c r="A17" s="2546"/>
      <c r="B17" s="2532"/>
      <c r="C17" s="2532"/>
      <c r="D17" s="2532"/>
      <c r="E17" s="2532"/>
      <c r="F17" s="2533"/>
      <c r="G17" s="1196" t="s">
        <v>1246</v>
      </c>
      <c r="H17" s="1194"/>
      <c r="I17" s="1194"/>
      <c r="J17" s="1194"/>
      <c r="K17" s="1198" t="s">
        <v>1245</v>
      </c>
      <c r="L17" s="1191"/>
      <c r="M17" s="1184"/>
    </row>
    <row r="18" spans="1:13" ht="12.2" customHeight="1" x14ac:dyDescent="0.2">
      <c r="A18" s="2515"/>
      <c r="B18" s="2516"/>
      <c r="C18" s="2516"/>
      <c r="D18" s="2516"/>
      <c r="E18" s="2516"/>
      <c r="F18" s="2517"/>
      <c r="G18" s="2525" t="str">
        <f>COVER!T21</f>
        <v>(815) 235-3157</v>
      </c>
      <c r="H18" s="2526"/>
      <c r="I18" s="2526"/>
      <c r="J18" s="2526"/>
      <c r="K18" s="2525" t="str">
        <f>COVER!X21</f>
        <v>(815) 235-3158</v>
      </c>
      <c r="L18" s="253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t="s">
        <v>2074</v>
      </c>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workbookViewId="0">
      <selection activeCell="A17" sqref="A17:K1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547" t="str">
        <f>'Single Audit Cover'!A7</f>
        <v>Ogle County Educational Cooperative</v>
      </c>
      <c r="B1" s="2524"/>
      <c r="C1" s="2524"/>
      <c r="D1" s="2524"/>
    </row>
    <row r="2" spans="1:11" s="1215" customFormat="1" ht="12.75" x14ac:dyDescent="0.2">
      <c r="A2" s="2548">
        <f>'Single Audit Cover'!E7</f>
        <v>47071801060</v>
      </c>
      <c r="B2" s="2549"/>
      <c r="C2" s="2549"/>
      <c r="D2" s="2549"/>
    </row>
    <row r="3" spans="1:11" s="1215" customFormat="1" ht="12.75" x14ac:dyDescent="0.2">
      <c r="A3" s="2547" t="s">
        <v>1593</v>
      </c>
      <c r="B3" s="2524"/>
      <c r="C3" s="2524"/>
      <c r="D3" s="252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2074</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2074</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2074</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2074</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2074</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2074</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2074</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2074</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2096</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2074</v>
      </c>
      <c r="C42" s="1232">
        <v>11</v>
      </c>
      <c r="D42" s="1243" t="s">
        <v>1655</v>
      </c>
      <c r="E42" s="312"/>
    </row>
    <row r="43" spans="1:5" ht="3" customHeight="1" x14ac:dyDescent="0.2">
      <c r="A43" s="1222"/>
      <c r="B43" s="1239"/>
      <c r="C43" s="1240"/>
      <c r="D43" s="1221"/>
    </row>
    <row r="44" spans="1:5" x14ac:dyDescent="0.2">
      <c r="A44" s="1222"/>
      <c r="B44" s="1225" t="s">
        <v>2074</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2074</v>
      </c>
      <c r="C48" s="1226">
        <f>C44+1</f>
        <v>13</v>
      </c>
      <c r="D48" s="1237" t="s">
        <v>1656</v>
      </c>
    </row>
    <row r="49" spans="1:4" ht="3" customHeight="1" x14ac:dyDescent="0.2">
      <c r="A49" s="1222"/>
      <c r="B49" s="1229"/>
      <c r="C49" s="1226"/>
      <c r="D49" s="1237"/>
    </row>
    <row r="50" spans="1:4" x14ac:dyDescent="0.2">
      <c r="A50" s="1222"/>
      <c r="B50" s="1225" t="s">
        <v>2074</v>
      </c>
      <c r="C50" s="1226">
        <f>C48+1</f>
        <v>14</v>
      </c>
      <c r="D50" s="1237" t="s">
        <v>1274</v>
      </c>
    </row>
    <row r="51" spans="1:4" ht="3" customHeight="1" x14ac:dyDescent="0.2">
      <c r="A51" s="1222"/>
      <c r="B51" s="1229"/>
      <c r="C51" s="1226"/>
      <c r="D51" s="1237"/>
    </row>
    <row r="52" spans="1:4" x14ac:dyDescent="0.2">
      <c r="A52" s="1222"/>
      <c r="B52" s="1225" t="s">
        <v>2074</v>
      </c>
      <c r="C52" s="1226">
        <f>C50+1</f>
        <v>15</v>
      </c>
      <c r="D52" s="1237" t="s">
        <v>1273</v>
      </c>
    </row>
    <row r="53" spans="1:4" ht="3" customHeight="1" x14ac:dyDescent="0.2">
      <c r="A53" s="1222"/>
      <c r="B53" s="1229"/>
      <c r="C53" s="1226"/>
      <c r="D53" s="1237"/>
    </row>
    <row r="54" spans="1:4" x14ac:dyDescent="0.2">
      <c r="A54" s="1222"/>
      <c r="B54" s="1225" t="s">
        <v>2096</v>
      </c>
      <c r="C54" s="1226">
        <f>C52+1</f>
        <v>16</v>
      </c>
      <c r="D54" s="1237" t="s">
        <v>1272</v>
      </c>
    </row>
    <row r="55" spans="1:4" ht="3" customHeight="1" x14ac:dyDescent="0.2">
      <c r="A55" s="1222"/>
      <c r="B55" s="1229"/>
      <c r="C55" s="1226"/>
      <c r="D55" s="1237"/>
    </row>
    <row r="56" spans="1:4" x14ac:dyDescent="0.2">
      <c r="A56" s="1222"/>
      <c r="B56" s="1225" t="s">
        <v>2074</v>
      </c>
      <c r="C56" s="1226">
        <f>C54+1</f>
        <v>17</v>
      </c>
      <c r="D56" s="1221" t="s">
        <v>1811</v>
      </c>
    </row>
    <row r="57" spans="1:4" ht="10.5" customHeight="1" x14ac:dyDescent="0.2">
      <c r="A57" s="1222"/>
      <c r="D57" s="1237" t="s">
        <v>1812</v>
      </c>
    </row>
    <row r="58" spans="1:4" x14ac:dyDescent="0.2">
      <c r="A58" s="1222"/>
      <c r="C58" s="1244" t="s">
        <v>2074</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2096</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2096</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2096</v>
      </c>
      <c r="D69" s="1237" t="s">
        <v>1816</v>
      </c>
    </row>
    <row r="70" spans="1:4" x14ac:dyDescent="0.2">
      <c r="A70" s="1222"/>
      <c r="D70" s="1246" t="s">
        <v>1268</v>
      </c>
    </row>
    <row r="71" spans="1:4" ht="3" customHeight="1" x14ac:dyDescent="0.2">
      <c r="A71" s="1222"/>
      <c r="D71" s="1221"/>
    </row>
    <row r="72" spans="1:4" x14ac:dyDescent="0.2">
      <c r="A72" s="1222"/>
      <c r="B72" s="1225" t="s">
        <v>2074</v>
      </c>
      <c r="C72" s="1226">
        <f>C56+1</f>
        <v>18</v>
      </c>
      <c r="D72" s="1247" t="s">
        <v>1817</v>
      </c>
    </row>
    <row r="73" spans="1:4" ht="3" customHeight="1" x14ac:dyDescent="0.2">
      <c r="A73" s="1222"/>
      <c r="B73" s="1229"/>
      <c r="C73" s="1226"/>
      <c r="D73" s="1247"/>
    </row>
    <row r="74" spans="1:4" x14ac:dyDescent="0.2">
      <c r="A74" s="1222"/>
      <c r="B74" s="1225" t="s">
        <v>2074</v>
      </c>
      <c r="C74" s="1226">
        <f>C72+1</f>
        <v>19</v>
      </c>
      <c r="D74" s="1237" t="s">
        <v>1267</v>
      </c>
    </row>
    <row r="75" spans="1:4" ht="3" customHeight="1" x14ac:dyDescent="0.2">
      <c r="A75" s="1222"/>
      <c r="B75" s="1229"/>
      <c r="C75" s="1226"/>
      <c r="D75" s="1237"/>
    </row>
    <row r="76" spans="1:4" x14ac:dyDescent="0.2">
      <c r="A76" s="1222"/>
      <c r="B76" s="1225" t="s">
        <v>2074</v>
      </c>
      <c r="C76" s="1226">
        <f>C74+1</f>
        <v>20</v>
      </c>
      <c r="D76" s="1248" t="s">
        <v>1818</v>
      </c>
    </row>
    <row r="77" spans="1:4" ht="3" customHeight="1" x14ac:dyDescent="0.2">
      <c r="A77" s="1222"/>
      <c r="B77" s="1229"/>
      <c r="C77" s="1226"/>
      <c r="D77" s="1248"/>
    </row>
    <row r="78" spans="1:4" x14ac:dyDescent="0.2">
      <c r="A78" s="1222"/>
      <c r="B78" s="1225" t="s">
        <v>2074</v>
      </c>
      <c r="C78" s="1226">
        <f>C76+1</f>
        <v>21</v>
      </c>
      <c r="D78" s="1221" t="s">
        <v>1819</v>
      </c>
    </row>
    <row r="79" spans="1:4" ht="3" customHeight="1" x14ac:dyDescent="0.2">
      <c r="A79" s="1222"/>
      <c r="B79" s="1229"/>
      <c r="C79" s="1226"/>
      <c r="D79" s="1221"/>
    </row>
    <row r="80" spans="1:4" x14ac:dyDescent="0.2">
      <c r="A80" s="1222"/>
      <c r="B80" s="1225" t="s">
        <v>2074</v>
      </c>
      <c r="C80" s="1226">
        <f>C78+1</f>
        <v>22</v>
      </c>
      <c r="D80" s="1249" t="s">
        <v>1820</v>
      </c>
    </row>
    <row r="81" spans="1:4" ht="3" customHeight="1" x14ac:dyDescent="0.2">
      <c r="A81" s="1222"/>
      <c r="B81" s="1229"/>
      <c r="C81" s="1226"/>
      <c r="D81" s="1249"/>
    </row>
    <row r="82" spans="1:4" x14ac:dyDescent="0.2">
      <c r="A82" s="1222"/>
      <c r="B82" s="1225" t="s">
        <v>2074</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2074</v>
      </c>
      <c r="C85" s="1226">
        <f>C82+1</f>
        <v>24</v>
      </c>
      <c r="D85" s="1237" t="s">
        <v>1265</v>
      </c>
    </row>
    <row r="86" spans="1:4" ht="3" customHeight="1" x14ac:dyDescent="0.2">
      <c r="A86" s="1222"/>
      <c r="B86" s="1229"/>
      <c r="C86" s="1226"/>
      <c r="D86" s="1237"/>
    </row>
    <row r="87" spans="1:4" x14ac:dyDescent="0.2">
      <c r="A87" s="1222"/>
      <c r="B87" s="1225" t="s">
        <v>2074</v>
      </c>
      <c r="C87" s="1226">
        <f>C85+1</f>
        <v>25</v>
      </c>
      <c r="D87" s="1237" t="s">
        <v>1264</v>
      </c>
    </row>
    <row r="88" spans="1:4" ht="3" customHeight="1" x14ac:dyDescent="0.2">
      <c r="A88" s="1222"/>
      <c r="B88" s="1229"/>
      <c r="C88" s="1226"/>
      <c r="D88" s="1237"/>
    </row>
    <row r="89" spans="1:4" x14ac:dyDescent="0.2">
      <c r="A89" s="1222"/>
      <c r="B89" s="1225" t="s">
        <v>2074</v>
      </c>
      <c r="C89" s="1226">
        <f>C87+1</f>
        <v>26</v>
      </c>
      <c r="D89" s="1237" t="s">
        <v>1263</v>
      </c>
    </row>
    <row r="90" spans="1:4" ht="3" customHeight="1" x14ac:dyDescent="0.2">
      <c r="A90" s="1222"/>
      <c r="B90" s="1229"/>
      <c r="C90" s="1226"/>
      <c r="D90" s="1237"/>
    </row>
    <row r="91" spans="1:4" x14ac:dyDescent="0.2">
      <c r="A91" s="1222"/>
      <c r="B91" s="1225" t="s">
        <v>2074</v>
      </c>
      <c r="C91" s="1226">
        <f>C89+1</f>
        <v>27</v>
      </c>
      <c r="D91" s="1237" t="s">
        <v>1822</v>
      </c>
    </row>
    <row r="92" spans="1:4" x14ac:dyDescent="0.2">
      <c r="A92" s="1222"/>
      <c r="B92" s="1250"/>
      <c r="C92" s="1244" t="s">
        <v>2096</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2074</v>
      </c>
      <c r="C96" s="1226">
        <f>C91+1</f>
        <v>28</v>
      </c>
      <c r="D96" s="1237" t="s">
        <v>1823</v>
      </c>
    </row>
    <row r="97" spans="1:4" ht="3" customHeight="1" x14ac:dyDescent="0.2">
      <c r="A97" s="1222"/>
      <c r="B97" s="1229"/>
      <c r="C97" s="1226"/>
      <c r="D97" s="1237"/>
    </row>
    <row r="98" spans="1:4" x14ac:dyDescent="0.2">
      <c r="A98" s="1222"/>
      <c r="B98" s="1225" t="s">
        <v>2074</v>
      </c>
      <c r="C98" s="1226">
        <f>C96+1</f>
        <v>29</v>
      </c>
      <c r="D98" s="1251" t="s">
        <v>1824</v>
      </c>
    </row>
    <row r="99" spans="1:4" ht="3" customHeight="1" x14ac:dyDescent="0.2">
      <c r="A99" s="1222"/>
      <c r="B99" s="1229"/>
      <c r="C99" s="1226"/>
      <c r="D99" s="1251"/>
    </row>
    <row r="100" spans="1:4" x14ac:dyDescent="0.2">
      <c r="A100" s="1222"/>
      <c r="B100" s="1225" t="s">
        <v>2074</v>
      </c>
      <c r="C100" s="1226">
        <f>C98+1</f>
        <v>30</v>
      </c>
      <c r="D100" s="1237" t="s">
        <v>1825</v>
      </c>
    </row>
    <row r="101" spans="1:4" ht="3" customHeight="1" x14ac:dyDescent="0.2">
      <c r="A101" s="1222"/>
      <c r="B101" s="1229"/>
      <c r="C101" s="1226"/>
      <c r="D101" s="1252"/>
    </row>
    <row r="102" spans="1:4" x14ac:dyDescent="0.2">
      <c r="A102" s="1222"/>
      <c r="B102" s="1225" t="s">
        <v>2074</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2074</v>
      </c>
      <c r="C106" s="1226">
        <f>C102+1</f>
        <v>32</v>
      </c>
      <c r="D106" s="1221" t="s">
        <v>1661</v>
      </c>
    </row>
    <row r="107" spans="1:4" ht="3" customHeight="1" x14ac:dyDescent="0.2">
      <c r="A107" s="1222"/>
      <c r="B107" s="1229"/>
      <c r="C107" s="1226"/>
      <c r="D107" s="1221"/>
    </row>
    <row r="108" spans="1:4" x14ac:dyDescent="0.2">
      <c r="A108" s="1222"/>
      <c r="B108" s="1225" t="s">
        <v>2074</v>
      </c>
      <c r="C108" s="1226">
        <v>33</v>
      </c>
      <c r="D108" s="1221" t="s">
        <v>1826</v>
      </c>
    </row>
    <row r="109" spans="1:4" ht="3" customHeight="1" x14ac:dyDescent="0.2">
      <c r="A109" s="1222"/>
      <c r="B109" s="1229"/>
      <c r="C109" s="1226"/>
      <c r="D109" s="1221"/>
    </row>
    <row r="110" spans="1:4" x14ac:dyDescent="0.2">
      <c r="A110" s="1222"/>
      <c r="B110" s="1225" t="s">
        <v>2074</v>
      </c>
      <c r="C110" s="1226">
        <f>C108+1</f>
        <v>34</v>
      </c>
      <c r="D110" s="1221" t="s">
        <v>1260</v>
      </c>
    </row>
    <row r="111" spans="1:4" ht="3" customHeight="1" x14ac:dyDescent="0.2">
      <c r="A111" s="1222"/>
      <c r="B111" s="1229"/>
      <c r="C111" s="1226"/>
      <c r="D111" s="1221"/>
    </row>
    <row r="112" spans="1:4" x14ac:dyDescent="0.2">
      <c r="A112" s="1222"/>
      <c r="B112" s="1225" t="s">
        <v>2074</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2096</v>
      </c>
      <c r="C115" s="1226">
        <f>C112+1</f>
        <v>36</v>
      </c>
      <c r="D115" s="1237" t="s">
        <v>1257</v>
      </c>
    </row>
    <row r="116" spans="1:4" ht="3" customHeight="1" x14ac:dyDescent="0.2">
      <c r="A116" s="1222"/>
      <c r="B116" s="1229"/>
      <c r="C116" s="1226"/>
      <c r="D116" s="1237"/>
    </row>
    <row r="117" spans="1:4" x14ac:dyDescent="0.2">
      <c r="A117" s="1222"/>
      <c r="B117" s="1225" t="s">
        <v>2096</v>
      </c>
      <c r="C117" s="1226">
        <f>C115+1</f>
        <v>37</v>
      </c>
      <c r="D117" s="1237" t="s">
        <v>1827</v>
      </c>
    </row>
    <row r="118" spans="1:4" ht="3" customHeight="1" x14ac:dyDescent="0.2">
      <c r="A118" s="1222"/>
      <c r="B118" s="1229"/>
      <c r="C118" s="1226"/>
      <c r="D118" s="1237"/>
    </row>
    <row r="119" spans="1:4" x14ac:dyDescent="0.2">
      <c r="A119" s="1222"/>
      <c r="B119" s="1225" t="s">
        <v>2096</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2074</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551" t="str">
        <f>'Single Audit Cover'!A7</f>
        <v>Ogle County Educational Cooperative</v>
      </c>
      <c r="B1" s="2551"/>
      <c r="C1" s="2551"/>
      <c r="D1" s="2551"/>
      <c r="E1" s="2551"/>
    </row>
    <row r="2" spans="1:5" x14ac:dyDescent="0.2">
      <c r="A2" s="2552">
        <f>'Single Audit Cover'!E7</f>
        <v>47071801060</v>
      </c>
      <c r="B2" s="2552"/>
      <c r="C2" s="2552"/>
      <c r="D2" s="2552"/>
      <c r="E2" s="2552"/>
    </row>
    <row r="3" spans="1:5" ht="4.5" customHeight="1" x14ac:dyDescent="0.2"/>
    <row r="4" spans="1:5" x14ac:dyDescent="0.2">
      <c r="A4" s="2551" t="s">
        <v>1307</v>
      </c>
      <c r="B4" s="2551"/>
      <c r="C4" s="2551"/>
      <c r="D4" s="2551"/>
      <c r="E4" s="2551"/>
    </row>
    <row r="5" spans="1:5" x14ac:dyDescent="0.2">
      <c r="A5" s="2554" t="str">
        <f>'Single Audit Cover'!A4</f>
        <v>Year Ending June 30, 2018</v>
      </c>
      <c r="B5" s="2554"/>
      <c r="C5" s="2554"/>
      <c r="D5" s="2554"/>
      <c r="E5" s="2554"/>
    </row>
    <row r="6" spans="1:5" x14ac:dyDescent="0.2">
      <c r="A6" s="2551" t="s">
        <v>1306</v>
      </c>
      <c r="B6" s="2551"/>
      <c r="C6" s="2551"/>
      <c r="D6" s="2551"/>
      <c r="E6" s="2551"/>
    </row>
    <row r="8" spans="1:5" x14ac:dyDescent="0.2">
      <c r="A8" s="1260" t="s">
        <v>1305</v>
      </c>
    </row>
    <row r="10" spans="1:5" x14ac:dyDescent="0.2">
      <c r="A10" s="1261" t="s">
        <v>1304</v>
      </c>
      <c r="B10" s="1262" t="s">
        <v>1303</v>
      </c>
      <c r="C10" s="1262"/>
      <c r="D10" s="1263">
        <f>SUM('Acct Summary 7-8'!C7:K7)</f>
        <v>2172628</v>
      </c>
    </row>
    <row r="11" spans="1:5" ht="18" customHeight="1" x14ac:dyDescent="0.2">
      <c r="A11" s="1261" t="s">
        <v>1302</v>
      </c>
      <c r="B11" s="1262"/>
      <c r="C11" s="1262"/>
    </row>
    <row r="12" spans="1:5" x14ac:dyDescent="0.2">
      <c r="A12" s="1261" t="s">
        <v>1301</v>
      </c>
      <c r="B12" s="1262" t="s">
        <v>1300</v>
      </c>
      <c r="C12" s="1262"/>
      <c r="D12" s="1264">
        <f>SUM('Revenues 9-14'!C112:D112,'Revenues 9-14'!F112:G112)</f>
        <v>507039</v>
      </c>
    </row>
    <row r="13" spans="1:5" x14ac:dyDescent="0.2">
      <c r="A13" s="1261" t="s">
        <v>1299</v>
      </c>
      <c r="B13" s="1262"/>
      <c r="C13" s="1262"/>
    </row>
    <row r="14" spans="1:5" x14ac:dyDescent="0.2">
      <c r="A14" s="1261" t="s">
        <v>1830</v>
      </c>
      <c r="B14" s="1262"/>
      <c r="C14" s="1262"/>
      <c r="D14" s="1264">
        <f>'ICR Computation 30'!E11</f>
        <v>3284</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-257674</v>
      </c>
    </row>
    <row r="19" spans="1:4" ht="13.5" thickBot="1" x14ac:dyDescent="0.25">
      <c r="A19" s="1265" t="s">
        <v>1297</v>
      </c>
      <c r="D19" s="1266">
        <f>SUM(D10:D17)</f>
        <v>2425277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553"/>
      <c r="B24" s="2553"/>
      <c r="D24" s="1268"/>
    </row>
    <row r="25" spans="1:4" x14ac:dyDescent="0.2">
      <c r="A25" s="2550"/>
      <c r="B25" s="2550"/>
      <c r="D25" s="1268"/>
    </row>
    <row r="26" spans="1:4" x14ac:dyDescent="0.2">
      <c r="A26" s="2550"/>
      <c r="B26" s="2550"/>
      <c r="D26" s="1268"/>
    </row>
    <row r="27" spans="1:4" x14ac:dyDescent="0.2">
      <c r="A27" s="2550"/>
      <c r="B27" s="2550"/>
      <c r="D27" s="1268"/>
    </row>
    <row r="28" spans="1:4" x14ac:dyDescent="0.2">
      <c r="A28" s="2550"/>
      <c r="B28" s="2550"/>
      <c r="D28" s="1268"/>
    </row>
    <row r="29" spans="1:4" x14ac:dyDescent="0.2">
      <c r="A29" s="2550"/>
      <c r="B29" s="2550"/>
      <c r="D29" s="1268"/>
    </row>
    <row r="30" spans="1:4" x14ac:dyDescent="0.2">
      <c r="A30" s="2550"/>
      <c r="B30" s="2550"/>
      <c r="D30" s="1268"/>
    </row>
    <row r="32" spans="1:4" x14ac:dyDescent="0.2">
      <c r="A32" s="1260" t="s">
        <v>1295</v>
      </c>
      <c r="D32" s="1263">
        <f>SUM(D19:D30)</f>
        <v>2425277</v>
      </c>
    </row>
    <row r="33" spans="1:4" x14ac:dyDescent="0.2">
      <c r="D33" s="1269"/>
    </row>
    <row r="34" spans="1:4" x14ac:dyDescent="0.2">
      <c r="A34" s="317" t="s">
        <v>1294</v>
      </c>
    </row>
    <row r="35" spans="1:4" x14ac:dyDescent="0.2">
      <c r="A35" s="317" t="s">
        <v>1293</v>
      </c>
      <c r="B35" s="1258" t="s">
        <v>1292</v>
      </c>
      <c r="D35" s="1270">
        <v>2425277</v>
      </c>
    </row>
    <row r="37" spans="1:4" x14ac:dyDescent="0.2">
      <c r="A37" s="1260" t="s">
        <v>1291</v>
      </c>
    </row>
    <row r="39" spans="1:4" ht="13.35" customHeight="1" x14ac:dyDescent="0.2">
      <c r="A39" s="1267" t="s">
        <v>1290</v>
      </c>
    </row>
    <row r="40" spans="1:4" x14ac:dyDescent="0.2">
      <c r="A40" s="2550"/>
      <c r="B40" s="2550"/>
      <c r="D40" s="1268"/>
    </row>
    <row r="41" spans="1:4" x14ac:dyDescent="0.2">
      <c r="A41" s="2550"/>
      <c r="B41" s="2550"/>
      <c r="D41" s="1271"/>
    </row>
    <row r="42" spans="1:4" x14ac:dyDescent="0.2">
      <c r="A42" s="2550"/>
      <c r="B42" s="2550"/>
      <c r="D42" s="1271"/>
    </row>
    <row r="43" spans="1:4" x14ac:dyDescent="0.2">
      <c r="A43" s="2550"/>
      <c r="B43" s="2550"/>
      <c r="D43" s="1271"/>
    </row>
    <row r="44" spans="1:4" x14ac:dyDescent="0.2">
      <c r="A44" s="2550"/>
      <c r="B44" s="2550"/>
      <c r="D44" s="1271"/>
    </row>
    <row r="45" spans="1:4" x14ac:dyDescent="0.2">
      <c r="A45" s="2550"/>
      <c r="B45" s="2550"/>
      <c r="D45" s="1271"/>
    </row>
    <row r="47" spans="1:4" x14ac:dyDescent="0.2">
      <c r="B47" s="1272" t="s">
        <v>1289</v>
      </c>
      <c r="C47" s="1272"/>
      <c r="D47" s="1273">
        <f>SUM(D35:D45)</f>
        <v>2425277</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workbookViewId="0">
      <selection activeCell="A17" sqref="A17:K17"/>
    </sheetView>
  </sheetViews>
  <sheetFormatPr defaultColWidth="8" defaultRowHeight="12.75" x14ac:dyDescent="0.2"/>
  <cols>
    <col min="1" max="1" width="1.42578125" style="1964" customWidth="1"/>
    <col min="2" max="2" width="53.28515625" style="1964" customWidth="1"/>
    <col min="3" max="3" width="14" style="1968" customWidth="1"/>
    <col min="4" max="4" width="16.7109375" style="1968" customWidth="1"/>
    <col min="5" max="5" width="7.5703125" style="1964" customWidth="1"/>
    <col min="6" max="6" width="2.7109375" style="1964" customWidth="1"/>
    <col min="7" max="7" width="3.28515625" style="1964" customWidth="1"/>
    <col min="8" max="16384" width="8" style="1964"/>
  </cols>
  <sheetData>
    <row r="1" spans="1:7" ht="13.5" customHeight="1" x14ac:dyDescent="0.2">
      <c r="A1" s="2556" t="str">
        <f>'Single Audit Cover'!A7</f>
        <v>Ogle County Educational Cooperative</v>
      </c>
      <c r="B1" s="2556"/>
      <c r="C1" s="2556"/>
      <c r="D1" s="2556"/>
      <c r="E1" s="2556"/>
      <c r="F1" s="2556"/>
    </row>
    <row r="2" spans="1:7" ht="13.5" customHeight="1" x14ac:dyDescent="0.2">
      <c r="A2" s="2557">
        <f>'Single Audit Cover'!E7</f>
        <v>47071801060</v>
      </c>
      <c r="B2" s="2557"/>
      <c r="C2" s="2557"/>
      <c r="D2" s="2557"/>
      <c r="E2" s="2557"/>
      <c r="F2" s="2557"/>
      <c r="G2" s="1970"/>
    </row>
    <row r="3" spans="1:7" ht="15.75" customHeight="1" x14ac:dyDescent="0.2">
      <c r="A3" s="2558" t="s">
        <v>1333</v>
      </c>
      <c r="B3" s="2558"/>
      <c r="C3" s="2558"/>
      <c r="D3" s="2558"/>
      <c r="E3" s="2558"/>
      <c r="F3" s="2558"/>
    </row>
    <row r="4" spans="1:7" ht="13.5" customHeight="1" x14ac:dyDescent="0.2">
      <c r="A4" s="2559" t="str">
        <f>'Single Audit Cover'!A4</f>
        <v>Year Ending June 30, 2018</v>
      </c>
      <c r="B4" s="2559"/>
      <c r="C4" s="2559"/>
      <c r="D4" s="2559"/>
      <c r="E4" s="2559"/>
      <c r="F4" s="2559"/>
    </row>
    <row r="5" spans="1:7" ht="8.25" customHeight="1" x14ac:dyDescent="0.2">
      <c r="C5" s="1964"/>
      <c r="D5" s="1964"/>
    </row>
    <row r="6" spans="1:7" ht="13.5" customHeight="1" x14ac:dyDescent="0.2">
      <c r="A6" s="1971" t="s">
        <v>1831</v>
      </c>
      <c r="C6" s="1964"/>
      <c r="D6" s="1964"/>
    </row>
    <row r="7" spans="1:7" ht="60.95" customHeight="1" x14ac:dyDescent="0.2">
      <c r="A7" s="2555" t="s">
        <v>2121</v>
      </c>
      <c r="B7" s="2555"/>
      <c r="C7" s="2555"/>
      <c r="D7" s="2555"/>
      <c r="E7" s="2555"/>
      <c r="F7" s="2555"/>
    </row>
    <row r="8" spans="1:7" ht="12" customHeight="1" x14ac:dyDescent="0.2">
      <c r="A8" s="1971"/>
      <c r="B8" s="1977"/>
      <c r="C8" s="1977"/>
      <c r="D8" s="1977"/>
    </row>
    <row r="9" spans="1:7" ht="15" customHeight="1" x14ac:dyDescent="0.2">
      <c r="A9" s="1972" t="s">
        <v>1832</v>
      </c>
      <c r="B9" s="1975"/>
      <c r="C9" s="1975"/>
      <c r="D9" s="1975"/>
      <c r="E9" s="1973"/>
      <c r="F9" s="1973"/>
      <c r="G9" s="1973"/>
    </row>
    <row r="10" spans="1:7" ht="15" customHeight="1" x14ac:dyDescent="0.2">
      <c r="A10" s="1974" t="s">
        <v>1628</v>
      </c>
      <c r="B10" s="1975"/>
      <c r="C10" s="1976"/>
      <c r="D10" s="1975" t="s">
        <v>1629</v>
      </c>
      <c r="E10" s="1976" t="s">
        <v>2074</v>
      </c>
      <c r="F10" s="1975" t="s">
        <v>101</v>
      </c>
      <c r="G10" s="1973"/>
    </row>
    <row r="11" spans="1:7" ht="12" customHeight="1" x14ac:dyDescent="0.2">
      <c r="A11" s="1974"/>
      <c r="B11" s="1975"/>
      <c r="C11" s="2054"/>
      <c r="D11" s="1975"/>
      <c r="E11" s="2054"/>
      <c r="F11" s="1975"/>
      <c r="G11" s="1973"/>
    </row>
    <row r="12" spans="1:7" x14ac:dyDescent="0.2">
      <c r="A12" s="1971" t="s">
        <v>1669</v>
      </c>
      <c r="C12" s="1969"/>
      <c r="D12" s="1969"/>
    </row>
    <row r="13" spans="1:7" ht="21" customHeight="1" x14ac:dyDescent="0.2">
      <c r="A13" s="2555" t="s">
        <v>2120</v>
      </c>
      <c r="B13" s="2555"/>
      <c r="C13" s="2555"/>
      <c r="D13" s="2555"/>
      <c r="E13" s="2555"/>
      <c r="F13" s="2555"/>
    </row>
    <row r="14" spans="1:7" ht="9.75" customHeight="1" x14ac:dyDescent="0.2">
      <c r="C14" s="1969"/>
      <c r="D14" s="1969"/>
    </row>
    <row r="15" spans="1:7" ht="13.5" customHeight="1" x14ac:dyDescent="0.2">
      <c r="C15" s="2053" t="s">
        <v>1332</v>
      </c>
      <c r="D15" s="2561" t="s">
        <v>1331</v>
      </c>
      <c r="E15" s="2561"/>
      <c r="F15" s="2561"/>
    </row>
    <row r="16" spans="1:7" ht="13.5" customHeight="1" x14ac:dyDescent="0.2">
      <c r="A16" s="1977"/>
      <c r="B16" s="1971" t="s">
        <v>1330</v>
      </c>
      <c r="C16" s="2053" t="s">
        <v>1329</v>
      </c>
      <c r="D16" s="2562" t="s">
        <v>1670</v>
      </c>
      <c r="E16" s="2562"/>
      <c r="F16" s="2562"/>
    </row>
    <row r="17" spans="1:6" ht="20.45" customHeight="1" x14ac:dyDescent="0.2">
      <c r="A17" s="1978"/>
      <c r="B17" s="1979" t="s">
        <v>2190</v>
      </c>
      <c r="C17" s="1980" t="s">
        <v>2131</v>
      </c>
      <c r="D17" s="2560">
        <v>31843</v>
      </c>
      <c r="E17" s="2560"/>
      <c r="F17" s="2560"/>
    </row>
    <row r="18" spans="1:6" ht="24" x14ac:dyDescent="0.2">
      <c r="A18" s="1978"/>
      <c r="B18" s="2058" t="s">
        <v>2191</v>
      </c>
      <c r="C18" s="1980" t="s">
        <v>2131</v>
      </c>
      <c r="D18" s="2560">
        <v>18560</v>
      </c>
      <c r="E18" s="2560"/>
      <c r="F18" s="2560"/>
    </row>
    <row r="19" spans="1:6" ht="24" x14ac:dyDescent="0.2">
      <c r="A19" s="1978"/>
      <c r="B19" s="2058" t="s">
        <v>2192</v>
      </c>
      <c r="C19" s="1980" t="s">
        <v>2131</v>
      </c>
      <c r="D19" s="2560">
        <v>1760</v>
      </c>
      <c r="E19" s="2560"/>
      <c r="F19" s="2560"/>
    </row>
    <row r="20" spans="1:6" ht="24" x14ac:dyDescent="0.2">
      <c r="A20" s="1978"/>
      <c r="B20" s="1962" t="s">
        <v>2193</v>
      </c>
      <c r="C20" s="1980" t="s">
        <v>2131</v>
      </c>
      <c r="D20" s="2560">
        <v>5949</v>
      </c>
      <c r="E20" s="2560"/>
      <c r="F20" s="2560"/>
    </row>
    <row r="21" spans="1:6" ht="24" x14ac:dyDescent="0.2">
      <c r="A21" s="1978"/>
      <c r="B21" s="2058" t="s">
        <v>2194</v>
      </c>
      <c r="C21" s="1980" t="s">
        <v>2131</v>
      </c>
      <c r="D21" s="2560">
        <v>65728</v>
      </c>
      <c r="E21" s="2560"/>
      <c r="F21" s="2560"/>
    </row>
    <row r="22" spans="1:6" ht="20.65" customHeight="1" x14ac:dyDescent="0.2">
      <c r="A22" s="1978"/>
      <c r="B22" s="1979" t="s">
        <v>2195</v>
      </c>
      <c r="C22" s="1980" t="s">
        <v>2131</v>
      </c>
      <c r="D22" s="2560">
        <v>3849</v>
      </c>
      <c r="E22" s="2560"/>
      <c r="F22" s="2560"/>
    </row>
    <row r="23" spans="1:6" ht="24" x14ac:dyDescent="0.2">
      <c r="A23" s="1978"/>
      <c r="B23" s="1962" t="s">
        <v>2196</v>
      </c>
      <c r="C23" s="1980" t="s">
        <v>2131</v>
      </c>
      <c r="D23" s="2560">
        <v>78380</v>
      </c>
      <c r="E23" s="2560"/>
      <c r="F23" s="2560"/>
    </row>
    <row r="24" spans="1:6" ht="24" x14ac:dyDescent="0.2">
      <c r="A24" s="1978"/>
      <c r="B24" s="2058" t="s">
        <v>2197</v>
      </c>
      <c r="C24" s="1980" t="s">
        <v>2131</v>
      </c>
      <c r="D24" s="2560">
        <v>71384</v>
      </c>
      <c r="E24" s="2560"/>
      <c r="F24" s="2560"/>
    </row>
    <row r="25" spans="1:6" ht="20.65" customHeight="1" x14ac:dyDescent="0.2">
      <c r="A25" s="1978"/>
      <c r="B25" s="1979" t="s">
        <v>2198</v>
      </c>
      <c r="C25" s="1980" t="s">
        <v>2131</v>
      </c>
      <c r="D25" s="2560">
        <v>25792</v>
      </c>
      <c r="E25" s="2560"/>
      <c r="F25" s="2560"/>
    </row>
    <row r="26" spans="1:6" ht="24" x14ac:dyDescent="0.2">
      <c r="A26" s="1978"/>
      <c r="B26" s="2058" t="s">
        <v>2199</v>
      </c>
      <c r="C26" s="1980" t="s">
        <v>2131</v>
      </c>
      <c r="D26" s="2560">
        <v>96549</v>
      </c>
      <c r="E26" s="2560"/>
      <c r="F26" s="2560"/>
    </row>
    <row r="27" spans="1:6" ht="24" x14ac:dyDescent="0.2">
      <c r="A27" s="1978"/>
      <c r="B27" s="2058" t="s">
        <v>2200</v>
      </c>
      <c r="C27" s="1980" t="s">
        <v>2131</v>
      </c>
      <c r="D27" s="2560">
        <v>54588</v>
      </c>
      <c r="E27" s="2560"/>
      <c r="F27" s="2560"/>
    </row>
    <row r="28" spans="1:6" ht="24" x14ac:dyDescent="0.2">
      <c r="A28" s="1978"/>
      <c r="B28" s="2058" t="s">
        <v>2201</v>
      </c>
      <c r="C28" s="1980" t="s">
        <v>2131</v>
      </c>
      <c r="D28" s="2560">
        <v>3150</v>
      </c>
      <c r="E28" s="2560"/>
      <c r="F28" s="2560"/>
    </row>
    <row r="29" spans="1:6" ht="20.65" customHeight="1" x14ac:dyDescent="0.2">
      <c r="A29" s="1978"/>
      <c r="B29" s="1979"/>
      <c r="C29" s="1980"/>
      <c r="D29" s="2560"/>
      <c r="E29" s="2560"/>
      <c r="F29" s="2560"/>
    </row>
    <row r="30" spans="1:6" ht="12" customHeight="1" x14ac:dyDescent="0.2">
      <c r="A30" s="1966"/>
      <c r="B30" s="1966"/>
      <c r="C30" s="2039"/>
      <c r="D30" s="2055"/>
      <c r="E30" s="1981"/>
    </row>
    <row r="31" spans="1:6" ht="12" customHeight="1" x14ac:dyDescent="0.2">
      <c r="A31" s="1982" t="s">
        <v>1630</v>
      </c>
      <c r="B31" s="1966"/>
      <c r="C31" s="2039"/>
      <c r="D31" s="2055"/>
      <c r="E31" s="1981"/>
    </row>
    <row r="32" spans="1:6" ht="30" customHeight="1" x14ac:dyDescent="0.2">
      <c r="A32" s="2564" t="s">
        <v>2122</v>
      </c>
      <c r="B32" s="2564"/>
      <c r="C32" s="2564"/>
      <c r="D32" s="2564"/>
      <c r="E32" s="2564"/>
      <c r="F32" s="2564"/>
    </row>
    <row r="33" spans="1:6" ht="13.5" customHeight="1" x14ac:dyDescent="0.2">
      <c r="A33" s="1966" t="s">
        <v>1509</v>
      </c>
      <c r="B33" s="1966"/>
      <c r="C33" s="1983">
        <v>3284</v>
      </c>
      <c r="D33" s="2055"/>
      <c r="E33" s="1981"/>
    </row>
    <row r="34" spans="1:6" ht="13.5" customHeight="1" x14ac:dyDescent="0.2">
      <c r="A34" s="1966" t="s">
        <v>1946</v>
      </c>
      <c r="B34" s="1966"/>
      <c r="C34" s="1984">
        <v>0</v>
      </c>
      <c r="D34" s="2055" t="s">
        <v>1671</v>
      </c>
      <c r="E34" s="2565">
        <f>+C33+C34</f>
        <v>3284</v>
      </c>
      <c r="F34" s="2566"/>
    </row>
    <row r="35" spans="1:6" ht="12" customHeight="1" x14ac:dyDescent="0.2">
      <c r="A35" s="1966"/>
      <c r="B35" s="1966"/>
      <c r="C35" s="2056"/>
      <c r="D35" s="2055"/>
      <c r="E35" s="1985"/>
      <c r="F35" s="1986"/>
    </row>
    <row r="36" spans="1:6" ht="13.5" customHeight="1" x14ac:dyDescent="0.2">
      <c r="A36" s="1982" t="s">
        <v>1631</v>
      </c>
      <c r="B36" s="1966"/>
      <c r="C36" s="2039"/>
      <c r="D36" s="2055"/>
      <c r="E36" s="1981"/>
    </row>
    <row r="37" spans="1:6" ht="14.25" customHeight="1" x14ac:dyDescent="0.2">
      <c r="A37" s="1966" t="s">
        <v>1563</v>
      </c>
      <c r="B37" s="1966"/>
      <c r="C37" s="2057"/>
      <c r="D37" s="2055"/>
      <c r="E37" s="1981"/>
    </row>
    <row r="38" spans="1:6" ht="14.25" customHeight="1" x14ac:dyDescent="0.2">
      <c r="A38" s="1966"/>
      <c r="B38" s="1966" t="s">
        <v>1510</v>
      </c>
      <c r="C38" s="1987" t="s">
        <v>401</v>
      </c>
      <c r="D38" s="2055"/>
      <c r="E38" s="1981"/>
    </row>
    <row r="39" spans="1:6" ht="14.25" customHeight="1" x14ac:dyDescent="0.2">
      <c r="A39" s="1966"/>
      <c r="B39" s="1966" t="s">
        <v>1511</v>
      </c>
      <c r="C39" s="1987" t="s">
        <v>401</v>
      </c>
      <c r="D39" s="2055"/>
      <c r="E39" s="1981"/>
    </row>
    <row r="40" spans="1:6" ht="14.25" customHeight="1" x14ac:dyDescent="0.2">
      <c r="A40" s="1966"/>
      <c r="B40" s="1966" t="s">
        <v>1512</v>
      </c>
      <c r="C40" s="1987" t="s">
        <v>401</v>
      </c>
      <c r="D40" s="2055"/>
      <c r="E40" s="1981"/>
    </row>
    <row r="41" spans="1:6" ht="14.25" customHeight="1" x14ac:dyDescent="0.2">
      <c r="A41" s="1966"/>
      <c r="B41" s="1966" t="s">
        <v>1513</v>
      </c>
      <c r="C41" s="1987" t="s">
        <v>401</v>
      </c>
      <c r="D41" s="2055"/>
      <c r="E41" s="1981"/>
    </row>
    <row r="42" spans="1:6" ht="14.25" customHeight="1" x14ac:dyDescent="0.2">
      <c r="A42" s="1966" t="s">
        <v>1514</v>
      </c>
      <c r="B42" s="1966"/>
      <c r="C42" s="1987" t="s">
        <v>401</v>
      </c>
      <c r="D42" s="2055"/>
      <c r="E42" s="1981"/>
    </row>
    <row r="43" spans="1:6" ht="14.25" customHeight="1" x14ac:dyDescent="0.2">
      <c r="A43" s="1966" t="s">
        <v>1515</v>
      </c>
      <c r="B43" s="1966"/>
      <c r="C43" s="1987" t="s">
        <v>401</v>
      </c>
      <c r="D43" s="2055"/>
      <c r="E43" s="1981"/>
    </row>
    <row r="44" spans="1:6" ht="14.25" customHeight="1" x14ac:dyDescent="0.2">
      <c r="A44" s="1966"/>
      <c r="B44" s="1966"/>
      <c r="C44" s="2057" t="s">
        <v>1516</v>
      </c>
      <c r="D44" s="2055"/>
      <c r="E44" s="1981"/>
    </row>
    <row r="45" spans="1:6" ht="13.5" customHeight="1" x14ac:dyDescent="0.2">
      <c r="B45" s="1965"/>
      <c r="C45" s="1988"/>
      <c r="D45" s="1988"/>
    </row>
    <row r="46" spans="1:6" x14ac:dyDescent="0.2">
      <c r="A46" s="1989" t="s">
        <v>1833</v>
      </c>
      <c r="C46" s="1964"/>
      <c r="D46" s="1964"/>
    </row>
    <row r="47" spans="1:6" s="1965" customFormat="1" ht="11.25" customHeight="1" x14ac:dyDescent="0.2">
      <c r="A47" s="1990"/>
      <c r="B47" s="1991"/>
      <c r="C47" s="1991"/>
      <c r="D47" s="1991"/>
      <c r="E47" s="1991"/>
      <c r="F47" s="1991"/>
    </row>
    <row r="48" spans="1:6" s="1965" customFormat="1" ht="6" customHeight="1" x14ac:dyDescent="0.2">
      <c r="A48" s="1992"/>
    </row>
    <row r="49" spans="1:5" s="1994" customFormat="1" ht="23.25" customHeight="1" x14ac:dyDescent="0.2">
      <c r="A49" s="1993">
        <v>5</v>
      </c>
      <c r="B49" s="2567" t="s">
        <v>1672</v>
      </c>
      <c r="C49" s="2567"/>
      <c r="D49" s="2567"/>
      <c r="E49" s="2004"/>
    </row>
    <row r="50" spans="1:5" s="1994" customFormat="1" ht="3.75" customHeight="1" x14ac:dyDescent="0.2">
      <c r="A50" s="1993"/>
      <c r="B50" s="2052"/>
      <c r="C50" s="2052"/>
      <c r="D50" s="2052"/>
      <c r="E50" s="2004"/>
    </row>
    <row r="51" spans="1:5" s="1994" customFormat="1" ht="20.25" customHeight="1" x14ac:dyDescent="0.2">
      <c r="A51" s="1995">
        <v>6</v>
      </c>
      <c r="B51" s="2563" t="s">
        <v>1632</v>
      </c>
      <c r="C51" s="2563"/>
      <c r="D51" s="2563"/>
    </row>
    <row r="52" spans="1:5" ht="14.25" customHeight="1" x14ac:dyDescent="0.2">
      <c r="A52" s="1995"/>
      <c r="B52" s="2563"/>
      <c r="C52" s="2563"/>
      <c r="D52" s="256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86"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workbookViewId="0">
      <selection activeCell="A17" sqref="A17:K1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556" t="str">
        <f>'Single Audit Cover'!A7</f>
        <v>Ogle County Educational Cooperative</v>
      </c>
      <c r="B1" s="2556"/>
      <c r="C1" s="2556"/>
      <c r="D1" s="2556"/>
      <c r="E1" s="2556"/>
      <c r="F1" s="2556"/>
    </row>
    <row r="2" spans="1:7" ht="13.5" customHeight="1" x14ac:dyDescent="0.2">
      <c r="A2" s="2557">
        <f>'Single Audit Cover'!E7</f>
        <v>47071801060</v>
      </c>
      <c r="B2" s="2557"/>
      <c r="C2" s="2557"/>
      <c r="D2" s="2557"/>
      <c r="E2" s="2557"/>
      <c r="F2" s="2557"/>
      <c r="G2" s="1275"/>
    </row>
    <row r="3" spans="1:7" ht="15.75" customHeight="1" x14ac:dyDescent="0.2">
      <c r="A3" s="2558" t="s">
        <v>1333</v>
      </c>
      <c r="B3" s="2558"/>
      <c r="C3" s="2558"/>
      <c r="D3" s="2558"/>
      <c r="E3" s="2558"/>
      <c r="F3" s="2558"/>
    </row>
    <row r="4" spans="1:7" ht="13.5" customHeight="1" x14ac:dyDescent="0.2">
      <c r="A4" s="2559" t="str">
        <f>'Single Audit Cover'!A4</f>
        <v>Year Ending June 30, 2018</v>
      </c>
      <c r="B4" s="2559"/>
      <c r="C4" s="2559"/>
      <c r="D4" s="2559"/>
      <c r="E4" s="2559"/>
      <c r="F4" s="2559"/>
    </row>
    <row r="5" spans="1:7" ht="8.25" customHeight="1" x14ac:dyDescent="0.2">
      <c r="C5" s="317"/>
      <c r="D5" s="317"/>
    </row>
    <row r="6" spans="1:7" ht="13.5" customHeight="1" x14ac:dyDescent="0.2">
      <c r="A6" s="1276" t="s">
        <v>1831</v>
      </c>
      <c r="C6" s="317"/>
      <c r="D6" s="317"/>
    </row>
    <row r="7" spans="1:7" ht="60.95" customHeight="1" x14ac:dyDescent="0.2">
      <c r="A7" s="2555" t="s">
        <v>2121</v>
      </c>
      <c r="B7" s="2555"/>
      <c r="C7" s="2555"/>
      <c r="D7" s="2555"/>
      <c r="E7" s="2555"/>
      <c r="F7" s="2555"/>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21" customHeight="1" x14ac:dyDescent="0.2">
      <c r="A13" s="2555" t="s">
        <v>2120</v>
      </c>
      <c r="B13" s="2555"/>
      <c r="C13" s="2555"/>
      <c r="D13" s="2555"/>
      <c r="E13" s="2555"/>
      <c r="F13" s="2555"/>
    </row>
    <row r="14" spans="1:7" ht="9.75" customHeight="1" x14ac:dyDescent="0.2">
      <c r="C14" s="1260"/>
      <c r="D14" s="1260"/>
    </row>
    <row r="15" spans="1:7" ht="13.5" customHeight="1" x14ac:dyDescent="0.2">
      <c r="C15" s="1870" t="s">
        <v>1332</v>
      </c>
      <c r="D15" s="2561" t="s">
        <v>1331</v>
      </c>
      <c r="E15" s="2561"/>
      <c r="F15" s="2561"/>
    </row>
    <row r="16" spans="1:7" ht="13.5" customHeight="1" x14ac:dyDescent="0.2">
      <c r="A16" s="1282"/>
      <c r="B16" s="1276" t="s">
        <v>1330</v>
      </c>
      <c r="C16" s="1870" t="s">
        <v>1329</v>
      </c>
      <c r="D16" s="2562" t="s">
        <v>1670</v>
      </c>
      <c r="E16" s="2562"/>
      <c r="F16" s="2562"/>
    </row>
    <row r="17" spans="1:6" ht="24" x14ac:dyDescent="0.2">
      <c r="A17" s="1283"/>
      <c r="B17" s="2058" t="s">
        <v>2202</v>
      </c>
      <c r="C17" s="1285">
        <v>84.173000000000002</v>
      </c>
      <c r="D17" s="2560">
        <v>6250</v>
      </c>
      <c r="E17" s="2560"/>
      <c r="F17" s="2560"/>
    </row>
    <row r="18" spans="1:6" ht="24" x14ac:dyDescent="0.2">
      <c r="A18" s="1283"/>
      <c r="B18" s="2058" t="s">
        <v>2203</v>
      </c>
      <c r="C18" s="1980">
        <v>84.173000000000002</v>
      </c>
      <c r="D18" s="2560">
        <v>6250</v>
      </c>
      <c r="E18" s="2560"/>
      <c r="F18" s="2560"/>
    </row>
    <row r="19" spans="1:6" ht="24" x14ac:dyDescent="0.2">
      <c r="A19" s="1283"/>
      <c r="B19" s="1962" t="s">
        <v>2204</v>
      </c>
      <c r="C19" s="1980">
        <v>84.173000000000002</v>
      </c>
      <c r="D19" s="2560">
        <v>6250</v>
      </c>
      <c r="E19" s="2560"/>
      <c r="F19" s="2560"/>
    </row>
    <row r="20" spans="1:6" ht="24" x14ac:dyDescent="0.2">
      <c r="A20" s="1283"/>
      <c r="B20" s="2058" t="s">
        <v>2205</v>
      </c>
      <c r="C20" s="1980">
        <v>84.173000000000002</v>
      </c>
      <c r="D20" s="2560">
        <v>6250</v>
      </c>
      <c r="E20" s="2560"/>
      <c r="F20" s="2560"/>
    </row>
    <row r="21" spans="1:6" ht="24" x14ac:dyDescent="0.2">
      <c r="A21" s="1283"/>
      <c r="B21" s="2058" t="s">
        <v>2206</v>
      </c>
      <c r="C21" s="1980">
        <v>84.173000000000002</v>
      </c>
      <c r="D21" s="2560">
        <v>6250</v>
      </c>
      <c r="E21" s="2560"/>
      <c r="F21" s="2560"/>
    </row>
    <row r="22" spans="1:6" ht="24" x14ac:dyDescent="0.2">
      <c r="A22" s="1283"/>
      <c r="B22" s="2058" t="s">
        <v>2207</v>
      </c>
      <c r="C22" s="1980">
        <v>84.173000000000002</v>
      </c>
      <c r="D22" s="2560">
        <v>18257</v>
      </c>
      <c r="E22" s="2560"/>
      <c r="F22" s="2560"/>
    </row>
    <row r="23" spans="1:6" ht="20.65" customHeight="1" x14ac:dyDescent="0.2">
      <c r="A23" s="1283"/>
      <c r="B23" s="1962"/>
      <c r="C23" s="1285"/>
      <c r="D23" s="2560"/>
      <c r="E23" s="2560"/>
      <c r="F23" s="2560"/>
    </row>
    <row r="24" spans="1:6" ht="20.65" customHeight="1" x14ac:dyDescent="0.2">
      <c r="A24" s="1283"/>
      <c r="B24" s="2058"/>
      <c r="C24" s="1285"/>
      <c r="D24" s="2560"/>
      <c r="E24" s="2560"/>
      <c r="F24" s="2560"/>
    </row>
    <row r="25" spans="1:6" ht="20.65" customHeight="1" x14ac:dyDescent="0.2">
      <c r="A25" s="1283"/>
      <c r="B25" s="1979"/>
      <c r="C25" s="1285"/>
      <c r="D25" s="2560"/>
      <c r="E25" s="2560"/>
      <c r="F25" s="2560"/>
    </row>
    <row r="26" spans="1:6" ht="20.65" customHeight="1" x14ac:dyDescent="0.2">
      <c r="A26" s="1283"/>
      <c r="B26" s="2058"/>
      <c r="C26" s="1285"/>
      <c r="D26" s="2560"/>
      <c r="E26" s="2560"/>
      <c r="F26" s="2560"/>
    </row>
    <row r="27" spans="1:6" ht="20.65" customHeight="1" x14ac:dyDescent="0.2">
      <c r="A27" s="1283"/>
      <c r="B27" s="2058"/>
      <c r="C27" s="1285"/>
      <c r="D27" s="2560"/>
      <c r="E27" s="2560"/>
      <c r="F27" s="2560"/>
    </row>
    <row r="28" spans="1:6" ht="20.65" customHeight="1" x14ac:dyDescent="0.2">
      <c r="A28" s="1283"/>
      <c r="B28" s="2058"/>
      <c r="C28" s="1285"/>
      <c r="D28" s="2560"/>
      <c r="E28" s="2560"/>
      <c r="F28" s="2560"/>
    </row>
    <row r="29" spans="1:6" ht="20.65" customHeight="1" x14ac:dyDescent="0.2">
      <c r="A29" s="1283"/>
      <c r="B29" s="1284"/>
      <c r="C29" s="1285"/>
      <c r="D29" s="2560"/>
      <c r="E29" s="2560"/>
      <c r="F29" s="2560"/>
    </row>
    <row r="30" spans="1:6" ht="12" customHeight="1" x14ac:dyDescent="0.2">
      <c r="A30" s="328"/>
      <c r="B30" s="328"/>
      <c r="C30" s="1477"/>
      <c r="D30" s="1926"/>
      <c r="E30" s="1286"/>
    </row>
    <row r="31" spans="1:6" ht="12" customHeight="1" x14ac:dyDescent="0.2">
      <c r="A31" s="1287" t="s">
        <v>1630</v>
      </c>
      <c r="B31" s="328"/>
      <c r="C31" s="1477"/>
      <c r="D31" s="1926"/>
      <c r="E31" s="1286"/>
    </row>
    <row r="32" spans="1:6" ht="30" customHeight="1" x14ac:dyDescent="0.2">
      <c r="A32" s="2564" t="s">
        <v>2122</v>
      </c>
      <c r="B32" s="2564"/>
      <c r="C32" s="2564"/>
      <c r="D32" s="2564"/>
      <c r="E32" s="2564"/>
      <c r="F32" s="2564"/>
    </row>
    <row r="33" spans="1:6" ht="13.5" customHeight="1" x14ac:dyDescent="0.2">
      <c r="A33" s="328" t="s">
        <v>1509</v>
      </c>
      <c r="B33" s="328"/>
      <c r="C33" s="1288">
        <v>3284</v>
      </c>
      <c r="D33" s="1926"/>
      <c r="E33" s="1286"/>
    </row>
    <row r="34" spans="1:6" ht="13.5" customHeight="1" x14ac:dyDescent="0.2">
      <c r="A34" s="328" t="s">
        <v>1946</v>
      </c>
      <c r="B34" s="328"/>
      <c r="C34" s="1289">
        <v>0</v>
      </c>
      <c r="D34" s="1926" t="s">
        <v>1671</v>
      </c>
      <c r="E34" s="2565">
        <f>+C33+C34</f>
        <v>3284</v>
      </c>
      <c r="F34" s="2566"/>
    </row>
    <row r="35" spans="1:6" ht="12" customHeight="1" x14ac:dyDescent="0.2">
      <c r="A35" s="328"/>
      <c r="B35" s="328"/>
      <c r="C35" s="1927"/>
      <c r="D35" s="1926"/>
      <c r="E35" s="1290"/>
      <c r="F35" s="1291"/>
    </row>
    <row r="36" spans="1:6" ht="13.5" customHeight="1" x14ac:dyDescent="0.2">
      <c r="A36" s="1287" t="s">
        <v>1631</v>
      </c>
      <c r="B36" s="328"/>
      <c r="C36" s="1477"/>
      <c r="D36" s="1926"/>
      <c r="E36" s="1286"/>
    </row>
    <row r="37" spans="1:6" ht="14.25" customHeight="1" x14ac:dyDescent="0.2">
      <c r="A37" s="328" t="s">
        <v>1563</v>
      </c>
      <c r="B37" s="328"/>
      <c r="C37" s="1928"/>
      <c r="D37" s="1926"/>
      <c r="E37" s="1286"/>
    </row>
    <row r="38" spans="1:6" ht="14.25" customHeight="1" x14ac:dyDescent="0.2">
      <c r="A38" s="328"/>
      <c r="B38" s="328" t="s">
        <v>1510</v>
      </c>
      <c r="C38" s="1292" t="s">
        <v>401</v>
      </c>
      <c r="D38" s="1926"/>
      <c r="E38" s="1286"/>
    </row>
    <row r="39" spans="1:6" ht="14.25" customHeight="1" x14ac:dyDescent="0.2">
      <c r="A39" s="328"/>
      <c r="B39" s="328" t="s">
        <v>1511</v>
      </c>
      <c r="C39" s="1987" t="s">
        <v>401</v>
      </c>
      <c r="D39" s="1926"/>
      <c r="E39" s="1286"/>
    </row>
    <row r="40" spans="1:6" ht="14.25" customHeight="1" x14ac:dyDescent="0.2">
      <c r="A40" s="328"/>
      <c r="B40" s="328" t="s">
        <v>1512</v>
      </c>
      <c r="C40" s="1987" t="s">
        <v>401</v>
      </c>
      <c r="D40" s="1926"/>
      <c r="E40" s="1286"/>
    </row>
    <row r="41" spans="1:6" ht="14.25" customHeight="1" x14ac:dyDescent="0.2">
      <c r="A41" s="328"/>
      <c r="B41" s="328" t="s">
        <v>1513</v>
      </c>
      <c r="C41" s="1987" t="s">
        <v>401</v>
      </c>
      <c r="D41" s="1926"/>
      <c r="E41" s="1286"/>
    </row>
    <row r="42" spans="1:6" ht="14.25" customHeight="1" x14ac:dyDescent="0.2">
      <c r="A42" s="328" t="s">
        <v>1514</v>
      </c>
      <c r="B42" s="328"/>
      <c r="C42" s="1987" t="s">
        <v>401</v>
      </c>
      <c r="D42" s="1926"/>
      <c r="E42" s="1286"/>
    </row>
    <row r="43" spans="1:6" ht="14.25" customHeight="1" x14ac:dyDescent="0.2">
      <c r="A43" s="328" t="s">
        <v>1515</v>
      </c>
      <c r="B43" s="328"/>
      <c r="C43" s="1987" t="s">
        <v>401</v>
      </c>
      <c r="D43" s="1926"/>
      <c r="E43" s="1286"/>
    </row>
    <row r="44" spans="1:6" ht="14.25" customHeight="1" x14ac:dyDescent="0.2">
      <c r="A44" s="328"/>
      <c r="B44" s="328"/>
      <c r="C44" s="1928" t="s">
        <v>1516</v>
      </c>
      <c r="D44" s="1926"/>
      <c r="E44" s="1286"/>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567" t="s">
        <v>1672</v>
      </c>
      <c r="C49" s="2567"/>
      <c r="D49" s="2567"/>
      <c r="E49" s="1398"/>
    </row>
    <row r="50" spans="1:5" s="1299" customFormat="1" ht="3.75" customHeight="1" x14ac:dyDescent="0.2">
      <c r="A50" s="1298"/>
      <c r="B50" s="1869"/>
      <c r="C50" s="1869"/>
      <c r="D50" s="1869"/>
      <c r="E50" s="1398"/>
    </row>
    <row r="51" spans="1:5" s="1299" customFormat="1" ht="20.25" customHeight="1" x14ac:dyDescent="0.2">
      <c r="A51" s="1300">
        <v>6</v>
      </c>
      <c r="B51" s="2563" t="s">
        <v>1632</v>
      </c>
      <c r="C51" s="2563"/>
      <c r="D51" s="2563"/>
    </row>
    <row r="52" spans="1:5" ht="14.25" customHeight="1" x14ac:dyDescent="0.2">
      <c r="A52" s="1300"/>
      <c r="B52" s="2563"/>
      <c r="C52" s="2563"/>
      <c r="D52" s="256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7"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workbookViewId="0">
      <selection activeCell="A17" sqref="A17:K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76" t="s">
        <v>1230</v>
      </c>
      <c r="B2" s="2176"/>
      <c r="C2" s="2176"/>
      <c r="D2" s="2176"/>
      <c r="E2" s="2176"/>
      <c r="F2" s="2176"/>
      <c r="G2" s="2176"/>
      <c r="H2" s="2176"/>
      <c r="I2" s="2176"/>
      <c r="J2" s="21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90" t="s">
        <v>1731</v>
      </c>
      <c r="B35" s="2191"/>
      <c r="C35" s="2191"/>
      <c r="D35" s="2191"/>
      <c r="E35" s="2192"/>
      <c r="F35" s="2192"/>
      <c r="G35" s="2192"/>
      <c r="H35" s="2192"/>
      <c r="I35" s="21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90" t="s">
        <v>331</v>
      </c>
      <c r="B47" s="2193"/>
      <c r="C47" s="2193"/>
      <c r="D47" s="2193"/>
      <c r="E47" s="2194"/>
      <c r="F47" s="2194"/>
      <c r="G47" s="2194"/>
      <c r="H47" s="2194"/>
      <c r="I47" s="21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97"/>
      <c r="C57" s="2198"/>
      <c r="D57" s="2198"/>
      <c r="E57" s="2198"/>
      <c r="F57" s="2198"/>
      <c r="G57" s="2198"/>
      <c r="H57" s="2198"/>
      <c r="I57" s="2198"/>
      <c r="J57" s="2199"/>
    </row>
    <row r="58" spans="1:10" s="181" customFormat="1" x14ac:dyDescent="0.2">
      <c r="A58" s="253"/>
      <c r="B58" s="2200"/>
      <c r="C58" s="2201"/>
      <c r="D58" s="2201"/>
      <c r="E58" s="2201"/>
      <c r="F58" s="2201"/>
      <c r="G58" s="2201"/>
      <c r="H58" s="2201"/>
      <c r="I58" s="2201"/>
      <c r="J58" s="2202"/>
    </row>
    <row r="59" spans="1:10" s="181" customFormat="1" x14ac:dyDescent="0.2">
      <c r="A59" s="253"/>
      <c r="B59" s="2200"/>
      <c r="C59" s="2201"/>
      <c r="D59" s="2201"/>
      <c r="E59" s="2201"/>
      <c r="F59" s="2201"/>
      <c r="G59" s="2201"/>
      <c r="H59" s="2201"/>
      <c r="I59" s="2201"/>
      <c r="J59" s="2202"/>
    </row>
    <row r="60" spans="1:10" s="181" customFormat="1" x14ac:dyDescent="0.2">
      <c r="A60" s="253"/>
      <c r="B60" s="2200"/>
      <c r="C60" s="2201"/>
      <c r="D60" s="2201"/>
      <c r="E60" s="2201"/>
      <c r="F60" s="2201"/>
      <c r="G60" s="2201"/>
      <c r="H60" s="2201"/>
      <c r="I60" s="2201"/>
      <c r="J60" s="2202"/>
    </row>
    <row r="61" spans="1:10" s="181" customFormat="1" x14ac:dyDescent="0.2">
      <c r="A61" s="253"/>
      <c r="B61" s="2200"/>
      <c r="C61" s="2201"/>
      <c r="D61" s="2201"/>
      <c r="E61" s="2201"/>
      <c r="F61" s="2201"/>
      <c r="G61" s="2201"/>
      <c r="H61" s="2201"/>
      <c r="I61" s="2201"/>
      <c r="J61" s="2202"/>
    </row>
    <row r="62" spans="1:10" s="181" customFormat="1" x14ac:dyDescent="0.2">
      <c r="A62" s="253"/>
      <c r="B62" s="2200"/>
      <c r="C62" s="2201"/>
      <c r="D62" s="2201"/>
      <c r="E62" s="2201"/>
      <c r="F62" s="2201"/>
      <c r="G62" s="2201"/>
      <c r="H62" s="2201"/>
      <c r="I62" s="2201"/>
      <c r="J62" s="2202"/>
    </row>
    <row r="63" spans="1:10" s="181" customFormat="1" x14ac:dyDescent="0.2">
      <c r="A63" s="253"/>
      <c r="B63" s="2200"/>
      <c r="C63" s="2201"/>
      <c r="D63" s="2201"/>
      <c r="E63" s="2201"/>
      <c r="F63" s="2201"/>
      <c r="G63" s="2201"/>
      <c r="H63" s="2201"/>
      <c r="I63" s="2201"/>
      <c r="J63" s="2202"/>
    </row>
    <row r="64" spans="1:10" s="181" customFormat="1" x14ac:dyDescent="0.2">
      <c r="A64" s="253"/>
      <c r="B64" s="2200"/>
      <c r="C64" s="2201"/>
      <c r="D64" s="2201"/>
      <c r="E64" s="2201"/>
      <c r="F64" s="2201"/>
      <c r="G64" s="2201"/>
      <c r="H64" s="2201"/>
      <c r="I64" s="2201"/>
      <c r="J64" s="2202"/>
    </row>
    <row r="65" spans="1:10" s="181" customFormat="1" x14ac:dyDescent="0.2">
      <c r="A65" s="253"/>
      <c r="B65" s="2200"/>
      <c r="C65" s="2201"/>
      <c r="D65" s="2201"/>
      <c r="E65" s="2201"/>
      <c r="F65" s="2201"/>
      <c r="G65" s="2201"/>
      <c r="H65" s="2201"/>
      <c r="I65" s="2201"/>
      <c r="J65" s="2202"/>
    </row>
    <row r="66" spans="1:10" s="181" customFormat="1" x14ac:dyDescent="0.2">
      <c r="A66" s="253"/>
      <c r="B66" s="2200"/>
      <c r="C66" s="2201"/>
      <c r="D66" s="2201"/>
      <c r="E66" s="2201"/>
      <c r="F66" s="2201"/>
      <c r="G66" s="2201"/>
      <c r="H66" s="2201"/>
      <c r="I66" s="2201"/>
      <c r="J66" s="2202"/>
    </row>
    <row r="67" spans="1:10" s="181" customFormat="1" ht="9" customHeight="1" x14ac:dyDescent="0.2">
      <c r="A67" s="254"/>
      <c r="B67" s="2203"/>
      <c r="C67" s="2204"/>
      <c r="D67" s="2204"/>
      <c r="E67" s="2204"/>
      <c r="F67" s="2204"/>
      <c r="G67" s="2204"/>
      <c r="H67" s="2204"/>
      <c r="I67" s="2204"/>
      <c r="J67" s="22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90" t="s">
        <v>1390</v>
      </c>
      <c r="B70" s="2193"/>
      <c r="C70" s="2193"/>
      <c r="D70" s="2193"/>
      <c r="E70" s="2194"/>
      <c r="F70" s="2194"/>
      <c r="G70" s="2194"/>
      <c r="H70" s="2194"/>
      <c r="I70" s="21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5" t="s">
        <v>1387</v>
      </c>
      <c r="B83" s="2195"/>
      <c r="C83" s="2195"/>
      <c r="D83" s="21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77"/>
      <c r="C102" s="2178"/>
      <c r="D102" s="2178"/>
      <c r="E102" s="2178"/>
      <c r="F102" s="2178"/>
      <c r="G102" s="2178"/>
      <c r="H102" s="2178"/>
      <c r="I102" s="2179"/>
    </row>
    <row r="103" spans="1:9" s="181" customFormat="1" ht="11.25" customHeight="1" x14ac:dyDescent="0.2">
      <c r="A103" s="316"/>
      <c r="B103" s="2180"/>
      <c r="C103" s="2181"/>
      <c r="D103" s="2181"/>
      <c r="E103" s="2181"/>
      <c r="F103" s="2181"/>
      <c r="G103" s="2181"/>
      <c r="H103" s="2181"/>
      <c r="I103" s="2182"/>
    </row>
    <row r="104" spans="1:9" s="181" customFormat="1" ht="11.25" customHeight="1" x14ac:dyDescent="0.2">
      <c r="A104" s="316"/>
      <c r="B104" s="2180"/>
      <c r="C104" s="2181"/>
      <c r="D104" s="2181"/>
      <c r="E104" s="2181"/>
      <c r="F104" s="2181"/>
      <c r="G104" s="2181"/>
      <c r="H104" s="2181"/>
      <c r="I104" s="2182"/>
    </row>
    <row r="105" spans="1:9" s="181" customFormat="1" x14ac:dyDescent="0.2">
      <c r="A105" s="316"/>
      <c r="B105" s="2180"/>
      <c r="C105" s="2181"/>
      <c r="D105" s="2181"/>
      <c r="E105" s="2181"/>
      <c r="F105" s="2181"/>
      <c r="G105" s="2181"/>
      <c r="H105" s="2181"/>
      <c r="I105" s="2182"/>
    </row>
    <row r="106" spans="1:9" s="181" customFormat="1" ht="11.25" customHeight="1" x14ac:dyDescent="0.2">
      <c r="A106" s="316"/>
      <c r="B106" s="2180"/>
      <c r="C106" s="2181"/>
      <c r="D106" s="2181"/>
      <c r="E106" s="2181"/>
      <c r="F106" s="2181"/>
      <c r="G106" s="2181"/>
      <c r="H106" s="2181"/>
      <c r="I106" s="2182"/>
    </row>
    <row r="107" spans="1:9" s="181" customFormat="1" ht="11.25" customHeight="1" x14ac:dyDescent="0.2">
      <c r="A107" s="316"/>
      <c r="B107" s="2180"/>
      <c r="C107" s="2181"/>
      <c r="D107" s="2181"/>
      <c r="E107" s="2181"/>
      <c r="F107" s="2181"/>
      <c r="G107" s="2181"/>
      <c r="H107" s="2181"/>
      <c r="I107" s="2182"/>
    </row>
    <row r="108" spans="1:9" s="181" customFormat="1" ht="11.25" customHeight="1" x14ac:dyDescent="0.2">
      <c r="A108" s="316"/>
      <c r="B108" s="2180"/>
      <c r="C108" s="2181"/>
      <c r="D108" s="2181"/>
      <c r="E108" s="2181"/>
      <c r="F108" s="2181"/>
      <c r="G108" s="2181"/>
      <c r="H108" s="2181"/>
      <c r="I108" s="2182"/>
    </row>
    <row r="109" spans="1:9" s="181" customFormat="1" ht="11.25" customHeight="1" x14ac:dyDescent="0.2">
      <c r="A109" s="316"/>
      <c r="B109" s="2180"/>
      <c r="C109" s="2181"/>
      <c r="D109" s="2181"/>
      <c r="E109" s="2181"/>
      <c r="F109" s="2181"/>
      <c r="G109" s="2181"/>
      <c r="H109" s="2181"/>
      <c r="I109" s="2182"/>
    </row>
    <row r="110" spans="1:9" s="181" customFormat="1" ht="11.25" customHeight="1" x14ac:dyDescent="0.2">
      <c r="A110" s="316"/>
      <c r="B110" s="2180"/>
      <c r="C110" s="2181"/>
      <c r="D110" s="2181"/>
      <c r="E110" s="2181"/>
      <c r="F110" s="2181"/>
      <c r="G110" s="2181"/>
      <c r="H110" s="2181"/>
      <c r="I110" s="2182"/>
    </row>
    <row r="111" spans="1:9" s="181" customFormat="1" ht="11.25" customHeight="1" x14ac:dyDescent="0.2">
      <c r="A111" s="316"/>
      <c r="B111" s="2180"/>
      <c r="C111" s="2181"/>
      <c r="D111" s="2181"/>
      <c r="E111" s="2181"/>
      <c r="F111" s="2181"/>
      <c r="G111" s="2181"/>
      <c r="H111" s="2181"/>
      <c r="I111" s="2182"/>
    </row>
    <row r="112" spans="1:9" s="181" customFormat="1" ht="11.25" customHeight="1" x14ac:dyDescent="0.2">
      <c r="A112" s="316"/>
      <c r="B112" s="2183"/>
      <c r="C112" s="2184"/>
      <c r="D112" s="2184"/>
      <c r="E112" s="2184"/>
      <c r="F112" s="2184"/>
      <c r="G112" s="2184"/>
      <c r="H112" s="2184"/>
      <c r="I112" s="21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86" t="s">
        <v>2223</v>
      </c>
      <c r="D114" s="21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87" t="s">
        <v>1397</v>
      </c>
      <c r="D117" s="2188"/>
      <c r="E117" s="2189"/>
      <c r="F117" s="2189"/>
      <c r="G117" s="2189"/>
      <c r="H117" s="2189"/>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2019</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7" workbookViewId="0">
      <selection activeCell="A17" sqref="A17:K1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534" t="str">
        <f>'Single Audit Cover'!A7</f>
        <v>Ogle County Educational Cooperative</v>
      </c>
      <c r="C1" s="2568"/>
      <c r="D1" s="2568"/>
      <c r="E1" s="2568"/>
      <c r="F1" s="2568"/>
      <c r="G1" s="2568"/>
      <c r="H1" s="2568"/>
      <c r="I1" s="2568"/>
      <c r="J1" s="2568"/>
      <c r="K1" s="2568"/>
      <c r="L1" s="2568"/>
      <c r="M1" s="2568"/>
    </row>
    <row r="2" spans="2:14" ht="15" x14ac:dyDescent="0.2">
      <c r="B2" s="2557">
        <f>'Single Audit Cover'!E7</f>
        <v>47071801060</v>
      </c>
      <c r="C2" s="2557"/>
      <c r="D2" s="2557"/>
      <c r="E2" s="2557"/>
      <c r="F2" s="2557"/>
      <c r="G2" s="2557"/>
      <c r="H2" s="2557"/>
      <c r="I2" s="2557"/>
      <c r="J2" s="2557"/>
      <c r="K2" s="2557"/>
      <c r="L2" s="2557"/>
      <c r="M2" s="2557"/>
      <c r="N2" s="1301"/>
    </row>
    <row r="3" spans="2:14" ht="15" x14ac:dyDescent="0.2">
      <c r="B3" s="2569" t="s">
        <v>1281</v>
      </c>
      <c r="C3" s="2569"/>
      <c r="D3" s="2569"/>
      <c r="E3" s="2569"/>
      <c r="F3" s="2569"/>
      <c r="G3" s="2569"/>
      <c r="H3" s="2569"/>
      <c r="I3" s="2569"/>
      <c r="J3" s="2569"/>
      <c r="K3" s="2569"/>
      <c r="L3" s="2569"/>
      <c r="M3" s="2569"/>
      <c r="N3" s="1301"/>
    </row>
    <row r="4" spans="2:14" ht="15" x14ac:dyDescent="0.2">
      <c r="B4" s="2570" t="str">
        <f>'Single Audit Cover'!A4</f>
        <v>Year Ending June 30, 2018</v>
      </c>
      <c r="C4" s="2570"/>
      <c r="D4" s="2570"/>
      <c r="E4" s="2570"/>
      <c r="F4" s="2570"/>
      <c r="G4" s="2570"/>
      <c r="H4" s="2570"/>
      <c r="I4" s="2570"/>
      <c r="J4" s="2570"/>
      <c r="K4" s="2570"/>
      <c r="L4" s="2570"/>
      <c r="M4" s="2570"/>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2097</v>
      </c>
      <c r="C11" s="1337"/>
      <c r="D11" s="1338"/>
      <c r="E11" s="1339"/>
      <c r="F11" s="1339"/>
      <c r="G11" s="1339"/>
      <c r="H11" s="1339"/>
      <c r="I11" s="1339"/>
      <c r="J11" s="1339"/>
      <c r="K11" s="1339"/>
      <c r="L11" s="1339">
        <f>+G11+I11+K11</f>
        <v>0</v>
      </c>
      <c r="M11" s="1339"/>
    </row>
    <row r="12" spans="2:14" ht="20.100000000000001" customHeight="1" x14ac:dyDescent="0.2">
      <c r="B12" s="1336" t="s">
        <v>2147</v>
      </c>
      <c r="C12" s="1340"/>
      <c r="D12" s="1341"/>
      <c r="E12" s="1342"/>
      <c r="F12" s="1342"/>
      <c r="G12" s="1342"/>
      <c r="H12" s="1342"/>
      <c r="I12" s="1342"/>
      <c r="J12" s="1342"/>
      <c r="K12" s="1342"/>
      <c r="L12" s="1339">
        <f t="shared" ref="L12:L27" si="0">+G12+I12+K12</f>
        <v>0</v>
      </c>
      <c r="M12" s="1342"/>
    </row>
    <row r="13" spans="2:14" ht="20.100000000000001" customHeight="1" x14ac:dyDescent="0.2">
      <c r="B13" s="1336" t="s">
        <v>2148</v>
      </c>
      <c r="C13" s="1340">
        <v>10.555</v>
      </c>
      <c r="D13" s="1341">
        <v>2017</v>
      </c>
      <c r="E13" s="1342">
        <v>3889</v>
      </c>
      <c r="F13" s="1342">
        <v>0</v>
      </c>
      <c r="G13" s="1342">
        <v>3889</v>
      </c>
      <c r="H13" s="1342">
        <v>0</v>
      </c>
      <c r="I13" s="1342">
        <v>0</v>
      </c>
      <c r="J13" s="1342">
        <v>0</v>
      </c>
      <c r="K13" s="1342">
        <v>0</v>
      </c>
      <c r="L13" s="1339">
        <f t="shared" si="0"/>
        <v>3889</v>
      </c>
      <c r="M13" s="1342" t="s">
        <v>2096</v>
      </c>
    </row>
    <row r="14" spans="2:14" ht="20.100000000000001" customHeight="1" x14ac:dyDescent="0.2">
      <c r="B14" s="1336" t="s">
        <v>2148</v>
      </c>
      <c r="C14" s="1340">
        <v>10.555</v>
      </c>
      <c r="D14" s="1341">
        <v>2018</v>
      </c>
      <c r="E14" s="1342">
        <v>0</v>
      </c>
      <c r="F14" s="1342">
        <v>3284</v>
      </c>
      <c r="G14" s="1342">
        <v>0</v>
      </c>
      <c r="H14" s="1342">
        <v>0</v>
      </c>
      <c r="I14" s="1342">
        <v>3284</v>
      </c>
      <c r="J14" s="1342">
        <v>0</v>
      </c>
      <c r="K14" s="1342">
        <v>0</v>
      </c>
      <c r="L14" s="1339">
        <f t="shared" si="0"/>
        <v>3284</v>
      </c>
      <c r="M14" s="1342" t="s">
        <v>2096</v>
      </c>
    </row>
    <row r="15" spans="2:14" ht="20.100000000000001" customHeight="1" x14ac:dyDescent="0.2">
      <c r="B15" s="1336" t="s">
        <v>2149</v>
      </c>
      <c r="C15" s="1340">
        <v>10.555</v>
      </c>
      <c r="D15" s="1341" t="s">
        <v>2169</v>
      </c>
      <c r="E15" s="1342">
        <v>4124</v>
      </c>
      <c r="F15" s="1342">
        <v>0</v>
      </c>
      <c r="G15" s="1342">
        <v>4124</v>
      </c>
      <c r="H15" s="1342">
        <v>0</v>
      </c>
      <c r="I15" s="1342">
        <v>0</v>
      </c>
      <c r="J15" s="1342">
        <v>0</v>
      </c>
      <c r="K15" s="1342">
        <v>0</v>
      </c>
      <c r="L15" s="1339">
        <f t="shared" si="0"/>
        <v>4124</v>
      </c>
      <c r="M15" s="1342" t="s">
        <v>2096</v>
      </c>
    </row>
    <row r="16" spans="2:14" ht="20.100000000000001" customHeight="1" x14ac:dyDescent="0.2">
      <c r="B16" s="1336" t="s">
        <v>2149</v>
      </c>
      <c r="C16" s="1340">
        <v>10.555</v>
      </c>
      <c r="D16" s="1341" t="s">
        <v>2170</v>
      </c>
      <c r="E16" s="1342">
        <v>18929</v>
      </c>
      <c r="F16" s="1342">
        <v>4279</v>
      </c>
      <c r="G16" s="1342">
        <v>18929</v>
      </c>
      <c r="H16" s="1342">
        <v>0</v>
      </c>
      <c r="I16" s="1342">
        <v>4279</v>
      </c>
      <c r="J16" s="1342">
        <v>0</v>
      </c>
      <c r="K16" s="1342">
        <v>0</v>
      </c>
      <c r="L16" s="1339">
        <f t="shared" si="0"/>
        <v>23208</v>
      </c>
      <c r="M16" s="1342" t="s">
        <v>2096</v>
      </c>
    </row>
    <row r="17" spans="2:14" ht="20.100000000000001" customHeight="1" x14ac:dyDescent="0.2">
      <c r="B17" s="1336" t="s">
        <v>2149</v>
      </c>
      <c r="C17" s="1340">
        <v>10.555</v>
      </c>
      <c r="D17" s="1341" t="s">
        <v>2171</v>
      </c>
      <c r="E17" s="1342">
        <v>0</v>
      </c>
      <c r="F17" s="1342">
        <v>22561</v>
      </c>
      <c r="G17" s="1342">
        <v>0</v>
      </c>
      <c r="H17" s="1342">
        <v>0</v>
      </c>
      <c r="I17" s="1342">
        <v>22561</v>
      </c>
      <c r="J17" s="1342">
        <v>0</v>
      </c>
      <c r="K17" s="1342">
        <v>0</v>
      </c>
      <c r="L17" s="1339">
        <f t="shared" si="0"/>
        <v>22561</v>
      </c>
      <c r="M17" s="1342" t="s">
        <v>2096</v>
      </c>
    </row>
    <row r="18" spans="2:14" ht="20.100000000000001" customHeight="1" x14ac:dyDescent="0.2">
      <c r="B18" s="1336" t="s">
        <v>2150</v>
      </c>
      <c r="C18" s="1340">
        <v>10.553000000000001</v>
      </c>
      <c r="D18" s="1341" t="s">
        <v>2172</v>
      </c>
      <c r="E18" s="1342">
        <v>1989</v>
      </c>
      <c r="F18" s="1342">
        <v>0</v>
      </c>
      <c r="G18" s="1342">
        <v>1989</v>
      </c>
      <c r="H18" s="1342">
        <v>0</v>
      </c>
      <c r="I18" s="1342">
        <v>0</v>
      </c>
      <c r="J18" s="1342">
        <v>0</v>
      </c>
      <c r="K18" s="1342">
        <v>0</v>
      </c>
      <c r="L18" s="1339">
        <f t="shared" si="0"/>
        <v>1989</v>
      </c>
      <c r="M18" s="1342" t="s">
        <v>2096</v>
      </c>
    </row>
    <row r="19" spans="2:14" ht="20.100000000000001" customHeight="1" x14ac:dyDescent="0.2">
      <c r="B19" s="1336" t="s">
        <v>2150</v>
      </c>
      <c r="C19" s="1340">
        <v>10.553000000000001</v>
      </c>
      <c r="D19" s="1341" t="s">
        <v>2173</v>
      </c>
      <c r="E19" s="1342">
        <v>9246</v>
      </c>
      <c r="F19" s="1342">
        <v>1862</v>
      </c>
      <c r="G19" s="1342">
        <v>9246</v>
      </c>
      <c r="H19" s="1342">
        <v>0</v>
      </c>
      <c r="I19" s="1342">
        <v>1862</v>
      </c>
      <c r="J19" s="1342">
        <v>0</v>
      </c>
      <c r="K19" s="1342">
        <v>0</v>
      </c>
      <c r="L19" s="1339">
        <f t="shared" si="0"/>
        <v>11108</v>
      </c>
      <c r="M19" s="1342" t="s">
        <v>2096</v>
      </c>
    </row>
    <row r="20" spans="2:14" ht="20.100000000000001" customHeight="1" x14ac:dyDescent="0.2">
      <c r="B20" s="1336" t="s">
        <v>2150</v>
      </c>
      <c r="C20" s="1340">
        <v>10.553000000000001</v>
      </c>
      <c r="D20" s="1341" t="s">
        <v>2174</v>
      </c>
      <c r="E20" s="1959">
        <v>0</v>
      </c>
      <c r="F20" s="1959">
        <v>8040</v>
      </c>
      <c r="G20" s="1959">
        <v>0</v>
      </c>
      <c r="H20" s="1959">
        <v>0</v>
      </c>
      <c r="I20" s="1959">
        <v>8040</v>
      </c>
      <c r="J20" s="1959">
        <v>0</v>
      </c>
      <c r="K20" s="1959">
        <v>0</v>
      </c>
      <c r="L20" s="1960">
        <f t="shared" si="0"/>
        <v>8040</v>
      </c>
      <c r="M20" s="1342" t="s">
        <v>2096</v>
      </c>
    </row>
    <row r="21" spans="2:14" ht="20.100000000000001" customHeight="1" x14ac:dyDescent="0.2">
      <c r="B21" s="1336" t="s">
        <v>2151</v>
      </c>
      <c r="C21" s="1340"/>
      <c r="D21" s="1341"/>
      <c r="E21" s="1959">
        <f>SUM(E13:E20)</f>
        <v>38177</v>
      </c>
      <c r="F21" s="1959">
        <f t="shared" ref="F21:K21" si="1">SUM(F13:F20)</f>
        <v>40026</v>
      </c>
      <c r="G21" s="1959">
        <f t="shared" si="1"/>
        <v>38177</v>
      </c>
      <c r="H21" s="1959">
        <f t="shared" si="1"/>
        <v>0</v>
      </c>
      <c r="I21" s="1959">
        <f t="shared" si="1"/>
        <v>40026</v>
      </c>
      <c r="J21" s="1959">
        <f t="shared" si="1"/>
        <v>0</v>
      </c>
      <c r="K21" s="1959">
        <f t="shared" si="1"/>
        <v>0</v>
      </c>
      <c r="L21" s="1339">
        <f t="shared" si="0"/>
        <v>78203</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t="s">
        <v>2129</v>
      </c>
      <c r="C23" s="1340"/>
      <c r="D23" s="1341"/>
      <c r="E23" s="1342"/>
      <c r="F23" s="1342"/>
      <c r="G23" s="1342"/>
      <c r="H23" s="1342"/>
      <c r="I23" s="1342"/>
      <c r="J23" s="1342"/>
      <c r="K23" s="1342"/>
      <c r="L23" s="1339">
        <f t="shared" si="0"/>
        <v>0</v>
      </c>
      <c r="M23" s="1342"/>
    </row>
    <row r="24" spans="2:14" ht="20.100000000000001" customHeight="1" x14ac:dyDescent="0.2">
      <c r="B24" s="1336" t="s">
        <v>2147</v>
      </c>
      <c r="C24" s="1340"/>
      <c r="D24" s="1341"/>
      <c r="E24" s="1342"/>
      <c r="F24" s="1342"/>
      <c r="G24" s="1342"/>
      <c r="H24" s="1342"/>
      <c r="I24" s="1342"/>
      <c r="J24" s="1342"/>
      <c r="K24" s="1342"/>
      <c r="L24" s="1339">
        <f t="shared" si="0"/>
        <v>0</v>
      </c>
      <c r="M24" s="1342"/>
    </row>
    <row r="25" spans="2:14" ht="20.100000000000001" customHeight="1" x14ac:dyDescent="0.2">
      <c r="B25" s="1336" t="s">
        <v>2152</v>
      </c>
      <c r="C25" s="1340" t="s">
        <v>2130</v>
      </c>
      <c r="D25" s="1341" t="s">
        <v>2175</v>
      </c>
      <c r="E25" s="1342">
        <v>90698</v>
      </c>
      <c r="F25" s="1342">
        <v>0</v>
      </c>
      <c r="G25" s="1342">
        <v>90698</v>
      </c>
      <c r="H25" s="1342">
        <v>49541</v>
      </c>
      <c r="I25" s="1342">
        <v>0</v>
      </c>
      <c r="J25" s="1342">
        <v>0</v>
      </c>
      <c r="K25" s="1342">
        <v>0</v>
      </c>
      <c r="L25" s="1339">
        <f t="shared" si="0"/>
        <v>90698</v>
      </c>
      <c r="M25" s="1342">
        <v>93490</v>
      </c>
    </row>
    <row r="26" spans="2:14" ht="20.100000000000001" customHeight="1" x14ac:dyDescent="0.2">
      <c r="B26" s="1336" t="s">
        <v>2152</v>
      </c>
      <c r="C26" s="1340" t="s">
        <v>2130</v>
      </c>
      <c r="D26" s="1341" t="s">
        <v>2168</v>
      </c>
      <c r="E26" s="1959">
        <v>0</v>
      </c>
      <c r="F26" s="1959">
        <v>90878</v>
      </c>
      <c r="G26" s="1959">
        <v>0</v>
      </c>
      <c r="H26" s="1959">
        <v>0</v>
      </c>
      <c r="I26" s="1959">
        <v>90878</v>
      </c>
      <c r="J26" s="1961">
        <v>49507</v>
      </c>
      <c r="K26" s="1959">
        <v>0</v>
      </c>
      <c r="L26" s="1960">
        <f t="shared" si="0"/>
        <v>90878</v>
      </c>
      <c r="M26" s="1342">
        <v>94165</v>
      </c>
    </row>
    <row r="27" spans="2:14" ht="20.100000000000001" customHeight="1" x14ac:dyDescent="0.2">
      <c r="B27" s="1336" t="s">
        <v>2153</v>
      </c>
      <c r="C27" s="1340"/>
      <c r="D27" s="1341"/>
      <c r="E27" s="1959">
        <f>SUM(E25:E26)</f>
        <v>90698</v>
      </c>
      <c r="F27" s="1959">
        <f t="shared" ref="F27:K27" si="2">SUM(F25:F26)</f>
        <v>90878</v>
      </c>
      <c r="G27" s="1959">
        <f t="shared" si="2"/>
        <v>90698</v>
      </c>
      <c r="H27" s="1959">
        <f t="shared" si="2"/>
        <v>49541</v>
      </c>
      <c r="I27" s="1959">
        <f t="shared" si="2"/>
        <v>90878</v>
      </c>
      <c r="J27" s="1959">
        <f t="shared" si="2"/>
        <v>49507</v>
      </c>
      <c r="K27" s="1959">
        <f t="shared" si="2"/>
        <v>0</v>
      </c>
      <c r="L27" s="1960">
        <f t="shared" si="0"/>
        <v>181576</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2" t="s">
        <v>1837</v>
      </c>
      <c r="C29" s="1348"/>
      <c r="D29" s="1349"/>
      <c r="E29" s="1257"/>
      <c r="F29" s="1257"/>
      <c r="G29" s="1250"/>
      <c r="H29" s="1250"/>
      <c r="I29" s="1250"/>
      <c r="J29" s="1250"/>
      <c r="K29" s="1250"/>
      <c r="L29" s="1250"/>
      <c r="M29" s="1257"/>
      <c r="N29" s="1343"/>
    </row>
    <row r="30" spans="2:14" ht="8.25" customHeight="1" x14ac:dyDescent="0.2">
      <c r="B30" s="1282"/>
      <c r="C30" s="1348"/>
      <c r="D30" s="1349"/>
      <c r="E30" s="1257"/>
      <c r="F30" s="1257"/>
      <c r="G30" s="1250"/>
      <c r="H30" s="1250"/>
      <c r="I30" s="1250"/>
      <c r="J30" s="1250"/>
      <c r="K30" s="1250"/>
      <c r="L30" s="1250"/>
      <c r="M30" s="1257"/>
      <c r="N30" s="1343"/>
    </row>
    <row r="31" spans="2:14" x14ac:dyDescent="0.2">
      <c r="B31" s="1350" t="s">
        <v>1948</v>
      </c>
      <c r="C31" s="1351"/>
      <c r="D31" s="1352"/>
      <c r="E31" s="1353"/>
      <c r="F31" s="1353"/>
      <c r="G31" s="1353"/>
      <c r="H31" s="1353"/>
      <c r="I31" s="317"/>
      <c r="J31" s="317"/>
    </row>
    <row r="32" spans="2:14" x14ac:dyDescent="0.2">
      <c r="B32" s="1277"/>
      <c r="C32" s="1354"/>
      <c r="D32" s="1355"/>
      <c r="E32" s="1278"/>
      <c r="F32" s="1278"/>
      <c r="G32" s="317"/>
      <c r="H32" s="317"/>
      <c r="I32" s="317"/>
      <c r="J32" s="317"/>
    </row>
    <row r="33" spans="2:13" ht="13.5" customHeight="1" x14ac:dyDescent="0.2">
      <c r="B33" s="1276"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workbookViewId="0">
      <selection activeCell="A17" sqref="A17:K1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534" t="str">
        <f>'Single Audit Cover'!A7</f>
        <v>Ogle County Educational Cooperative</v>
      </c>
      <c r="C1" s="2568"/>
      <c r="D1" s="2568"/>
      <c r="E1" s="2568"/>
      <c r="F1" s="2568"/>
      <c r="G1" s="2568"/>
      <c r="H1" s="2568"/>
      <c r="I1" s="2568"/>
      <c r="J1" s="2568"/>
      <c r="K1" s="2568"/>
      <c r="L1" s="2568"/>
      <c r="M1" s="2568"/>
    </row>
    <row r="2" spans="2:14" ht="15" x14ac:dyDescent="0.2">
      <c r="B2" s="2557">
        <f>'Single Audit Cover'!E7</f>
        <v>47071801060</v>
      </c>
      <c r="C2" s="2557"/>
      <c r="D2" s="2557"/>
      <c r="E2" s="2557"/>
      <c r="F2" s="2557"/>
      <c r="G2" s="2557"/>
      <c r="H2" s="2557"/>
      <c r="I2" s="2557"/>
      <c r="J2" s="2557"/>
      <c r="K2" s="2557"/>
      <c r="L2" s="2557"/>
      <c r="M2" s="2557"/>
      <c r="N2" s="1301"/>
    </row>
    <row r="3" spans="2:14" ht="15" x14ac:dyDescent="0.2">
      <c r="B3" s="2569" t="s">
        <v>1281</v>
      </c>
      <c r="C3" s="2569"/>
      <c r="D3" s="2569"/>
      <c r="E3" s="2569"/>
      <c r="F3" s="2569"/>
      <c r="G3" s="2569"/>
      <c r="H3" s="2569"/>
      <c r="I3" s="2569"/>
      <c r="J3" s="2569"/>
      <c r="K3" s="2569"/>
      <c r="L3" s="2569"/>
      <c r="M3" s="2569"/>
      <c r="N3" s="1301"/>
    </row>
    <row r="4" spans="2:14" ht="15" x14ac:dyDescent="0.2">
      <c r="B4" s="2570" t="str">
        <f>'Single Audit Cover'!A4</f>
        <v>Year Ending June 30, 2018</v>
      </c>
      <c r="C4" s="2570"/>
      <c r="D4" s="2570"/>
      <c r="E4" s="2570"/>
      <c r="F4" s="2570"/>
      <c r="G4" s="2570"/>
      <c r="H4" s="2570"/>
      <c r="I4" s="2570"/>
      <c r="J4" s="2570"/>
      <c r="K4" s="2570"/>
      <c r="L4" s="2570"/>
      <c r="M4" s="2570"/>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2154</v>
      </c>
      <c r="C11" s="1337" t="s">
        <v>2131</v>
      </c>
      <c r="D11" s="1338" t="s">
        <v>2176</v>
      </c>
      <c r="E11" s="1339">
        <v>1834494</v>
      </c>
      <c r="F11" s="1339">
        <v>0</v>
      </c>
      <c r="G11" s="1339">
        <v>1834494</v>
      </c>
      <c r="H11" s="1339">
        <v>806830</v>
      </c>
      <c r="I11" s="1339">
        <v>0</v>
      </c>
      <c r="J11" s="1339">
        <v>0</v>
      </c>
      <c r="K11" s="1339">
        <v>0</v>
      </c>
      <c r="L11" s="1339">
        <f>+G11+I11+K11</f>
        <v>1834494</v>
      </c>
      <c r="M11" s="1339">
        <v>1920065</v>
      </c>
    </row>
    <row r="12" spans="2:14" ht="20.100000000000001" customHeight="1" x14ac:dyDescent="0.2">
      <c r="B12" s="1336" t="s">
        <v>2154</v>
      </c>
      <c r="C12" s="1337" t="s">
        <v>2131</v>
      </c>
      <c r="D12" s="1338" t="s">
        <v>2177</v>
      </c>
      <c r="E12" s="1342">
        <v>0</v>
      </c>
      <c r="F12" s="1342">
        <v>2139089</v>
      </c>
      <c r="G12" s="1342">
        <v>0</v>
      </c>
      <c r="H12" s="1342">
        <v>0</v>
      </c>
      <c r="I12" s="1342">
        <v>2139089</v>
      </c>
      <c r="J12" s="2059">
        <v>457532</v>
      </c>
      <c r="K12" s="1342">
        <v>0</v>
      </c>
      <c r="L12" s="1339">
        <f t="shared" ref="L12:L27" si="0">+G12+I12+K12</f>
        <v>2139089</v>
      </c>
      <c r="M12" s="1342">
        <v>2276534</v>
      </c>
    </row>
    <row r="13" spans="2:14" ht="20.100000000000001" customHeight="1" x14ac:dyDescent="0.2">
      <c r="B13" s="1336"/>
      <c r="C13" s="1340"/>
      <c r="D13" s="1341"/>
      <c r="E13" s="1342"/>
      <c r="F13" s="1342"/>
      <c r="G13" s="1342"/>
      <c r="H13" s="1342"/>
      <c r="I13" s="1342"/>
      <c r="J13" s="1342"/>
      <c r="K13" s="1342"/>
      <c r="L13" s="1339">
        <f t="shared" si="0"/>
        <v>0</v>
      </c>
      <c r="M13" s="1342"/>
    </row>
    <row r="14" spans="2:14" ht="22.5" x14ac:dyDescent="0.2">
      <c r="B14" s="1336" t="s">
        <v>2133</v>
      </c>
      <c r="C14" s="1340"/>
      <c r="D14" s="1341"/>
      <c r="E14" s="1342"/>
      <c r="F14" s="1342"/>
      <c r="G14" s="1342"/>
      <c r="H14" s="1342"/>
      <c r="I14" s="1342"/>
      <c r="J14" s="1342"/>
      <c r="K14" s="1342"/>
      <c r="L14" s="1339">
        <f t="shared" si="0"/>
        <v>0</v>
      </c>
      <c r="M14" s="1342"/>
    </row>
    <row r="15" spans="2:14" ht="20.100000000000001" customHeight="1" x14ac:dyDescent="0.2">
      <c r="B15" s="1336" t="s">
        <v>2134</v>
      </c>
      <c r="C15" s="1340" t="s">
        <v>2131</v>
      </c>
      <c r="D15" s="1341" t="s">
        <v>2178</v>
      </c>
      <c r="E15" s="1342">
        <v>115469</v>
      </c>
      <c r="F15" s="1342">
        <v>9888</v>
      </c>
      <c r="G15" s="1342">
        <v>119424</v>
      </c>
      <c r="H15" s="1342">
        <v>0</v>
      </c>
      <c r="I15" s="1342">
        <v>0</v>
      </c>
      <c r="J15" s="1342">
        <v>0</v>
      </c>
      <c r="K15" s="1342">
        <v>0</v>
      </c>
      <c r="L15" s="1339">
        <f t="shared" si="0"/>
        <v>119424</v>
      </c>
      <c r="M15" s="1342" t="s">
        <v>2096</v>
      </c>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t="s">
        <v>2135</v>
      </c>
      <c r="C17" s="1340"/>
      <c r="D17" s="1341"/>
      <c r="E17" s="1342"/>
      <c r="F17" s="1342"/>
      <c r="G17" s="1342"/>
      <c r="H17" s="1342"/>
      <c r="I17" s="1342"/>
      <c r="J17" s="1342"/>
      <c r="K17" s="1342"/>
      <c r="L17" s="1339">
        <f t="shared" si="0"/>
        <v>0</v>
      </c>
      <c r="M17" s="1342"/>
    </row>
    <row r="18" spans="2:14" ht="20.100000000000001" customHeight="1" x14ac:dyDescent="0.2">
      <c r="B18" s="1336" t="s">
        <v>2134</v>
      </c>
      <c r="C18" s="1340" t="s">
        <v>2131</v>
      </c>
      <c r="D18" s="1341" t="s">
        <v>2178</v>
      </c>
      <c r="E18" s="1342">
        <v>120157</v>
      </c>
      <c r="F18" s="1342">
        <v>0</v>
      </c>
      <c r="G18" s="1342">
        <v>97740</v>
      </c>
      <c r="H18" s="1342">
        <v>0</v>
      </c>
      <c r="I18" s="1342">
        <v>0</v>
      </c>
      <c r="J18" s="1342">
        <v>0</v>
      </c>
      <c r="K18" s="1342">
        <v>0</v>
      </c>
      <c r="L18" s="1339">
        <f t="shared" si="0"/>
        <v>97740</v>
      </c>
      <c r="M18" s="1342" t="s">
        <v>2096</v>
      </c>
    </row>
    <row r="19" spans="2:14" ht="20.100000000000001" customHeight="1" x14ac:dyDescent="0.2">
      <c r="B19" s="1336" t="s">
        <v>2136</v>
      </c>
      <c r="C19" s="1340" t="s">
        <v>2131</v>
      </c>
      <c r="D19" s="1341" t="s">
        <v>2178</v>
      </c>
      <c r="E19" s="1342">
        <v>9532</v>
      </c>
      <c r="F19" s="1342">
        <v>0</v>
      </c>
      <c r="G19" s="1342">
        <v>0</v>
      </c>
      <c r="H19" s="1342">
        <v>0</v>
      </c>
      <c r="I19" s="1342">
        <v>0</v>
      </c>
      <c r="J19" s="1342">
        <v>0</v>
      </c>
      <c r="K19" s="1342">
        <v>0</v>
      </c>
      <c r="L19" s="1339">
        <v>0</v>
      </c>
      <c r="M19" s="1342" t="s">
        <v>2096</v>
      </c>
    </row>
    <row r="20" spans="2:14" ht="20.100000000000001" customHeight="1" x14ac:dyDescent="0.2">
      <c r="B20" s="1336" t="s">
        <v>2134</v>
      </c>
      <c r="C20" s="1340" t="s">
        <v>2131</v>
      </c>
      <c r="D20" s="1341" t="s">
        <v>2179</v>
      </c>
      <c r="E20" s="1342">
        <v>0</v>
      </c>
      <c r="F20" s="1342">
        <v>13361</v>
      </c>
      <c r="G20" s="1342">
        <v>0</v>
      </c>
      <c r="H20" s="1342">
        <v>0</v>
      </c>
      <c r="I20" s="1342">
        <v>7472</v>
      </c>
      <c r="J20" s="1342">
        <v>0</v>
      </c>
      <c r="K20" s="1342">
        <v>0</v>
      </c>
      <c r="L20" s="1339">
        <f t="shared" si="0"/>
        <v>7472</v>
      </c>
      <c r="M20" s="1342" t="s">
        <v>2096</v>
      </c>
    </row>
    <row r="21" spans="2:14" ht="20.100000000000001" customHeight="1" x14ac:dyDescent="0.2">
      <c r="B21" s="1336"/>
      <c r="C21" s="1340"/>
      <c r="D21" s="1341"/>
      <c r="E21" s="1342"/>
      <c r="F21" s="1342"/>
      <c r="G21" s="1342"/>
      <c r="H21" s="1342"/>
      <c r="I21" s="1342"/>
      <c r="J21" s="1342"/>
      <c r="K21" s="1342"/>
      <c r="L21" s="1339">
        <f t="shared" si="0"/>
        <v>0</v>
      </c>
      <c r="M21" s="1342"/>
    </row>
    <row r="22" spans="2:14" ht="22.5" x14ac:dyDescent="0.2">
      <c r="B22" s="1336" t="s">
        <v>2137</v>
      </c>
      <c r="C22" s="1340"/>
      <c r="D22" s="1341"/>
      <c r="E22" s="1342"/>
      <c r="F22" s="1342"/>
      <c r="G22" s="1342"/>
      <c r="H22" s="1342"/>
      <c r="I22" s="1342"/>
      <c r="J22" s="1342"/>
      <c r="K22" s="1342"/>
      <c r="L22" s="1339">
        <f t="shared" si="0"/>
        <v>0</v>
      </c>
      <c r="M22" s="1342"/>
    </row>
    <row r="23" spans="2:14" ht="20.100000000000001" customHeight="1" x14ac:dyDescent="0.2">
      <c r="B23" s="1336" t="s">
        <v>2134</v>
      </c>
      <c r="C23" s="1340" t="s">
        <v>2131</v>
      </c>
      <c r="D23" s="1341" t="s">
        <v>2178</v>
      </c>
      <c r="E23" s="1342">
        <v>7655</v>
      </c>
      <c r="F23" s="1342">
        <v>0</v>
      </c>
      <c r="G23" s="1342">
        <v>8506</v>
      </c>
      <c r="H23" s="1342">
        <v>0</v>
      </c>
      <c r="I23" s="1342">
        <v>0</v>
      </c>
      <c r="J23" s="1342">
        <v>0</v>
      </c>
      <c r="K23" s="1342">
        <v>0</v>
      </c>
      <c r="L23" s="1339">
        <f t="shared" si="0"/>
        <v>8506</v>
      </c>
      <c r="M23" s="1342" t="s">
        <v>2096</v>
      </c>
    </row>
    <row r="24" spans="2:14" ht="20.100000000000001" customHeight="1" x14ac:dyDescent="0.2">
      <c r="B24" s="1336" t="s">
        <v>2134</v>
      </c>
      <c r="C24" s="1340" t="s">
        <v>2131</v>
      </c>
      <c r="D24" s="1341" t="s">
        <v>2179</v>
      </c>
      <c r="E24" s="1342">
        <v>0</v>
      </c>
      <c r="F24" s="1342">
        <v>46107</v>
      </c>
      <c r="G24" s="1342">
        <v>0</v>
      </c>
      <c r="H24" s="1342">
        <v>0</v>
      </c>
      <c r="I24" s="1342">
        <v>47844</v>
      </c>
      <c r="J24" s="1342">
        <v>0</v>
      </c>
      <c r="K24" s="1342">
        <v>0</v>
      </c>
      <c r="L24" s="1339">
        <f t="shared" si="0"/>
        <v>47844</v>
      </c>
      <c r="M24" s="1342" t="s">
        <v>2096</v>
      </c>
    </row>
    <row r="25" spans="2:14" ht="20.100000000000001" customHeight="1" x14ac:dyDescent="0.2">
      <c r="B25" s="1336"/>
      <c r="C25" s="1340"/>
      <c r="D25" s="1341"/>
      <c r="E25" s="1342"/>
      <c r="F25" s="1342"/>
      <c r="G25" s="1342"/>
      <c r="H25" s="1342"/>
      <c r="I25" s="1342"/>
      <c r="J25" s="1342"/>
      <c r="K25" s="1342"/>
      <c r="L25" s="1339">
        <f t="shared" si="0"/>
        <v>0</v>
      </c>
      <c r="M25" s="1342"/>
    </row>
    <row r="26" spans="2:14" ht="22.5" x14ac:dyDescent="0.2">
      <c r="B26" s="1336" t="s">
        <v>2138</v>
      </c>
      <c r="C26" s="1340"/>
      <c r="D26" s="1341"/>
      <c r="E26" s="1342"/>
      <c r="F26" s="1342"/>
      <c r="G26" s="1342"/>
      <c r="H26" s="1342"/>
      <c r="I26" s="1342"/>
      <c r="J26" s="1342"/>
      <c r="K26" s="1342"/>
      <c r="L26" s="1339">
        <f t="shared" si="0"/>
        <v>0</v>
      </c>
      <c r="M26" s="1342"/>
    </row>
    <row r="27" spans="2:14" ht="20.100000000000001" customHeight="1" x14ac:dyDescent="0.2">
      <c r="B27" s="1336" t="s">
        <v>2136</v>
      </c>
      <c r="C27" s="1340" t="s">
        <v>2131</v>
      </c>
      <c r="D27" s="1341" t="s">
        <v>2178</v>
      </c>
      <c r="E27" s="1959">
        <v>7121</v>
      </c>
      <c r="F27" s="1959">
        <v>0</v>
      </c>
      <c r="G27" s="1959">
        <v>0</v>
      </c>
      <c r="H27" s="1959">
        <v>0</v>
      </c>
      <c r="I27" s="1959">
        <v>0</v>
      </c>
      <c r="J27" s="1959">
        <v>0</v>
      </c>
      <c r="K27" s="1959">
        <v>0</v>
      </c>
      <c r="L27" s="1960">
        <f t="shared" si="0"/>
        <v>0</v>
      </c>
      <c r="M27" s="1342" t="s">
        <v>2096</v>
      </c>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2" t="s">
        <v>1837</v>
      </c>
      <c r="C29" s="1348"/>
      <c r="D29" s="1349"/>
      <c r="E29" s="1257"/>
      <c r="F29" s="1257"/>
      <c r="G29" s="1250"/>
      <c r="H29" s="1250"/>
      <c r="I29" s="1250"/>
      <c r="J29" s="1250"/>
      <c r="K29" s="1250"/>
      <c r="L29" s="1250"/>
      <c r="M29" s="1257"/>
      <c r="N29" s="1343"/>
    </row>
    <row r="30" spans="2:14" ht="8.25" customHeight="1" x14ac:dyDescent="0.2">
      <c r="B30" s="1282"/>
      <c r="C30" s="1348"/>
      <c r="D30" s="1349"/>
      <c r="E30" s="1257"/>
      <c r="F30" s="1257"/>
      <c r="G30" s="1250"/>
      <c r="H30" s="1250"/>
      <c r="I30" s="1250"/>
      <c r="J30" s="1250"/>
      <c r="K30" s="1250"/>
      <c r="L30" s="1250"/>
      <c r="M30" s="1257"/>
      <c r="N30" s="1343"/>
    </row>
    <row r="31" spans="2:14" x14ac:dyDescent="0.2">
      <c r="B31" s="1350" t="s">
        <v>1948</v>
      </c>
      <c r="C31" s="1351"/>
      <c r="D31" s="1352"/>
      <c r="E31" s="1353"/>
      <c r="F31" s="1353"/>
      <c r="G31" s="1353"/>
      <c r="H31" s="1353"/>
      <c r="I31" s="317"/>
      <c r="J31" s="317"/>
    </row>
    <row r="32" spans="2:14" x14ac:dyDescent="0.2">
      <c r="B32" s="1277"/>
      <c r="C32" s="1354"/>
      <c r="D32" s="1355"/>
      <c r="E32" s="1278"/>
      <c r="F32" s="1278"/>
      <c r="G32" s="317"/>
      <c r="H32" s="317"/>
      <c r="I32" s="317"/>
      <c r="J32" s="317"/>
    </row>
    <row r="33" spans="2:13" ht="13.5" customHeight="1" x14ac:dyDescent="0.2">
      <c r="B33" s="1276"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19" workbookViewId="0">
      <selection activeCell="A17" sqref="A17:K1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534" t="str">
        <f>'Single Audit Cover'!A7</f>
        <v>Ogle County Educational Cooperative</v>
      </c>
      <c r="C1" s="2568"/>
      <c r="D1" s="2568"/>
      <c r="E1" s="2568"/>
      <c r="F1" s="2568"/>
      <c r="G1" s="2568"/>
      <c r="H1" s="2568"/>
      <c r="I1" s="2568"/>
      <c r="J1" s="2568"/>
      <c r="K1" s="2568"/>
      <c r="L1" s="2568"/>
      <c r="M1" s="2568"/>
    </row>
    <row r="2" spans="2:14" ht="15" x14ac:dyDescent="0.2">
      <c r="B2" s="2557">
        <f>'Single Audit Cover'!E7</f>
        <v>47071801060</v>
      </c>
      <c r="C2" s="2557"/>
      <c r="D2" s="2557"/>
      <c r="E2" s="2557"/>
      <c r="F2" s="2557"/>
      <c r="G2" s="2557"/>
      <c r="H2" s="2557"/>
      <c r="I2" s="2557"/>
      <c r="J2" s="2557"/>
      <c r="K2" s="2557"/>
      <c r="L2" s="2557"/>
      <c r="M2" s="2557"/>
      <c r="N2" s="1301"/>
    </row>
    <row r="3" spans="2:14" ht="15" x14ac:dyDescent="0.2">
      <c r="B3" s="2569" t="s">
        <v>1281</v>
      </c>
      <c r="C3" s="2569"/>
      <c r="D3" s="2569"/>
      <c r="E3" s="2569"/>
      <c r="F3" s="2569"/>
      <c r="G3" s="2569"/>
      <c r="H3" s="2569"/>
      <c r="I3" s="2569"/>
      <c r="J3" s="2569"/>
      <c r="K3" s="2569"/>
      <c r="L3" s="2569"/>
      <c r="M3" s="2569"/>
      <c r="N3" s="1301"/>
    </row>
    <row r="4" spans="2:14" ht="15" x14ac:dyDescent="0.2">
      <c r="B4" s="2570" t="str">
        <f>'Single Audit Cover'!A4</f>
        <v>Year Ending June 30, 2018</v>
      </c>
      <c r="C4" s="2570"/>
      <c r="D4" s="2570"/>
      <c r="E4" s="2570"/>
      <c r="F4" s="2570"/>
      <c r="G4" s="2570"/>
      <c r="H4" s="2570"/>
      <c r="I4" s="2570"/>
      <c r="J4" s="2570"/>
      <c r="K4" s="2570"/>
      <c r="L4" s="2570"/>
      <c r="M4" s="2570"/>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2132</v>
      </c>
      <c r="C11" s="1337"/>
      <c r="D11" s="1338"/>
      <c r="E11" s="1960">
        <f>+' SEFA (2)'!E27+' SEFA (2)'!E24+' SEFA (2)'!E23+' SEFA (2)'!E20+' SEFA (2)'!E19+' SEFA (2)'!E18+' SEFA (2)'!E15+' SEFA (2)'!E12+' SEFA (2)'!E11</f>
        <v>2094428</v>
      </c>
      <c r="F11" s="1960">
        <f>+' SEFA (2)'!F27+' SEFA (2)'!F24+' SEFA (2)'!F23+' SEFA (2)'!F20+' SEFA (2)'!F19+' SEFA (2)'!F18+' SEFA (2)'!F15+' SEFA (2)'!F12+' SEFA (2)'!F11</f>
        <v>2208445</v>
      </c>
      <c r="G11" s="1960">
        <f>+' SEFA (2)'!G27+' SEFA (2)'!G24+' SEFA (2)'!G23+' SEFA (2)'!G20+' SEFA (2)'!G19+' SEFA (2)'!G18+' SEFA (2)'!G15+' SEFA (2)'!G12+' SEFA (2)'!G11</f>
        <v>2060164</v>
      </c>
      <c r="H11" s="1960">
        <f>+' SEFA (2)'!H27+' SEFA (2)'!H24+' SEFA (2)'!H23+' SEFA (2)'!H20+' SEFA (2)'!H19+' SEFA (2)'!H18+' SEFA (2)'!H15+' SEFA (2)'!H12+' SEFA (2)'!H11</f>
        <v>806830</v>
      </c>
      <c r="I11" s="1960">
        <f>+' SEFA (2)'!I27+' SEFA (2)'!I24+' SEFA (2)'!I23+' SEFA (2)'!I20+' SEFA (2)'!I19+' SEFA (2)'!I18+' SEFA (2)'!I15+' SEFA (2)'!I12+' SEFA (2)'!I11</f>
        <v>2194405</v>
      </c>
      <c r="J11" s="1960">
        <f>+' SEFA (2)'!J27+' SEFA (2)'!J24+' SEFA (2)'!J23+' SEFA (2)'!J20+' SEFA (2)'!J19+' SEFA (2)'!J18+' SEFA (2)'!J15+' SEFA (2)'!J12+' SEFA (2)'!J11</f>
        <v>457532</v>
      </c>
      <c r="K11" s="1960">
        <f>+' SEFA (2)'!K27+' SEFA (2)'!K24+' SEFA (2)'!K23+' SEFA (2)'!K20+' SEFA (2)'!K19+' SEFA (2)'!K18+' SEFA (2)'!K15+' SEFA (2)'!K12+' SEFA (2)'!K11</f>
        <v>0</v>
      </c>
      <c r="L11" s="1960">
        <f>+G11+I11+K11</f>
        <v>4254569</v>
      </c>
      <c r="M11" s="1339"/>
    </row>
    <row r="12" spans="2:14" ht="20.100000000000001" customHeight="1" x14ac:dyDescent="0.2">
      <c r="B12" s="1336" t="s">
        <v>2139</v>
      </c>
      <c r="C12" s="1340"/>
      <c r="D12" s="1341"/>
      <c r="E12" s="1959">
        <f>+E11+' SEFA'!E27</f>
        <v>2185126</v>
      </c>
      <c r="F12" s="1959">
        <f>+F11+' SEFA'!F27</f>
        <v>2299323</v>
      </c>
      <c r="G12" s="1959">
        <f>+G11+' SEFA'!G27</f>
        <v>2150862</v>
      </c>
      <c r="H12" s="1959">
        <f>+H11+' SEFA'!H27</f>
        <v>856371</v>
      </c>
      <c r="I12" s="1959">
        <f>+I11+' SEFA'!I27</f>
        <v>2285283</v>
      </c>
      <c r="J12" s="1959">
        <f>+J11+' SEFA'!J27</f>
        <v>507039</v>
      </c>
      <c r="K12" s="1959">
        <f>+K11+' SEFA'!K27</f>
        <v>0</v>
      </c>
      <c r="L12" s="1960">
        <f t="shared" ref="L12:L27" si="0">+G12+I12+K12</f>
        <v>4436145</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t="s">
        <v>2140</v>
      </c>
      <c r="C14" s="1340"/>
      <c r="D14" s="1341"/>
      <c r="E14" s="1342"/>
      <c r="F14" s="1342"/>
      <c r="G14" s="1342"/>
      <c r="H14" s="1342"/>
      <c r="I14" s="1342"/>
      <c r="J14" s="1342"/>
      <c r="K14" s="1342"/>
      <c r="L14" s="1339">
        <f t="shared" si="0"/>
        <v>0</v>
      </c>
      <c r="M14" s="1342"/>
    </row>
    <row r="15" spans="2:14" ht="22.5" x14ac:dyDescent="0.2">
      <c r="B15" s="1336" t="s">
        <v>2143</v>
      </c>
      <c r="C15" s="1340">
        <v>84.126000000000005</v>
      </c>
      <c r="D15" s="1341" t="s">
        <v>2141</v>
      </c>
      <c r="E15" s="1342">
        <v>33916</v>
      </c>
      <c r="F15" s="1342">
        <v>0</v>
      </c>
      <c r="G15" s="1342">
        <v>33916</v>
      </c>
      <c r="H15" s="1342">
        <v>0</v>
      </c>
      <c r="I15" s="1342">
        <v>0</v>
      </c>
      <c r="J15" s="1342">
        <v>0</v>
      </c>
      <c r="K15" s="1342">
        <v>0</v>
      </c>
      <c r="L15" s="1339">
        <f t="shared" si="0"/>
        <v>33916</v>
      </c>
      <c r="M15" s="1342">
        <v>33916</v>
      </c>
    </row>
    <row r="16" spans="2:14" ht="22.5" x14ac:dyDescent="0.2">
      <c r="B16" s="1336" t="s">
        <v>2143</v>
      </c>
      <c r="C16" s="1340">
        <v>84.126000000000005</v>
      </c>
      <c r="D16" s="1341" t="s">
        <v>2142</v>
      </c>
      <c r="E16" s="1342">
        <v>0</v>
      </c>
      <c r="F16" s="1342">
        <v>44242</v>
      </c>
      <c r="G16" s="1342">
        <v>0</v>
      </c>
      <c r="H16" s="1342">
        <v>0</v>
      </c>
      <c r="I16" s="1342">
        <v>44272</v>
      </c>
      <c r="J16" s="1342">
        <v>0</v>
      </c>
      <c r="K16" s="1342">
        <v>0</v>
      </c>
      <c r="L16" s="1339">
        <f t="shared" si="0"/>
        <v>44272</v>
      </c>
      <c r="M16" s="1342">
        <v>44242</v>
      </c>
    </row>
    <row r="17" spans="2:14" ht="20.100000000000001" customHeight="1" x14ac:dyDescent="0.2">
      <c r="B17" s="1336" t="s">
        <v>2144</v>
      </c>
      <c r="C17" s="1340"/>
      <c r="D17" s="1341"/>
      <c r="E17" s="1959">
        <v>0</v>
      </c>
      <c r="F17" s="1959">
        <v>0</v>
      </c>
      <c r="G17" s="1959">
        <v>0</v>
      </c>
      <c r="H17" s="1959">
        <v>0</v>
      </c>
      <c r="I17" s="1959">
        <v>80289</v>
      </c>
      <c r="J17" s="1959">
        <v>0</v>
      </c>
      <c r="K17" s="1959">
        <v>0</v>
      </c>
      <c r="L17" s="1960">
        <f t="shared" si="0"/>
        <v>80289</v>
      </c>
      <c r="M17" s="1342"/>
    </row>
    <row r="18" spans="2:14" ht="20.100000000000001" customHeight="1" x14ac:dyDescent="0.2">
      <c r="B18" s="1336" t="s">
        <v>2155</v>
      </c>
      <c r="C18" s="1340"/>
      <c r="D18" s="1341"/>
      <c r="E18" s="1959">
        <f>SUM(E15:E17)</f>
        <v>33916</v>
      </c>
      <c r="F18" s="1959">
        <f t="shared" ref="F18:K18" si="1">SUM(F15:F17)</f>
        <v>44242</v>
      </c>
      <c r="G18" s="1959">
        <f t="shared" si="1"/>
        <v>33916</v>
      </c>
      <c r="H18" s="1959">
        <f t="shared" si="1"/>
        <v>0</v>
      </c>
      <c r="I18" s="1959">
        <f t="shared" si="1"/>
        <v>124561</v>
      </c>
      <c r="J18" s="1959">
        <f t="shared" si="1"/>
        <v>0</v>
      </c>
      <c r="K18" s="1959">
        <f t="shared" si="1"/>
        <v>0</v>
      </c>
      <c r="L18" s="1960">
        <f t="shared" si="0"/>
        <v>158477</v>
      </c>
      <c r="M18" s="1342"/>
    </row>
    <row r="19" spans="2:14" ht="20.100000000000001" customHeight="1" x14ac:dyDescent="0.2">
      <c r="B19" s="1336" t="s">
        <v>2156</v>
      </c>
      <c r="C19" s="1340"/>
      <c r="D19" s="1341"/>
      <c r="E19" s="1959">
        <f>SUM(E18)</f>
        <v>33916</v>
      </c>
      <c r="F19" s="1959">
        <f t="shared" ref="F19:K19" si="2">SUM(F18)</f>
        <v>44242</v>
      </c>
      <c r="G19" s="1959">
        <f t="shared" si="2"/>
        <v>33916</v>
      </c>
      <c r="H19" s="1959">
        <f t="shared" si="2"/>
        <v>0</v>
      </c>
      <c r="I19" s="1959">
        <f t="shared" si="2"/>
        <v>124561</v>
      </c>
      <c r="J19" s="1959">
        <f t="shared" si="2"/>
        <v>0</v>
      </c>
      <c r="K19" s="1959">
        <f t="shared" si="2"/>
        <v>0</v>
      </c>
      <c r="L19" s="1960">
        <f t="shared" si="0"/>
        <v>158477</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2.5" x14ac:dyDescent="0.2">
      <c r="B21" s="1336" t="s">
        <v>2145</v>
      </c>
      <c r="C21" s="1340"/>
      <c r="D21" s="1341"/>
      <c r="E21" s="1342"/>
      <c r="F21" s="1342"/>
      <c r="G21" s="1342"/>
      <c r="H21" s="1342"/>
      <c r="I21" s="1342"/>
      <c r="J21" s="1342"/>
      <c r="K21" s="1342"/>
      <c r="L21" s="1339">
        <f t="shared" si="0"/>
        <v>0</v>
      </c>
      <c r="M21" s="1342"/>
    </row>
    <row r="22" spans="2:14" ht="22.5" x14ac:dyDescent="0.2">
      <c r="B22" s="1336" t="s">
        <v>2146</v>
      </c>
      <c r="C22" s="1340"/>
      <c r="D22" s="1341"/>
      <c r="E22" s="1342"/>
      <c r="F22" s="1342"/>
      <c r="G22" s="1342"/>
      <c r="H22" s="1342"/>
      <c r="I22" s="1342"/>
      <c r="J22" s="1342"/>
      <c r="K22" s="1342"/>
      <c r="L22" s="1339">
        <f t="shared" si="0"/>
        <v>0</v>
      </c>
      <c r="M22" s="1342"/>
    </row>
    <row r="23" spans="2:14" ht="20.100000000000001" customHeight="1" x14ac:dyDescent="0.2">
      <c r="B23" s="1336" t="s">
        <v>2157</v>
      </c>
      <c r="C23" s="1340"/>
      <c r="D23" s="1341"/>
      <c r="E23" s="1342"/>
      <c r="F23" s="1342"/>
      <c r="G23" s="1342"/>
      <c r="H23" s="1342"/>
      <c r="I23" s="1342"/>
      <c r="J23" s="1342"/>
      <c r="K23" s="1342"/>
      <c r="L23" s="1339">
        <f t="shared" si="0"/>
        <v>0</v>
      </c>
      <c r="M23" s="1342"/>
    </row>
    <row r="24" spans="2:14" ht="20.100000000000001" customHeight="1" x14ac:dyDescent="0.2">
      <c r="B24" s="1336" t="s">
        <v>2158</v>
      </c>
      <c r="C24" s="1340"/>
      <c r="D24" s="1341"/>
      <c r="E24" s="1342"/>
      <c r="F24" s="1342"/>
      <c r="G24" s="1342"/>
      <c r="H24" s="1342"/>
      <c r="I24" s="1342"/>
      <c r="J24" s="1342"/>
      <c r="K24" s="1342"/>
      <c r="L24" s="1339">
        <f t="shared" si="0"/>
        <v>0</v>
      </c>
      <c r="M24" s="1342"/>
    </row>
    <row r="25" spans="2:14" ht="20.100000000000001" customHeight="1" x14ac:dyDescent="0.2">
      <c r="B25" s="1336" t="s">
        <v>2159</v>
      </c>
      <c r="C25" s="1340">
        <v>93.778000000000006</v>
      </c>
      <c r="D25" s="1341" t="s">
        <v>2180</v>
      </c>
      <c r="E25" s="1342">
        <v>37339</v>
      </c>
      <c r="F25" s="1342">
        <v>0</v>
      </c>
      <c r="G25" s="1342">
        <v>58074</v>
      </c>
      <c r="H25" s="1342">
        <v>0</v>
      </c>
      <c r="I25" s="1342">
        <v>0</v>
      </c>
      <c r="J25" s="1342">
        <v>0</v>
      </c>
      <c r="K25" s="1342">
        <v>0</v>
      </c>
      <c r="L25" s="1339">
        <f t="shared" si="0"/>
        <v>58074</v>
      </c>
      <c r="M25" s="1342" t="s">
        <v>2096</v>
      </c>
    </row>
    <row r="26" spans="2:14" ht="20.100000000000001" customHeight="1" x14ac:dyDescent="0.2">
      <c r="B26" s="1336"/>
      <c r="C26" s="1340"/>
      <c r="D26" s="1341"/>
      <c r="E26" s="1342"/>
      <c r="F26" s="1342"/>
      <c r="G26" s="1342"/>
      <c r="H26" s="1342"/>
      <c r="I26" s="1342"/>
      <c r="J26" s="1342"/>
      <c r="K26" s="1342"/>
      <c r="L26" s="1339">
        <f t="shared" si="0"/>
        <v>0</v>
      </c>
      <c r="M26" s="1342"/>
    </row>
    <row r="27" spans="2:14" ht="22.5" x14ac:dyDescent="0.2">
      <c r="B27" s="1336" t="s">
        <v>2160</v>
      </c>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2" t="s">
        <v>1837</v>
      </c>
      <c r="C29" s="1348"/>
      <c r="D29" s="1349"/>
      <c r="E29" s="1257"/>
      <c r="F29" s="1257"/>
      <c r="G29" s="1250"/>
      <c r="H29" s="1250"/>
      <c r="I29" s="1250"/>
      <c r="J29" s="1250"/>
      <c r="K29" s="1250"/>
      <c r="L29" s="1250"/>
      <c r="M29" s="1257"/>
      <c r="N29" s="1343"/>
    </row>
    <row r="30" spans="2:14" ht="8.25" customHeight="1" x14ac:dyDescent="0.2">
      <c r="B30" s="1282"/>
      <c r="C30" s="1348"/>
      <c r="D30" s="1349"/>
      <c r="E30" s="1257"/>
      <c r="F30" s="1257"/>
      <c r="G30" s="1250"/>
      <c r="H30" s="1250"/>
      <c r="I30" s="1250"/>
      <c r="J30" s="1250"/>
      <c r="K30" s="1250"/>
      <c r="L30" s="1250"/>
      <c r="M30" s="1257"/>
      <c r="N30" s="1343"/>
    </row>
    <row r="31" spans="2:14" x14ac:dyDescent="0.2">
      <c r="B31" s="1350" t="s">
        <v>1948</v>
      </c>
      <c r="C31" s="1351"/>
      <c r="D31" s="1352"/>
      <c r="E31" s="1353"/>
      <c r="F31" s="1353"/>
      <c r="G31" s="1353"/>
      <c r="H31" s="1353"/>
      <c r="I31" s="317"/>
      <c r="J31" s="317"/>
    </row>
    <row r="32" spans="2:14" ht="9.9499999999999993" customHeight="1" x14ac:dyDescent="0.2">
      <c r="B32" s="1277"/>
      <c r="C32" s="1354"/>
      <c r="D32" s="1355"/>
      <c r="E32" s="1278"/>
      <c r="F32" s="1278"/>
      <c r="G32" s="317"/>
      <c r="H32" s="317"/>
      <c r="I32" s="317"/>
      <c r="J32" s="317"/>
    </row>
    <row r="33" spans="2:13" ht="13.5" customHeight="1" x14ac:dyDescent="0.2">
      <c r="B33" s="1276" t="s">
        <v>1308</v>
      </c>
      <c r="G33" s="317"/>
      <c r="H33" s="317"/>
      <c r="I33" s="317"/>
      <c r="J33" s="317"/>
    </row>
    <row r="34" spans="2:13" ht="9.9499999999999993"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showGridLines="0" topLeftCell="A19" workbookViewId="0">
      <selection activeCell="A17" sqref="A17:K1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1:14" ht="11.85" customHeight="1" x14ac:dyDescent="0.2">
      <c r="B1" s="2534" t="str">
        <f>'Single Audit Cover'!A7</f>
        <v>Ogle County Educational Cooperative</v>
      </c>
      <c r="C1" s="2568"/>
      <c r="D1" s="2568"/>
      <c r="E1" s="2568"/>
      <c r="F1" s="2568"/>
      <c r="G1" s="2568"/>
      <c r="H1" s="2568"/>
      <c r="I1" s="2568"/>
      <c r="J1" s="2568"/>
      <c r="K1" s="2568"/>
      <c r="L1" s="2568"/>
      <c r="M1" s="2568"/>
    </row>
    <row r="2" spans="1:14" ht="15" x14ac:dyDescent="0.2">
      <c r="B2" s="2557">
        <f>'Single Audit Cover'!E7</f>
        <v>47071801060</v>
      </c>
      <c r="C2" s="2557"/>
      <c r="D2" s="2557"/>
      <c r="E2" s="2557"/>
      <c r="F2" s="2557"/>
      <c r="G2" s="2557"/>
      <c r="H2" s="2557"/>
      <c r="I2" s="2557"/>
      <c r="J2" s="2557"/>
      <c r="K2" s="2557"/>
      <c r="L2" s="2557"/>
      <c r="M2" s="2557"/>
      <c r="N2" s="1301"/>
    </row>
    <row r="3" spans="1:14" ht="15" x14ac:dyDescent="0.2">
      <c r="B3" s="2569" t="s">
        <v>1281</v>
      </c>
      <c r="C3" s="2569"/>
      <c r="D3" s="2569"/>
      <c r="E3" s="2569"/>
      <c r="F3" s="2569"/>
      <c r="G3" s="2569"/>
      <c r="H3" s="2569"/>
      <c r="I3" s="2569"/>
      <c r="J3" s="2569"/>
      <c r="K3" s="2569"/>
      <c r="L3" s="2569"/>
      <c r="M3" s="2569"/>
      <c r="N3" s="1301"/>
    </row>
    <row r="4" spans="1:14" ht="15" x14ac:dyDescent="0.2">
      <c r="B4" s="2570" t="str">
        <f>'Single Audit Cover'!A4</f>
        <v>Year Ending June 30, 2018</v>
      </c>
      <c r="C4" s="2570"/>
      <c r="D4" s="2570"/>
      <c r="E4" s="2570"/>
      <c r="F4" s="2570"/>
      <c r="G4" s="2570"/>
      <c r="H4" s="2570"/>
      <c r="I4" s="2570"/>
      <c r="J4" s="2570"/>
      <c r="K4" s="2570"/>
      <c r="L4" s="2570"/>
      <c r="M4" s="2570"/>
      <c r="N4" s="1301"/>
    </row>
    <row r="6" spans="1:14" x14ac:dyDescent="0.2">
      <c r="B6" s="1302"/>
      <c r="C6" s="1303"/>
      <c r="D6" s="1304" t="s">
        <v>1327</v>
      </c>
      <c r="E6" s="1305" t="s">
        <v>548</v>
      </c>
      <c r="F6" s="1306"/>
      <c r="G6" s="1307" t="s">
        <v>1834</v>
      </c>
      <c r="H6" s="1305"/>
      <c r="I6" s="1305"/>
      <c r="J6" s="1305"/>
      <c r="K6" s="1308"/>
      <c r="L6" s="1309"/>
      <c r="M6" s="1310"/>
    </row>
    <row r="7" spans="1:14" x14ac:dyDescent="0.2">
      <c r="B7" s="1311" t="s">
        <v>1662</v>
      </c>
      <c r="C7" s="1312"/>
      <c r="D7" s="1313"/>
      <c r="E7" s="1314"/>
      <c r="F7" s="1315"/>
      <c r="G7" s="1314"/>
      <c r="H7" s="1316" t="s">
        <v>1324</v>
      </c>
      <c r="I7" s="1314"/>
      <c r="J7" s="1317" t="s">
        <v>1324</v>
      </c>
      <c r="K7" s="1318"/>
      <c r="L7" s="1319" t="s">
        <v>1322</v>
      </c>
      <c r="M7" s="1320"/>
    </row>
    <row r="8" spans="1: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1: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1: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1:14" ht="20.100000000000001" customHeight="1" x14ac:dyDescent="0.2">
      <c r="B11" s="1336" t="s">
        <v>2159</v>
      </c>
      <c r="C11" s="1340">
        <v>93.778000000000006</v>
      </c>
      <c r="D11" s="1341" t="s">
        <v>2180</v>
      </c>
      <c r="E11" s="1339">
        <v>53384</v>
      </c>
      <c r="F11" s="1339">
        <v>757</v>
      </c>
      <c r="G11" s="1339">
        <v>21860</v>
      </c>
      <c r="H11" s="1339">
        <v>0</v>
      </c>
      <c r="I11" s="1339">
        <v>757</v>
      </c>
      <c r="J11" s="1339">
        <v>0</v>
      </c>
      <c r="K11" s="1339">
        <v>0</v>
      </c>
      <c r="L11" s="1339">
        <f>+G11+I11+K11</f>
        <v>22617</v>
      </c>
      <c r="M11" s="1339" t="s">
        <v>2096</v>
      </c>
    </row>
    <row r="12" spans="1:14" ht="20.100000000000001" customHeight="1" x14ac:dyDescent="0.2">
      <c r="B12" s="1336" t="s">
        <v>2159</v>
      </c>
      <c r="C12" s="1340">
        <v>93.778000000000006</v>
      </c>
      <c r="D12" s="1341" t="s">
        <v>2181</v>
      </c>
      <c r="E12" s="1959">
        <v>0</v>
      </c>
      <c r="F12" s="1959">
        <v>40929</v>
      </c>
      <c r="G12" s="1959">
        <v>0</v>
      </c>
      <c r="H12" s="1959">
        <v>0</v>
      </c>
      <c r="I12" s="1959">
        <v>40929</v>
      </c>
      <c r="J12" s="1959">
        <v>0</v>
      </c>
      <c r="K12" s="1959">
        <v>0</v>
      </c>
      <c r="L12" s="1960">
        <f t="shared" ref="L12:L27" si="0">+G12+I12+K12</f>
        <v>40929</v>
      </c>
      <c r="M12" s="1342" t="s">
        <v>2096</v>
      </c>
    </row>
    <row r="13" spans="1:14" ht="20.100000000000001" customHeight="1" x14ac:dyDescent="0.2">
      <c r="B13" s="1336" t="s">
        <v>2161</v>
      </c>
      <c r="C13" s="1340"/>
      <c r="D13" s="1341"/>
      <c r="E13" s="1959">
        <f>+E12+E11+' SEFA (3)'!E25</f>
        <v>90723</v>
      </c>
      <c r="F13" s="1959">
        <f>+F12+F11+' SEFA (3)'!F25</f>
        <v>41686</v>
      </c>
      <c r="G13" s="1959">
        <f>+G12+G11+' SEFA (3)'!G25</f>
        <v>79934</v>
      </c>
      <c r="H13" s="1959">
        <f>+H12+H11+' SEFA (3)'!H25</f>
        <v>0</v>
      </c>
      <c r="I13" s="1959">
        <f>+I12+I11+' SEFA (3)'!I25</f>
        <v>41686</v>
      </c>
      <c r="J13" s="1959">
        <f>+J12+J11+' SEFA (3)'!J25</f>
        <v>0</v>
      </c>
      <c r="K13" s="1959">
        <f>+K12+K11+' SEFA (3)'!K25</f>
        <v>0</v>
      </c>
      <c r="L13" s="1339">
        <f t="shared" si="0"/>
        <v>121620</v>
      </c>
      <c r="M13" s="1342"/>
    </row>
    <row r="14" spans="1:14" ht="20.100000000000001" customHeight="1" x14ac:dyDescent="0.2">
      <c r="A14" s="317" t="s">
        <v>1231</v>
      </c>
      <c r="B14" s="1336" t="s">
        <v>2162</v>
      </c>
      <c r="C14" s="1340"/>
      <c r="D14" s="1341"/>
      <c r="E14" s="1959">
        <f>SUM(E13)</f>
        <v>90723</v>
      </c>
      <c r="F14" s="1959">
        <f t="shared" ref="F14:K14" si="1">SUM(F13)</f>
        <v>41686</v>
      </c>
      <c r="G14" s="1959">
        <f t="shared" si="1"/>
        <v>79934</v>
      </c>
      <c r="H14" s="1959">
        <f t="shared" si="1"/>
        <v>0</v>
      </c>
      <c r="I14" s="1959">
        <f t="shared" si="1"/>
        <v>41686</v>
      </c>
      <c r="J14" s="1959">
        <f t="shared" si="1"/>
        <v>0</v>
      </c>
      <c r="K14" s="1959">
        <f t="shared" si="1"/>
        <v>0</v>
      </c>
      <c r="L14" s="1960">
        <f t="shared" si="0"/>
        <v>121620</v>
      </c>
      <c r="M14" s="1342"/>
    </row>
    <row r="15" spans="1:14" ht="20.100000000000001" customHeight="1" x14ac:dyDescent="0.2">
      <c r="B15" s="1336" t="s">
        <v>1231</v>
      </c>
      <c r="C15" s="1340"/>
      <c r="D15" s="1341"/>
      <c r="E15" s="1342"/>
      <c r="F15" s="1342"/>
      <c r="G15" s="1342"/>
      <c r="H15" s="1342"/>
      <c r="I15" s="1342"/>
      <c r="J15" s="1342"/>
      <c r="K15" s="1342"/>
      <c r="L15" s="1339">
        <f t="shared" si="0"/>
        <v>0</v>
      </c>
      <c r="M15" s="1342"/>
    </row>
    <row r="16" spans="1:14" ht="45" x14ac:dyDescent="0.2">
      <c r="B16" s="1336" t="s">
        <v>2163</v>
      </c>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t="s">
        <v>2164</v>
      </c>
      <c r="C27" s="1340"/>
      <c r="D27" s="1341"/>
      <c r="E27" s="1342">
        <f>+E14+' SEFA (3)'!E19+' SEFA (3)'!E12+' SEFA'!E21</f>
        <v>2347942</v>
      </c>
      <c r="F27" s="1342">
        <f>+F14+' SEFA (3)'!F19+' SEFA (3)'!F12+' SEFA'!F21</f>
        <v>2425277</v>
      </c>
      <c r="G27" s="1342">
        <f>+G14+' SEFA (3)'!G19+' SEFA (3)'!G12+' SEFA'!G21</f>
        <v>2302889</v>
      </c>
      <c r="H27" s="1342">
        <f>+H14+' SEFA (3)'!H19+' SEFA (3)'!H12+' SEFA'!H21</f>
        <v>856371</v>
      </c>
      <c r="I27" s="1342">
        <f>+I14+' SEFA (3)'!I19+' SEFA (3)'!I12+' SEFA'!I21</f>
        <v>2491556</v>
      </c>
      <c r="J27" s="1342">
        <f>+J14+' SEFA (3)'!J19+' SEFA (3)'!J12+' SEFA'!J21</f>
        <v>507039</v>
      </c>
      <c r="K27" s="1342">
        <f>+K14+' SEFA (3)'!K19+' SEFA (3)'!K12+' SEFA'!K21</f>
        <v>0</v>
      </c>
      <c r="L27" s="1339">
        <f t="shared" si="0"/>
        <v>4794445</v>
      </c>
      <c r="M27" s="1342"/>
      <c r="N27" s="1343"/>
    </row>
    <row r="28" spans="2:14" ht="9.9499999999999993" customHeight="1" x14ac:dyDescent="0.2">
      <c r="B28" s="1344"/>
      <c r="C28" s="1345"/>
      <c r="D28" s="1346"/>
      <c r="E28" s="1347"/>
      <c r="F28" s="1347"/>
      <c r="G28" s="1347"/>
      <c r="H28" s="1347"/>
      <c r="I28" s="1347"/>
      <c r="J28" s="1347"/>
      <c r="K28" s="1347"/>
      <c r="L28" s="1347"/>
      <c r="M28" s="1347"/>
      <c r="N28" s="1343"/>
    </row>
    <row r="29" spans="2:14" ht="13.5" customHeight="1" x14ac:dyDescent="0.2">
      <c r="B29" s="1282" t="s">
        <v>1837</v>
      </c>
      <c r="C29" s="1348"/>
      <c r="D29" s="1349"/>
      <c r="E29" s="1257"/>
      <c r="F29" s="1257"/>
      <c r="G29" s="1250"/>
      <c r="H29" s="1250"/>
      <c r="I29" s="1250"/>
      <c r="J29" s="1250"/>
      <c r="K29" s="1250"/>
      <c r="L29" s="1250"/>
      <c r="M29" s="1257"/>
      <c r="N29" s="1343"/>
    </row>
    <row r="30" spans="2:14" ht="8.25" customHeight="1" x14ac:dyDescent="0.2">
      <c r="B30" s="1282"/>
      <c r="C30" s="1348"/>
      <c r="D30" s="1349"/>
      <c r="E30" s="1257"/>
      <c r="F30" s="1257"/>
      <c r="G30" s="1250"/>
      <c r="H30" s="1250"/>
      <c r="I30" s="1250"/>
      <c r="J30" s="1250"/>
      <c r="K30" s="1250"/>
      <c r="L30" s="1250"/>
      <c r="M30" s="1257"/>
      <c r="N30" s="1343"/>
    </row>
    <row r="31" spans="2:14" x14ac:dyDescent="0.2">
      <c r="B31" s="1350" t="s">
        <v>1948</v>
      </c>
      <c r="C31" s="1351"/>
      <c r="D31" s="1352"/>
      <c r="E31" s="1353"/>
      <c r="F31" s="1353"/>
      <c r="G31" s="1353"/>
      <c r="H31" s="1353"/>
      <c r="I31" s="317"/>
      <c r="J31" s="317"/>
    </row>
    <row r="32" spans="2:14" ht="8.1" customHeight="1" x14ac:dyDescent="0.2">
      <c r="B32" s="1277"/>
      <c r="C32" s="1354"/>
      <c r="D32" s="1355"/>
      <c r="E32" s="1278"/>
      <c r="F32" s="1278"/>
      <c r="G32" s="317"/>
      <c r="H32" s="317"/>
      <c r="I32" s="317"/>
      <c r="J32" s="317"/>
    </row>
    <row r="33" spans="2:13" ht="13.5" customHeight="1" x14ac:dyDescent="0.2">
      <c r="B33" s="1276" t="s">
        <v>1308</v>
      </c>
      <c r="G33" s="317"/>
      <c r="H33" s="317"/>
      <c r="I33" s="317"/>
      <c r="J33" s="317"/>
    </row>
    <row r="34" spans="2:13" ht="8.1" customHeight="1" x14ac:dyDescent="0.2">
      <c r="B34" s="1358"/>
      <c r="C34" s="1359"/>
      <c r="D34" s="1360"/>
      <c r="E34" s="1296"/>
      <c r="F34" s="1296"/>
      <c r="G34" s="1296"/>
      <c r="H34" s="1296"/>
      <c r="I34" s="1296"/>
      <c r="J34" s="1296"/>
      <c r="K34" s="1361"/>
      <c r="L34" s="1361"/>
      <c r="M34" s="1296"/>
    </row>
    <row r="35" spans="2:13" ht="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7" workbookViewId="0">
      <selection activeCell="A17" sqref="A17:K17"/>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82" t="str">
        <f>'Single Audit Cover'!A7</f>
        <v>Ogle County Educational Cooperative</v>
      </c>
      <c r="C1" s="2583"/>
      <c r="D1" s="2583"/>
      <c r="E1" s="2583"/>
      <c r="F1" s="2583"/>
      <c r="G1" s="2583"/>
      <c r="H1" s="2583"/>
      <c r="I1" s="2583"/>
      <c r="J1" s="1421"/>
    </row>
    <row r="2" spans="2:10" s="317" customFormat="1" ht="12.75" customHeight="1" x14ac:dyDescent="0.2">
      <c r="B2" s="2584">
        <f>'Single Audit Cover'!E7</f>
        <v>47071801060</v>
      </c>
      <c r="C2" s="2585"/>
      <c r="D2" s="2585"/>
      <c r="E2" s="2585"/>
      <c r="F2" s="2585"/>
      <c r="G2" s="2585"/>
      <c r="H2" s="2585"/>
      <c r="I2" s="2585"/>
      <c r="J2" s="1421"/>
    </row>
    <row r="3" spans="2:10" s="317" customFormat="1" ht="12.75" customHeight="1" x14ac:dyDescent="0.2">
      <c r="B3" s="2586" t="s">
        <v>1347</v>
      </c>
      <c r="C3" s="2587"/>
      <c r="D3" s="2587"/>
      <c r="E3" s="2587"/>
      <c r="F3" s="2587"/>
      <c r="G3" s="2587"/>
      <c r="H3" s="2587"/>
      <c r="I3" s="2587"/>
      <c r="J3" s="1422"/>
    </row>
    <row r="4" spans="2:10" s="317" customFormat="1" ht="12.75" customHeight="1" x14ac:dyDescent="0.2">
      <c r="B4" s="2586" t="str">
        <f>'Single Audit Cover'!A4</f>
        <v>Year Ending June 30, 2018</v>
      </c>
      <c r="C4" s="2587"/>
      <c r="D4" s="2587"/>
      <c r="E4" s="2587"/>
      <c r="F4" s="2587"/>
      <c r="G4" s="2587"/>
      <c r="H4" s="2587"/>
      <c r="I4" s="2587"/>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586" t="s">
        <v>1346</v>
      </c>
      <c r="C7" s="2587"/>
      <c r="D7" s="2587"/>
      <c r="E7" s="2587"/>
      <c r="F7" s="2587"/>
      <c r="G7" s="2587"/>
      <c r="H7" s="2587"/>
      <c r="I7" s="2587"/>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8"/>
    </row>
    <row r="11" spans="2:10" s="317" customFormat="1" ht="13.5" customHeight="1" x14ac:dyDescent="0.2">
      <c r="B11" s="1348" t="s">
        <v>1344</v>
      </c>
      <c r="C11" s="2588" t="s">
        <v>1226</v>
      </c>
      <c r="D11" s="2588"/>
      <c r="E11" s="1431"/>
      <c r="F11" s="1431"/>
      <c r="G11" s="1431"/>
    </row>
    <row r="12" spans="2:10" s="317" customFormat="1" ht="11.45" customHeight="1" x14ac:dyDescent="0.2">
      <c r="B12" s="1356"/>
      <c r="C12" s="1432" t="s">
        <v>1517</v>
      </c>
      <c r="D12" s="1433"/>
      <c r="E12" s="1258"/>
    </row>
    <row r="13" spans="2:10" s="317" customFormat="1" ht="6" customHeight="1" x14ac:dyDescent="0.2">
      <c r="B13" s="1434"/>
      <c r="C13" s="1386"/>
      <c r="D13" s="1386"/>
      <c r="E13" s="1258"/>
    </row>
    <row r="14" spans="2:10" s="317" customFormat="1" ht="12.75" customHeight="1" x14ac:dyDescent="0.2">
      <c r="B14" s="1367" t="s">
        <v>1343</v>
      </c>
      <c r="C14" s="1282"/>
      <c r="E14" s="1258"/>
    </row>
    <row r="15" spans="2:10" s="317" customFormat="1" ht="13.5" customHeight="1" x14ac:dyDescent="0.2">
      <c r="B15" s="1435" t="s">
        <v>1340</v>
      </c>
      <c r="C15" s="1436"/>
      <c r="D15" s="1397"/>
      <c r="E15" s="1437"/>
      <c r="F15" s="1299" t="s">
        <v>940</v>
      </c>
      <c r="G15" s="1437" t="s">
        <v>2074</v>
      </c>
      <c r="H15" s="1299" t="s">
        <v>1338</v>
      </c>
      <c r="I15" s="1299"/>
    </row>
    <row r="16" spans="2:10" s="317" customFormat="1" ht="8.4499999999999993" customHeight="1" x14ac:dyDescent="0.2">
      <c r="B16" s="1367"/>
      <c r="C16" s="1282"/>
      <c r="E16" s="1382"/>
      <c r="F16" s="1299"/>
      <c r="G16" s="322"/>
      <c r="H16" s="1299"/>
      <c r="I16" s="1299"/>
    </row>
    <row r="17" spans="2:9" s="317" customFormat="1" ht="13.5" customHeight="1" x14ac:dyDescent="0.2">
      <c r="B17" s="1435" t="s">
        <v>1339</v>
      </c>
      <c r="C17" s="1436"/>
      <c r="D17" s="1397"/>
      <c r="E17" s="1438"/>
      <c r="F17" s="1257"/>
      <c r="G17" s="1438"/>
      <c r="H17" s="1299"/>
      <c r="I17" s="1299"/>
    </row>
    <row r="18" spans="2:9" s="317" customFormat="1" ht="12.75" customHeight="1" x14ac:dyDescent="0.2">
      <c r="B18" s="1435" t="s">
        <v>1518</v>
      </c>
      <c r="C18" s="1436"/>
      <c r="D18" s="1397"/>
      <c r="E18" s="1437" t="s">
        <v>2074</v>
      </c>
      <c r="F18" s="1299" t="s">
        <v>940</v>
      </c>
      <c r="G18" s="1437"/>
      <c r="H18" s="1299" t="s">
        <v>1338</v>
      </c>
      <c r="I18" s="1299"/>
    </row>
    <row r="19" spans="2:9" s="317" customFormat="1" ht="8.4499999999999993" customHeight="1" x14ac:dyDescent="0.2">
      <c r="B19" s="1367"/>
      <c r="C19" s="1282"/>
      <c r="E19" s="1382"/>
      <c r="F19" s="1299"/>
      <c r="G19" s="322"/>
      <c r="H19" s="1299"/>
      <c r="I19" s="1299"/>
    </row>
    <row r="20" spans="2:9" s="317" customFormat="1" ht="13.5" customHeight="1" x14ac:dyDescent="0.2">
      <c r="B20" s="1435" t="s">
        <v>1673</v>
      </c>
      <c r="C20" s="1436"/>
      <c r="D20" s="1397"/>
      <c r="E20" s="1437"/>
      <c r="F20" s="1299" t="s">
        <v>940</v>
      </c>
      <c r="G20" s="1437" t="s">
        <v>2074</v>
      </c>
      <c r="H20" s="1299" t="s">
        <v>101</v>
      </c>
      <c r="I20" s="1299"/>
    </row>
    <row r="21" spans="2:9" s="317" customFormat="1" ht="12.75" customHeight="1" x14ac:dyDescent="0.2">
      <c r="B21" s="1367"/>
      <c r="C21" s="1282"/>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2"/>
      <c r="E23" s="1382"/>
      <c r="F23" s="1299"/>
      <c r="G23" s="322"/>
      <c r="H23" s="1299"/>
      <c r="I23" s="1299"/>
    </row>
    <row r="24" spans="2:9" s="317" customFormat="1" ht="13.5" customHeight="1" x14ac:dyDescent="0.2">
      <c r="B24" s="1435" t="s">
        <v>1340</v>
      </c>
      <c r="C24" s="1436"/>
      <c r="D24" s="1397"/>
      <c r="E24" s="1437"/>
      <c r="F24" s="1299" t="s">
        <v>940</v>
      </c>
      <c r="G24" s="1437" t="s">
        <v>2074</v>
      </c>
      <c r="H24" s="1299" t="s">
        <v>1338</v>
      </c>
      <c r="I24" s="1299"/>
    </row>
    <row r="25" spans="2:9" s="317" customFormat="1" ht="8.4499999999999993" customHeight="1" x14ac:dyDescent="0.2">
      <c r="B25" s="1367"/>
      <c r="C25" s="1282"/>
      <c r="E25" s="1382"/>
      <c r="F25" s="1299"/>
      <c r="G25" s="322"/>
      <c r="H25" s="1299"/>
      <c r="I25" s="1299"/>
    </row>
    <row r="26" spans="2:9" s="317" customFormat="1" ht="13.5" customHeight="1" x14ac:dyDescent="0.2">
      <c r="B26" s="1435" t="s">
        <v>1339</v>
      </c>
      <c r="C26" s="1436"/>
      <c r="D26" s="1397"/>
      <c r="E26" s="1438"/>
      <c r="F26" s="1257"/>
      <c r="G26" s="1438"/>
      <c r="H26" s="1299"/>
      <c r="I26" s="1299"/>
    </row>
    <row r="27" spans="2:9" s="317" customFormat="1" ht="12.75" customHeight="1" x14ac:dyDescent="0.2">
      <c r="B27" s="1435" t="s">
        <v>1518</v>
      </c>
      <c r="C27" s="1436"/>
      <c r="D27" s="1397"/>
      <c r="E27" s="1437"/>
      <c r="F27" s="1299" t="s">
        <v>940</v>
      </c>
      <c r="G27" s="1437" t="s">
        <v>2074</v>
      </c>
      <c r="H27" s="1299" t="s">
        <v>1338</v>
      </c>
      <c r="I27" s="1299"/>
    </row>
    <row r="28" spans="2:9" s="317" customFormat="1" ht="12.75" customHeight="1" x14ac:dyDescent="0.2">
      <c r="B28" s="1367"/>
      <c r="C28" s="1282"/>
      <c r="E28" s="1258"/>
    </row>
    <row r="29" spans="2:9" s="317" customFormat="1" ht="12.75" customHeight="1" x14ac:dyDescent="0.2">
      <c r="B29" s="1367" t="s">
        <v>1337</v>
      </c>
      <c r="C29" s="1282"/>
      <c r="D29" s="2589" t="s">
        <v>2102</v>
      </c>
      <c r="E29" s="2589"/>
      <c r="F29" s="2589"/>
      <c r="G29" s="2589"/>
      <c r="H29" s="2589"/>
      <c r="I29" s="2589"/>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8"/>
    </row>
    <row r="32" spans="2:9" s="317" customFormat="1" x14ac:dyDescent="0.2">
      <c r="B32" s="1367" t="s">
        <v>1336</v>
      </c>
      <c r="C32" s="1282"/>
      <c r="E32" s="1258"/>
    </row>
    <row r="33" spans="2:9" ht="13.5" customHeight="1" x14ac:dyDescent="0.2">
      <c r="B33" s="1367" t="s">
        <v>1633</v>
      </c>
      <c r="C33" s="1282"/>
      <c r="E33" s="1437"/>
      <c r="F33" s="1299" t="s">
        <v>940</v>
      </c>
      <c r="G33" s="1437" t="s">
        <v>2074</v>
      </c>
      <c r="H33" s="1299" t="s">
        <v>101</v>
      </c>
    </row>
    <row r="35" spans="2:9" x14ac:dyDescent="0.2">
      <c r="B35" s="1440" t="s">
        <v>1849</v>
      </c>
      <c r="C35" s="1441"/>
      <c r="D35" s="1267"/>
    </row>
    <row r="36" spans="2:9" ht="6" customHeight="1" x14ac:dyDescent="0.2">
      <c r="B36" s="1440"/>
      <c r="C36" s="1441"/>
      <c r="D36" s="1267"/>
    </row>
    <row r="37" spans="2:9" ht="17.25" customHeight="1" x14ac:dyDescent="0.2">
      <c r="B37" s="1442" t="s">
        <v>1850</v>
      </c>
      <c r="C37" s="2590" t="s">
        <v>1851</v>
      </c>
      <c r="D37" s="2591"/>
      <c r="E37" s="2591"/>
      <c r="F37" s="2592"/>
      <c r="G37" s="2590" t="s">
        <v>1674</v>
      </c>
      <c r="H37" s="2591"/>
      <c r="I37" s="2592"/>
    </row>
    <row r="38" spans="2:9" ht="16.5" customHeight="1" x14ac:dyDescent="0.2">
      <c r="B38" s="2025" t="s">
        <v>2131</v>
      </c>
      <c r="C38" s="2578" t="s">
        <v>2165</v>
      </c>
      <c r="D38" s="2579"/>
      <c r="E38" s="2579"/>
      <c r="F38" s="2580"/>
      <c r="G38" s="2593">
        <v>2139089</v>
      </c>
      <c r="H38" s="2594"/>
      <c r="I38" s="2595"/>
    </row>
    <row r="39" spans="2:9" ht="16.5" customHeight="1" x14ac:dyDescent="0.2">
      <c r="B39" s="2025" t="s">
        <v>2131</v>
      </c>
      <c r="C39" s="2578" t="s">
        <v>2167</v>
      </c>
      <c r="D39" s="2579"/>
      <c r="E39" s="2579"/>
      <c r="F39" s="2580"/>
      <c r="G39" s="2581">
        <v>55316</v>
      </c>
      <c r="H39" s="2581"/>
      <c r="I39" s="2581"/>
    </row>
    <row r="40" spans="2:9" ht="16.5" customHeight="1" x14ac:dyDescent="0.2">
      <c r="B40" s="2025" t="s">
        <v>2130</v>
      </c>
      <c r="C40" s="2578" t="s">
        <v>2166</v>
      </c>
      <c r="D40" s="2579"/>
      <c r="E40" s="2579"/>
      <c r="F40" s="2580"/>
      <c r="G40" s="2581">
        <v>90878</v>
      </c>
      <c r="H40" s="2581"/>
      <c r="I40" s="2581"/>
    </row>
    <row r="41" spans="2:9" ht="16.5" customHeight="1" x14ac:dyDescent="0.2">
      <c r="B41" s="1443"/>
      <c r="C41" s="2578"/>
      <c r="D41" s="2579"/>
      <c r="E41" s="2579"/>
      <c r="F41" s="2580"/>
      <c r="G41" s="2581"/>
      <c r="H41" s="2581"/>
      <c r="I41" s="2581"/>
    </row>
    <row r="42" spans="2:9" ht="16.5" customHeight="1" x14ac:dyDescent="0.2">
      <c r="B42" s="1443"/>
      <c r="C42" s="2578"/>
      <c r="D42" s="2579"/>
      <c r="E42" s="2579"/>
      <c r="F42" s="2580"/>
      <c r="G42" s="2581"/>
      <c r="H42" s="2581"/>
      <c r="I42" s="2581"/>
    </row>
    <row r="43" spans="2:9" ht="16.5" customHeight="1" x14ac:dyDescent="0.2">
      <c r="B43" s="1443"/>
      <c r="C43" s="2571" t="s">
        <v>1675</v>
      </c>
      <c r="D43" s="2572"/>
      <c r="E43" s="2572"/>
      <c r="F43" s="2573"/>
      <c r="G43" s="2574">
        <f>SUM(G38:I42)</f>
        <v>2285283</v>
      </c>
      <c r="H43" s="2574"/>
      <c r="I43" s="2574"/>
    </row>
    <row r="44" spans="2:9" ht="12.75" customHeight="1" x14ac:dyDescent="0.2"/>
    <row r="45" spans="2:9" ht="12.75" customHeight="1" x14ac:dyDescent="0.2">
      <c r="B45" s="1434" t="s">
        <v>1949</v>
      </c>
      <c r="D45" s="2575">
        <v>2491553</v>
      </c>
      <c r="E45" s="2576"/>
    </row>
    <row r="46" spans="2:9" ht="5.25" customHeight="1" x14ac:dyDescent="0.2">
      <c r="B46" s="1444"/>
      <c r="D46" s="1445"/>
      <c r="E46" s="1446"/>
    </row>
    <row r="47" spans="2:9" ht="12.75" customHeight="1" x14ac:dyDescent="0.2">
      <c r="B47" s="1299" t="s">
        <v>1676</v>
      </c>
      <c r="C47" s="1299"/>
      <c r="D47" s="1447">
        <f>+G43/D45</f>
        <v>0.91721227684099038</v>
      </c>
      <c r="E47" s="1448"/>
      <c r="F47" s="1449"/>
      <c r="I47" s="1450"/>
    </row>
    <row r="48" spans="2:9" ht="9.9499999999999993" customHeight="1" x14ac:dyDescent="0.2"/>
    <row r="49" spans="1:9" x14ac:dyDescent="0.2">
      <c r="B49" s="1367" t="s">
        <v>1335</v>
      </c>
      <c r="C49" s="1282"/>
      <c r="D49" s="1282"/>
      <c r="E49" s="2577">
        <v>750000</v>
      </c>
      <c r="F49" s="2577"/>
      <c r="G49" s="2577"/>
      <c r="H49" s="322"/>
    </row>
    <row r="51" spans="1:9" ht="13.5" customHeight="1" x14ac:dyDescent="0.2">
      <c r="B51" s="1367" t="s">
        <v>1334</v>
      </c>
      <c r="C51" s="1282"/>
      <c r="E51" s="1437"/>
      <c r="F51" s="1299" t="s">
        <v>940</v>
      </c>
      <c r="G51" s="1437" t="s">
        <v>2074</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sheetProtection sheet="1" objects="1" scenarios="1"/>
  <mergeCells count="23">
    <mergeCell ref="G39:I39"/>
    <mergeCell ref="B1:I1"/>
    <mergeCell ref="B2:I2"/>
    <mergeCell ref="B3:I3"/>
    <mergeCell ref="B4:I4"/>
    <mergeCell ref="B7:I7"/>
    <mergeCell ref="C11:D11"/>
    <mergeCell ref="D29:I29"/>
    <mergeCell ref="C37:F37"/>
    <mergeCell ref="G37:I37"/>
    <mergeCell ref="G38:I38"/>
    <mergeCell ref="C39:F39"/>
    <mergeCell ref="C38:F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workbookViewId="0">
      <selection activeCell="A17" sqref="A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2" t="str">
        <f>'Single Audit Cover'!A7</f>
        <v>Ogle County Educational Cooperative</v>
      </c>
      <c r="C1" s="2582"/>
      <c r="D1" s="2582"/>
      <c r="E1" s="2582"/>
      <c r="F1" s="2582"/>
      <c r="G1" s="2582"/>
      <c r="H1" s="2582"/>
      <c r="I1" s="2582"/>
      <c r="J1" s="2582"/>
      <c r="K1" s="2582"/>
      <c r="L1" s="1373"/>
      <c r="M1" s="1373"/>
    </row>
    <row r="2" spans="1:13" ht="12" customHeight="1" x14ac:dyDescent="0.2">
      <c r="B2" s="2584">
        <f>'Single Audit Cover'!E7</f>
        <v>47071801060</v>
      </c>
      <c r="C2" s="2584"/>
      <c r="D2" s="2584"/>
      <c r="E2" s="2584"/>
      <c r="F2" s="2584"/>
      <c r="G2" s="2584"/>
      <c r="H2" s="2584"/>
      <c r="I2" s="2584"/>
      <c r="J2" s="2584"/>
      <c r="K2" s="2584"/>
      <c r="L2" s="1374"/>
      <c r="M2" s="1375"/>
    </row>
    <row r="3" spans="1:13" ht="10.35" customHeight="1" x14ac:dyDescent="0.2">
      <c r="B3" s="2598" t="s">
        <v>1347</v>
      </c>
      <c r="C3" s="2598"/>
      <c r="D3" s="2598"/>
      <c r="E3" s="2598"/>
      <c r="F3" s="2598"/>
      <c r="G3" s="2598"/>
      <c r="H3" s="2598"/>
      <c r="I3" s="2598"/>
      <c r="J3" s="2598"/>
      <c r="K3" s="2598"/>
      <c r="L3" s="1376"/>
      <c r="M3" s="1376"/>
    </row>
    <row r="4" spans="1:13" ht="14.25" customHeight="1" x14ac:dyDescent="0.2">
      <c r="B4" s="2599" t="str">
        <f>'Single Audit Cover'!A4</f>
        <v>Year Ending June 30, 2018</v>
      </c>
      <c r="C4" s="2599"/>
      <c r="D4" s="2599"/>
      <c r="E4" s="2599"/>
      <c r="F4" s="2599"/>
      <c r="G4" s="2599"/>
      <c r="H4" s="2599"/>
      <c r="I4" s="2599"/>
      <c r="J4" s="2599"/>
      <c r="K4" s="2599"/>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599" t="s">
        <v>1363</v>
      </c>
      <c r="C7" s="2599"/>
      <c r="D7" s="2600"/>
      <c r="E7" s="2600"/>
      <c r="F7" s="2600"/>
      <c r="G7" s="2600"/>
      <c r="H7" s="2600"/>
      <c r="I7" s="2600"/>
      <c r="J7" s="2600"/>
      <c r="K7" s="2600"/>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1950</v>
      </c>
      <c r="D10" s="1385">
        <v>1</v>
      </c>
      <c r="E10" s="322"/>
      <c r="F10" s="1386" t="s">
        <v>1362</v>
      </c>
      <c r="G10" s="1387"/>
      <c r="H10" s="1388" t="s">
        <v>1361</v>
      </c>
      <c r="I10" s="1387" t="s">
        <v>2074</v>
      </c>
      <c r="J10" s="1389" t="s">
        <v>1360</v>
      </c>
      <c r="K10" s="322"/>
      <c r="L10" s="1380"/>
    </row>
    <row r="11" spans="1:13" ht="13.5" customHeight="1" x14ac:dyDescent="0.2">
      <c r="B11" s="322"/>
      <c r="C11" s="322"/>
      <c r="D11" s="322"/>
      <c r="E11" s="322"/>
      <c r="F11" s="322"/>
      <c r="G11" s="1382"/>
      <c r="H11" s="322"/>
      <c r="I11" s="1390" t="s">
        <v>1359</v>
      </c>
      <c r="J11" s="322"/>
      <c r="K11" s="1391">
        <v>2012</v>
      </c>
      <c r="L11" s="1380"/>
    </row>
    <row r="12" spans="1:13" ht="13.5" customHeight="1" x14ac:dyDescent="0.2">
      <c r="B12" s="1293"/>
      <c r="C12" s="1293"/>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45.75" customHeight="1" x14ac:dyDescent="0.2">
      <c r="B14" s="2597" t="s">
        <v>2111</v>
      </c>
      <c r="C14" s="2597"/>
      <c r="D14" s="2597"/>
      <c r="E14" s="2597"/>
      <c r="F14" s="2597"/>
      <c r="G14" s="2597"/>
      <c r="H14" s="2597"/>
      <c r="I14" s="2597"/>
      <c r="J14" s="2597"/>
      <c r="K14" s="2597"/>
      <c r="L14" s="1396"/>
    </row>
    <row r="15" spans="1:13" ht="4.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597" t="s">
        <v>2112</v>
      </c>
      <c r="C17" s="2597"/>
      <c r="D17" s="2597"/>
      <c r="E17" s="2597"/>
      <c r="F17" s="2597"/>
      <c r="G17" s="2597"/>
      <c r="H17" s="2597"/>
      <c r="I17" s="2597"/>
      <c r="J17" s="2597"/>
      <c r="K17" s="2597"/>
      <c r="L17" s="1380"/>
    </row>
    <row r="18" spans="2:12" ht="4.5" customHeight="1" x14ac:dyDescent="0.2">
      <c r="B18" s="1397"/>
      <c r="C18" s="1397"/>
      <c r="L18" s="1380"/>
    </row>
    <row r="19" spans="2:12" s="1282" customFormat="1" ht="13.5" customHeight="1" x14ac:dyDescent="0.2">
      <c r="B19" s="1392" t="s">
        <v>1843</v>
      </c>
      <c r="C19" s="1392"/>
      <c r="D19" s="1393"/>
      <c r="E19" s="1393"/>
      <c r="F19" s="1393"/>
      <c r="G19" s="1394"/>
      <c r="H19" s="1393"/>
      <c r="I19" s="1394"/>
      <c r="J19" s="1393"/>
      <c r="K19" s="1393"/>
      <c r="L19" s="1395"/>
    </row>
    <row r="20" spans="2:12" ht="45.75" customHeight="1" x14ac:dyDescent="0.2">
      <c r="B20" s="2601" t="s">
        <v>2113</v>
      </c>
      <c r="C20" s="2601"/>
      <c r="D20" s="2597"/>
      <c r="E20" s="2597"/>
      <c r="F20" s="2597"/>
      <c r="G20" s="2597"/>
      <c r="H20" s="2597"/>
      <c r="I20" s="2597"/>
      <c r="J20" s="2597"/>
      <c r="K20" s="2597"/>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97" t="s">
        <v>2114</v>
      </c>
      <c r="C23" s="2597"/>
      <c r="D23" s="2597"/>
      <c r="E23" s="2597"/>
      <c r="F23" s="2597"/>
      <c r="G23" s="2597"/>
      <c r="H23" s="2597"/>
      <c r="I23" s="2597"/>
      <c r="J23" s="2597"/>
      <c r="K23" s="2597"/>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97" t="s">
        <v>2222</v>
      </c>
      <c r="C26" s="2597"/>
      <c r="D26" s="2597"/>
      <c r="E26" s="2597"/>
      <c r="F26" s="2597"/>
      <c r="G26" s="2597"/>
      <c r="H26" s="2597"/>
      <c r="I26" s="2597"/>
      <c r="J26" s="2597"/>
      <c r="K26" s="2597"/>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96" t="s">
        <v>2115</v>
      </c>
      <c r="C29" s="2596"/>
      <c r="D29" s="2597"/>
      <c r="E29" s="2597"/>
      <c r="F29" s="2597"/>
      <c r="G29" s="2597"/>
      <c r="H29" s="2597"/>
      <c r="I29" s="2597"/>
      <c r="J29" s="2597"/>
      <c r="K29" s="2597"/>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596" t="s">
        <v>2116</v>
      </c>
      <c r="C32" s="2596"/>
      <c r="D32" s="2597"/>
      <c r="E32" s="2597"/>
      <c r="F32" s="2597"/>
      <c r="G32" s="2597"/>
      <c r="H32" s="2597"/>
      <c r="I32" s="2597"/>
      <c r="J32" s="2597"/>
      <c r="K32" s="2597"/>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1951</v>
      </c>
      <c r="C36" s="1299"/>
      <c r="L36" s="1380"/>
    </row>
    <row r="37" spans="1:13" ht="9.6" customHeight="1" x14ac:dyDescent="0.2">
      <c r="B37" s="1299" t="s">
        <v>1952</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6" workbookViewId="0">
      <selection activeCell="A17" sqref="A17:K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5" t="str">
        <f>'Single Audit Cover'!A7</f>
        <v>Ogle County Educational Cooperative</v>
      </c>
      <c r="C1" s="2605"/>
      <c r="D1" s="2605"/>
      <c r="E1" s="2605"/>
      <c r="F1" s="2605"/>
      <c r="G1" s="2605"/>
      <c r="H1" s="2605"/>
      <c r="I1" s="2605"/>
      <c r="J1" s="2605"/>
      <c r="K1" s="2605"/>
      <c r="L1" s="1464"/>
    </row>
    <row r="2" spans="1:12" ht="12.75" customHeight="1" x14ac:dyDescent="0.2">
      <c r="B2" s="2606">
        <f>'Single Audit Cover'!E7</f>
        <v>47071801060</v>
      </c>
      <c r="C2" s="2606"/>
      <c r="D2" s="2606"/>
      <c r="E2" s="2606"/>
      <c r="F2" s="2606"/>
      <c r="G2" s="2606"/>
      <c r="H2" s="2606"/>
      <c r="I2" s="2606"/>
      <c r="J2" s="2606"/>
      <c r="K2" s="2606"/>
      <c r="L2" s="1465"/>
    </row>
    <row r="3" spans="1:12" ht="12.75" customHeight="1" x14ac:dyDescent="0.2">
      <c r="B3" s="2598" t="s">
        <v>1347</v>
      </c>
      <c r="C3" s="2598"/>
      <c r="D3" s="2598"/>
      <c r="E3" s="2598"/>
      <c r="F3" s="2598"/>
      <c r="G3" s="2598"/>
      <c r="H3" s="2598"/>
      <c r="I3" s="2598"/>
      <c r="J3" s="2598"/>
      <c r="K3" s="2598"/>
      <c r="L3" s="1376"/>
    </row>
    <row r="4" spans="1:12" ht="12.75" customHeight="1" x14ac:dyDescent="0.2">
      <c r="B4" s="2598" t="str">
        <f>'Single Audit Cover'!A4</f>
        <v>Year Ending June 30, 2018</v>
      </c>
      <c r="C4" s="2598"/>
      <c r="D4" s="2598"/>
      <c r="E4" s="2598"/>
      <c r="F4" s="2598"/>
      <c r="G4" s="2598"/>
      <c r="H4" s="2598"/>
      <c r="I4" s="2598"/>
      <c r="J4" s="2598"/>
      <c r="K4" s="2598"/>
      <c r="L4" s="1376"/>
    </row>
    <row r="5" spans="1:12" ht="5.25" customHeight="1" x14ac:dyDescent="0.2">
      <c r="B5" s="1260" t="s">
        <v>1231</v>
      </c>
      <c r="C5" s="1260"/>
      <c r="L5" s="322"/>
    </row>
    <row r="6" spans="1:12" ht="30.75" customHeight="1" x14ac:dyDescent="0.2">
      <c r="A6" s="322"/>
      <c r="B6" s="2607" t="s">
        <v>1375</v>
      </c>
      <c r="C6" s="2607"/>
      <c r="D6" s="2607"/>
      <c r="E6" s="2607"/>
      <c r="F6" s="2607"/>
      <c r="G6" s="2607"/>
      <c r="H6" s="2607"/>
      <c r="I6" s="2607"/>
      <c r="J6" s="2607"/>
      <c r="K6" s="2607"/>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1950</v>
      </c>
      <c r="D8" s="1467">
        <v>2</v>
      </c>
      <c r="E8" s="322"/>
      <c r="F8" s="1383" t="s">
        <v>1362</v>
      </c>
      <c r="G8" s="1468" t="s">
        <v>2074</v>
      </c>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589" t="s">
        <v>2186</v>
      </c>
      <c r="G12" s="2589"/>
      <c r="H12" s="2589"/>
      <c r="I12" s="2589"/>
      <c r="J12" s="2589"/>
      <c r="K12" s="2589"/>
      <c r="L12" s="322"/>
    </row>
    <row r="13" spans="1:12" ht="9.6" customHeight="1" x14ac:dyDescent="0.2">
      <c r="B13" s="1257"/>
      <c r="C13" s="1257"/>
      <c r="D13" s="304"/>
      <c r="E13" s="322"/>
      <c r="F13" s="322"/>
      <c r="G13" s="1382"/>
      <c r="H13" s="322"/>
      <c r="I13" s="1382"/>
      <c r="J13" s="322"/>
      <c r="K13" s="1431"/>
      <c r="L13" s="322"/>
    </row>
    <row r="14" spans="1:12" ht="13.5" customHeight="1" x14ac:dyDescent="0.2">
      <c r="B14" s="1386" t="s">
        <v>1371</v>
      </c>
      <c r="C14" s="1386"/>
      <c r="D14" s="2602" t="s">
        <v>2168</v>
      </c>
      <c r="E14" s="2602"/>
      <c r="F14" s="2602"/>
      <c r="H14" s="1474" t="s">
        <v>1370</v>
      </c>
      <c r="I14" s="2603" t="s">
        <v>2130</v>
      </c>
      <c r="J14" s="2603"/>
      <c r="K14" s="2603"/>
      <c r="L14" s="322"/>
    </row>
    <row r="15" spans="1:12" ht="9.4" customHeight="1" x14ac:dyDescent="0.2">
      <c r="B15" s="1386"/>
      <c r="C15" s="1386"/>
      <c r="D15" s="1372"/>
      <c r="E15" s="1260"/>
      <c r="F15" s="1260"/>
      <c r="G15" s="1286"/>
      <c r="H15" s="1260"/>
      <c r="I15" s="1475"/>
      <c r="J15" s="1293"/>
      <c r="K15" s="1291"/>
      <c r="L15" s="322"/>
    </row>
    <row r="16" spans="1:12" ht="13.5" customHeight="1" x14ac:dyDescent="0.2">
      <c r="B16" s="1386" t="s">
        <v>1369</v>
      </c>
      <c r="C16" s="1386"/>
      <c r="D16" s="2603" t="s">
        <v>2124</v>
      </c>
      <c r="E16" s="2603"/>
      <c r="F16" s="2603"/>
      <c r="G16" s="2603"/>
      <c r="H16" s="2603"/>
      <c r="I16" s="2603"/>
      <c r="J16" s="2603"/>
      <c r="K16" s="2603"/>
      <c r="L16" s="322"/>
    </row>
    <row r="17" spans="2:12" ht="13.5" customHeight="1" x14ac:dyDescent="0.2">
      <c r="B17" s="1386" t="s">
        <v>1368</v>
      </c>
      <c r="C17" s="1386"/>
      <c r="D17" s="2604" t="s">
        <v>2125</v>
      </c>
      <c r="E17" s="2604"/>
      <c r="F17" s="2604"/>
      <c r="G17" s="2604"/>
      <c r="H17" s="2604"/>
      <c r="I17" s="2604"/>
      <c r="J17" s="2604"/>
      <c r="K17" s="260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97" t="s">
        <v>2126</v>
      </c>
      <c r="C20" s="2597"/>
      <c r="D20" s="2597"/>
      <c r="E20" s="2597"/>
      <c r="F20" s="2597"/>
      <c r="G20" s="2597"/>
      <c r="H20" s="2597"/>
      <c r="I20" s="2597"/>
      <c r="J20" s="2597"/>
      <c r="K20" s="2597"/>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597" t="s">
        <v>2182</v>
      </c>
      <c r="C23" s="2597"/>
      <c r="D23" s="2597"/>
      <c r="E23" s="2597"/>
      <c r="F23" s="2597"/>
      <c r="G23" s="2597"/>
      <c r="H23" s="2597"/>
      <c r="I23" s="2597"/>
      <c r="J23" s="2597"/>
      <c r="K23" s="2597"/>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597" t="s">
        <v>2127</v>
      </c>
      <c r="C26" s="2597"/>
      <c r="D26" s="2597"/>
      <c r="E26" s="2597"/>
      <c r="F26" s="2597"/>
      <c r="G26" s="2597"/>
      <c r="H26" s="2597"/>
      <c r="I26" s="2597"/>
      <c r="J26" s="2597"/>
      <c r="K26" s="2597"/>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597" t="s">
        <v>2182</v>
      </c>
      <c r="C29" s="2597"/>
      <c r="D29" s="2597"/>
      <c r="E29" s="2597"/>
      <c r="F29" s="2597"/>
      <c r="G29" s="2597"/>
      <c r="H29" s="2597"/>
      <c r="I29" s="2597"/>
      <c r="J29" s="2597"/>
      <c r="K29" s="2597"/>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97" t="s">
        <v>2183</v>
      </c>
      <c r="C32" s="2597"/>
      <c r="D32" s="2597"/>
      <c r="E32" s="2597"/>
      <c r="F32" s="2597"/>
      <c r="G32" s="2597"/>
      <c r="H32" s="2597"/>
      <c r="I32" s="2597"/>
      <c r="J32" s="2597"/>
      <c r="K32" s="2597"/>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97" t="s">
        <v>2184</v>
      </c>
      <c r="C35" s="2597"/>
      <c r="D35" s="2597"/>
      <c r="E35" s="2597"/>
      <c r="F35" s="2597"/>
      <c r="G35" s="2597"/>
      <c r="H35" s="2597"/>
      <c r="I35" s="2597"/>
      <c r="J35" s="2597"/>
      <c r="K35" s="2597"/>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97" t="s">
        <v>2221</v>
      </c>
      <c r="C38" s="2597"/>
      <c r="D38" s="2597"/>
      <c r="E38" s="2597"/>
      <c r="F38" s="2597"/>
      <c r="G38" s="2597"/>
      <c r="H38" s="2597"/>
      <c r="I38" s="2597"/>
      <c r="J38" s="2597"/>
      <c r="K38" s="2597"/>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597" t="s">
        <v>2185</v>
      </c>
      <c r="C41" s="2597"/>
      <c r="D41" s="2597"/>
      <c r="E41" s="2597"/>
      <c r="F41" s="2597"/>
      <c r="G41" s="2597"/>
      <c r="H41" s="2597"/>
      <c r="I41" s="2597"/>
      <c r="J41" s="2597"/>
      <c r="K41" s="2597"/>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6" workbookViewId="0">
      <selection activeCell="A17" sqref="A17:K17"/>
    </sheetView>
  </sheetViews>
  <sheetFormatPr defaultColWidth="9.140625" defaultRowHeight="12.75" x14ac:dyDescent="0.2"/>
  <cols>
    <col min="1" max="1" width="1.5703125" style="1964" customWidth="1"/>
    <col min="2" max="2" width="21.5703125" style="1964" customWidth="1"/>
    <col min="3" max="3" width="6.140625" style="1964" customWidth="1"/>
    <col min="4" max="4" width="4.7109375" style="1964" customWidth="1"/>
    <col min="5" max="5" width="3.5703125" style="1964" customWidth="1"/>
    <col min="6" max="6" width="20.140625" style="1964" customWidth="1"/>
    <col min="7" max="7" width="3.5703125" style="1968" customWidth="1"/>
    <col min="8" max="8" width="10.5703125" style="1964" customWidth="1"/>
    <col min="9" max="9" width="3.42578125" style="1968" customWidth="1"/>
    <col min="10" max="10" width="15.5703125" style="1964" customWidth="1"/>
    <col min="11" max="11" width="8.5703125" style="1964" customWidth="1"/>
    <col min="12" max="12" width="1.5703125" style="1964" customWidth="1"/>
    <col min="13" max="13" width="3.42578125" style="1964" customWidth="1"/>
    <col min="14" max="16384" width="9.140625" style="1964"/>
  </cols>
  <sheetData>
    <row r="1" spans="1:12" ht="12.75" customHeight="1" x14ac:dyDescent="0.2">
      <c r="B1" s="2605" t="str">
        <f>'Single Audit Cover'!A7</f>
        <v>Ogle County Educational Cooperative</v>
      </c>
      <c r="C1" s="2605"/>
      <c r="D1" s="2605"/>
      <c r="E1" s="2605"/>
      <c r="F1" s="2605"/>
      <c r="G1" s="2605"/>
      <c r="H1" s="2605"/>
      <c r="I1" s="2605"/>
      <c r="J1" s="2605"/>
      <c r="K1" s="2605"/>
      <c r="L1" s="2026"/>
    </row>
    <row r="2" spans="1:12" ht="12.75" customHeight="1" x14ac:dyDescent="0.2">
      <c r="B2" s="2606">
        <f>'Single Audit Cover'!E7</f>
        <v>47071801060</v>
      </c>
      <c r="C2" s="2606"/>
      <c r="D2" s="2606"/>
      <c r="E2" s="2606"/>
      <c r="F2" s="2606"/>
      <c r="G2" s="2606"/>
      <c r="H2" s="2606"/>
      <c r="I2" s="2606"/>
      <c r="J2" s="2606"/>
      <c r="K2" s="2606"/>
      <c r="L2" s="2027"/>
    </row>
    <row r="3" spans="1:12" ht="12.75" customHeight="1" x14ac:dyDescent="0.2">
      <c r="B3" s="2598" t="s">
        <v>1347</v>
      </c>
      <c r="C3" s="2598"/>
      <c r="D3" s="2598"/>
      <c r="E3" s="2598"/>
      <c r="F3" s="2598"/>
      <c r="G3" s="2598"/>
      <c r="H3" s="2598"/>
      <c r="I3" s="2598"/>
      <c r="J3" s="2598"/>
      <c r="K3" s="2598"/>
      <c r="L3" s="1997"/>
    </row>
    <row r="4" spans="1:12" ht="12.75" customHeight="1" x14ac:dyDescent="0.2">
      <c r="B4" s="2598" t="str">
        <f>'Single Audit Cover'!A4</f>
        <v>Year Ending June 30, 2018</v>
      </c>
      <c r="C4" s="2598"/>
      <c r="D4" s="2598"/>
      <c r="E4" s="2598"/>
      <c r="F4" s="2598"/>
      <c r="G4" s="2598"/>
      <c r="H4" s="2598"/>
      <c r="I4" s="2598"/>
      <c r="J4" s="2598"/>
      <c r="K4" s="2598"/>
      <c r="L4" s="1997"/>
    </row>
    <row r="5" spans="1:12" ht="5.25" customHeight="1" x14ac:dyDescent="0.2">
      <c r="B5" s="1969" t="s">
        <v>1231</v>
      </c>
      <c r="C5" s="1969"/>
      <c r="L5" s="1965"/>
    </row>
    <row r="6" spans="1:12" ht="30.75" customHeight="1" x14ac:dyDescent="0.2">
      <c r="A6" s="1965"/>
      <c r="B6" s="2607" t="s">
        <v>1375</v>
      </c>
      <c r="C6" s="2607"/>
      <c r="D6" s="2607"/>
      <c r="E6" s="2607"/>
      <c r="F6" s="2607"/>
      <c r="G6" s="2607"/>
      <c r="H6" s="2607"/>
      <c r="I6" s="2607"/>
      <c r="J6" s="2607"/>
      <c r="K6" s="2607"/>
      <c r="L6" s="1965"/>
    </row>
    <row r="7" spans="1:12" ht="4.5" customHeight="1" x14ac:dyDescent="0.2">
      <c r="B7" s="1999"/>
      <c r="C7" s="1999"/>
      <c r="D7" s="1999"/>
      <c r="E7" s="1999"/>
      <c r="F7" s="1999"/>
      <c r="G7" s="2000"/>
      <c r="H7" s="1999"/>
      <c r="I7" s="2000"/>
      <c r="J7" s="1999"/>
      <c r="K7" s="1999"/>
      <c r="L7" s="1965"/>
    </row>
    <row r="8" spans="1:12" ht="13.5" customHeight="1" x14ac:dyDescent="0.2">
      <c r="B8" s="2003" t="s">
        <v>1856</v>
      </c>
      <c r="C8" s="2028" t="s">
        <v>1950</v>
      </c>
      <c r="D8" s="2029">
        <v>2</v>
      </c>
      <c r="E8" s="1965"/>
      <c r="F8" s="2002" t="s">
        <v>1362</v>
      </c>
      <c r="G8" s="2030" t="s">
        <v>2074</v>
      </c>
      <c r="H8" s="2031" t="s">
        <v>1374</v>
      </c>
      <c r="I8" s="2030"/>
      <c r="J8" s="2032" t="s">
        <v>1373</v>
      </c>
      <c r="L8" s="1965"/>
    </row>
    <row r="9" spans="1:12" ht="13.5" customHeight="1" x14ac:dyDescent="0.2">
      <c r="D9" s="1965"/>
      <c r="E9" s="1965"/>
      <c r="F9" s="1965"/>
      <c r="G9" s="2001"/>
      <c r="H9" s="1965"/>
      <c r="I9" s="2033" t="s">
        <v>1359</v>
      </c>
      <c r="J9" s="1965"/>
      <c r="K9" s="2034"/>
      <c r="L9" s="1965"/>
    </row>
    <row r="10" spans="1:12" ht="4.5" customHeight="1" x14ac:dyDescent="0.2">
      <c r="B10" s="2035"/>
      <c r="C10" s="2035"/>
      <c r="D10" s="2022"/>
      <c r="E10" s="2022"/>
      <c r="F10" s="2022"/>
      <c r="G10" s="2023"/>
      <c r="H10" s="2022"/>
      <c r="I10" s="2023"/>
      <c r="J10" s="2022"/>
      <c r="K10" s="2022"/>
      <c r="L10" s="1965"/>
    </row>
    <row r="11" spans="1:12" ht="5.25" customHeight="1" x14ac:dyDescent="0.2">
      <c r="B11" s="1965"/>
      <c r="C11" s="1965"/>
      <c r="D11" s="1963"/>
      <c r="E11" s="1965"/>
      <c r="F11" s="1965"/>
      <c r="G11" s="2001"/>
      <c r="H11" s="1965"/>
      <c r="I11" s="2001"/>
      <c r="J11" s="1965"/>
      <c r="K11" s="2024"/>
      <c r="L11" s="1965"/>
    </row>
    <row r="12" spans="1:12" ht="13.5" customHeight="1" x14ac:dyDescent="0.2">
      <c r="B12" s="2002" t="s">
        <v>1372</v>
      </c>
      <c r="C12" s="2002"/>
      <c r="D12" s="1963"/>
      <c r="E12" s="1965"/>
      <c r="F12" s="2589" t="s">
        <v>2187</v>
      </c>
      <c r="G12" s="2589"/>
      <c r="H12" s="2589"/>
      <c r="I12" s="2589"/>
      <c r="J12" s="2589"/>
      <c r="K12" s="2589"/>
      <c r="L12" s="1965"/>
    </row>
    <row r="13" spans="1:12" ht="9.6" customHeight="1" x14ac:dyDescent="0.2">
      <c r="B13" s="1967"/>
      <c r="C13" s="1967"/>
      <c r="D13" s="1963"/>
      <c r="E13" s="1965"/>
      <c r="F13" s="1965"/>
      <c r="G13" s="2001"/>
      <c r="H13" s="1965"/>
      <c r="I13" s="2001"/>
      <c r="J13" s="1965"/>
      <c r="K13" s="2024"/>
      <c r="L13" s="1965"/>
    </row>
    <row r="14" spans="1:12" ht="13.5" customHeight="1" x14ac:dyDescent="0.2">
      <c r="B14" s="2003" t="s">
        <v>1371</v>
      </c>
      <c r="C14" s="2003"/>
      <c r="D14" s="2602" t="s">
        <v>2177</v>
      </c>
      <c r="E14" s="2602"/>
      <c r="F14" s="2602"/>
      <c r="H14" s="2036" t="s">
        <v>1370</v>
      </c>
      <c r="I14" s="2603" t="s">
        <v>2131</v>
      </c>
      <c r="J14" s="2603"/>
      <c r="K14" s="2603"/>
      <c r="L14" s="1965"/>
    </row>
    <row r="15" spans="1:12" ht="9.4" customHeight="1" x14ac:dyDescent="0.2">
      <c r="B15" s="2003"/>
      <c r="C15" s="2003"/>
      <c r="D15" s="1996"/>
      <c r="E15" s="1969"/>
      <c r="F15" s="1969"/>
      <c r="G15" s="1981"/>
      <c r="H15" s="1969"/>
      <c r="I15" s="2037"/>
      <c r="J15" s="1988"/>
      <c r="K15" s="1986"/>
      <c r="L15" s="1965"/>
    </row>
    <row r="16" spans="1:12" ht="13.5" customHeight="1" x14ac:dyDescent="0.2">
      <c r="B16" s="2003" t="s">
        <v>1369</v>
      </c>
      <c r="C16" s="2003"/>
      <c r="D16" s="2603" t="s">
        <v>2124</v>
      </c>
      <c r="E16" s="2603"/>
      <c r="F16" s="2603"/>
      <c r="G16" s="2603"/>
      <c r="H16" s="2603"/>
      <c r="I16" s="2603"/>
      <c r="J16" s="2603"/>
      <c r="K16" s="2603"/>
      <c r="L16" s="1965"/>
    </row>
    <row r="17" spans="2:12" ht="13.5" customHeight="1" x14ac:dyDescent="0.2">
      <c r="B17" s="2003" t="s">
        <v>1368</v>
      </c>
      <c r="C17" s="2003"/>
      <c r="D17" s="2604" t="s">
        <v>2125</v>
      </c>
      <c r="E17" s="2604"/>
      <c r="F17" s="2604"/>
      <c r="G17" s="2604"/>
      <c r="H17" s="2604"/>
      <c r="I17" s="2604"/>
      <c r="J17" s="2604"/>
      <c r="K17" s="2604"/>
      <c r="L17" s="1965"/>
    </row>
    <row r="18" spans="2:12" ht="9.4" customHeight="1" x14ac:dyDescent="0.2">
      <c r="B18" s="2022"/>
      <c r="C18" s="2022"/>
      <c r="D18" s="2022"/>
      <c r="E18" s="2022"/>
      <c r="F18" s="2022"/>
      <c r="G18" s="2023"/>
      <c r="H18" s="2022"/>
      <c r="I18" s="2023"/>
      <c r="J18" s="2022"/>
      <c r="K18" s="2022"/>
      <c r="L18" s="1965"/>
    </row>
    <row r="19" spans="2:12" ht="13.5" customHeight="1" x14ac:dyDescent="0.2">
      <c r="B19" s="2038" t="s">
        <v>1367</v>
      </c>
      <c r="C19" s="2038"/>
      <c r="D19" s="1966"/>
      <c r="E19" s="1966"/>
      <c r="F19" s="1966"/>
      <c r="G19" s="2039"/>
      <c r="H19" s="1966"/>
      <c r="I19" s="2039"/>
      <c r="J19" s="1965"/>
      <c r="K19" s="1965"/>
      <c r="L19" s="1965"/>
    </row>
    <row r="20" spans="2:12" ht="35.25" customHeight="1" x14ac:dyDescent="0.2">
      <c r="B20" s="2597" t="s">
        <v>2126</v>
      </c>
      <c r="C20" s="2597"/>
      <c r="D20" s="2597"/>
      <c r="E20" s="2597"/>
      <c r="F20" s="2597"/>
      <c r="G20" s="2597"/>
      <c r="H20" s="2597"/>
      <c r="I20" s="2597"/>
      <c r="J20" s="2597"/>
      <c r="K20" s="2597"/>
      <c r="L20" s="2024"/>
    </row>
    <row r="21" spans="2:12" ht="4.5" customHeight="1" x14ac:dyDescent="0.2">
      <c r="B21" s="2040"/>
      <c r="C21" s="2040"/>
      <c r="D21" s="2041"/>
      <c r="E21" s="2041"/>
      <c r="F21" s="2041"/>
      <c r="G21" s="2023"/>
      <c r="H21" s="2041"/>
      <c r="I21" s="2023"/>
      <c r="J21" s="2041"/>
      <c r="K21" s="2041"/>
      <c r="L21" s="2024"/>
    </row>
    <row r="22" spans="2:12" ht="13.35" customHeight="1" x14ac:dyDescent="0.2">
      <c r="B22" s="2038" t="s">
        <v>1857</v>
      </c>
      <c r="C22" s="2038"/>
      <c r="D22" s="1965"/>
      <c r="E22" s="1965"/>
      <c r="F22" s="1965"/>
      <c r="G22" s="2001"/>
      <c r="H22" s="1965"/>
      <c r="I22" s="2001"/>
      <c r="J22" s="1965"/>
      <c r="K22" s="1965"/>
      <c r="L22" s="1965"/>
    </row>
    <row r="23" spans="2:12" ht="37.5" customHeight="1" x14ac:dyDescent="0.2">
      <c r="B23" s="2597" t="s">
        <v>2188</v>
      </c>
      <c r="C23" s="2597"/>
      <c r="D23" s="2597"/>
      <c r="E23" s="2597"/>
      <c r="F23" s="2597"/>
      <c r="G23" s="2597"/>
      <c r="H23" s="2597"/>
      <c r="I23" s="2597"/>
      <c r="J23" s="2597"/>
      <c r="K23" s="2597"/>
      <c r="L23" s="1965"/>
    </row>
    <row r="24" spans="2:12" ht="4.5" customHeight="1" x14ac:dyDescent="0.2">
      <c r="B24" s="2040"/>
      <c r="C24" s="2040"/>
      <c r="D24" s="2022"/>
      <c r="E24" s="2022"/>
      <c r="F24" s="2022"/>
      <c r="G24" s="2023"/>
      <c r="H24" s="2022"/>
      <c r="I24" s="2023"/>
      <c r="J24" s="2022"/>
      <c r="K24" s="2022"/>
      <c r="L24" s="1965"/>
    </row>
    <row r="25" spans="2:12" ht="13.5" customHeight="1" x14ac:dyDescent="0.2">
      <c r="B25" s="2038" t="s">
        <v>1858</v>
      </c>
      <c r="C25" s="2038"/>
      <c r="D25" s="1965"/>
      <c r="E25" s="1965"/>
      <c r="F25" s="1965"/>
      <c r="G25" s="2001"/>
      <c r="H25" s="1965"/>
      <c r="I25" s="2001"/>
      <c r="J25" s="1965"/>
      <c r="K25" s="1965"/>
      <c r="L25" s="1965"/>
    </row>
    <row r="26" spans="2:12" ht="37.5" customHeight="1" x14ac:dyDescent="0.2">
      <c r="B26" s="2597" t="s">
        <v>2127</v>
      </c>
      <c r="C26" s="2597"/>
      <c r="D26" s="2597"/>
      <c r="E26" s="2597"/>
      <c r="F26" s="2597"/>
      <c r="G26" s="2597"/>
      <c r="H26" s="2597"/>
      <c r="I26" s="2597"/>
      <c r="J26" s="2597"/>
      <c r="K26" s="2597"/>
      <c r="L26" s="1965"/>
    </row>
    <row r="27" spans="2:12" ht="4.5" customHeight="1" x14ac:dyDescent="0.2">
      <c r="B27" s="2042"/>
      <c r="C27" s="2042"/>
      <c r="D27" s="2042"/>
      <c r="E27" s="2022"/>
      <c r="F27" s="2022"/>
      <c r="G27" s="2023"/>
      <c r="H27" s="2022"/>
      <c r="I27" s="2023"/>
      <c r="J27" s="2022"/>
      <c r="K27" s="2022"/>
      <c r="L27" s="1965"/>
    </row>
    <row r="28" spans="2:12" ht="13.5" customHeight="1" x14ac:dyDescent="0.2">
      <c r="B28" s="2038" t="s">
        <v>1859</v>
      </c>
      <c r="C28" s="2038"/>
      <c r="D28" s="1965"/>
      <c r="E28" s="1965"/>
      <c r="F28" s="1965"/>
      <c r="G28" s="2001"/>
      <c r="H28" s="1965"/>
      <c r="I28" s="2001"/>
      <c r="J28" s="1965"/>
      <c r="K28" s="1965"/>
      <c r="L28" s="1965"/>
    </row>
    <row r="29" spans="2:12" ht="37.5" customHeight="1" x14ac:dyDescent="0.2">
      <c r="B29" s="2597" t="s">
        <v>2188</v>
      </c>
      <c r="C29" s="2597"/>
      <c r="D29" s="2597"/>
      <c r="E29" s="2597"/>
      <c r="F29" s="2597"/>
      <c r="G29" s="2597"/>
      <c r="H29" s="2597"/>
      <c r="I29" s="2597"/>
      <c r="J29" s="2597"/>
      <c r="K29" s="2597"/>
      <c r="L29" s="1965"/>
    </row>
    <row r="30" spans="2:12" ht="4.5" customHeight="1" x14ac:dyDescent="0.2">
      <c r="B30" s="2040"/>
      <c r="C30" s="2040"/>
      <c r="D30" s="2022"/>
      <c r="E30" s="2022"/>
      <c r="F30" s="2022"/>
      <c r="G30" s="2023"/>
      <c r="H30" s="2022"/>
      <c r="I30" s="2023"/>
      <c r="J30" s="2022"/>
      <c r="K30" s="2022"/>
      <c r="L30" s="1965"/>
    </row>
    <row r="31" spans="2:12" ht="13.5" customHeight="1" x14ac:dyDescent="0.2">
      <c r="B31" s="2038" t="s">
        <v>1366</v>
      </c>
      <c r="C31" s="2038"/>
      <c r="D31" s="1965"/>
      <c r="E31" s="1965"/>
      <c r="F31" s="1965"/>
      <c r="G31" s="2001"/>
      <c r="H31" s="1965"/>
      <c r="I31" s="2001"/>
      <c r="J31" s="1965"/>
      <c r="K31" s="1965"/>
      <c r="L31" s="1965"/>
    </row>
    <row r="32" spans="2:12" ht="37.5" customHeight="1" x14ac:dyDescent="0.2">
      <c r="B32" s="2597" t="s">
        <v>2189</v>
      </c>
      <c r="C32" s="2597"/>
      <c r="D32" s="2597"/>
      <c r="E32" s="2597"/>
      <c r="F32" s="2597"/>
      <c r="G32" s="2597"/>
      <c r="H32" s="2597"/>
      <c r="I32" s="2597"/>
      <c r="J32" s="2597"/>
      <c r="K32" s="2597"/>
      <c r="L32" s="1965"/>
    </row>
    <row r="33" spans="2:12" ht="4.5" customHeight="1" x14ac:dyDescent="0.2">
      <c r="B33" s="2040"/>
      <c r="C33" s="2040"/>
      <c r="D33" s="2022"/>
      <c r="E33" s="2022"/>
      <c r="F33" s="2022"/>
      <c r="G33" s="2023"/>
      <c r="H33" s="2022"/>
      <c r="I33" s="2023"/>
      <c r="J33" s="2022"/>
      <c r="K33" s="2022"/>
      <c r="L33" s="1965"/>
    </row>
    <row r="34" spans="2:12" ht="13.5" customHeight="1" x14ac:dyDescent="0.2">
      <c r="B34" s="2002" t="s">
        <v>1365</v>
      </c>
      <c r="C34" s="2002"/>
      <c r="D34" s="1965"/>
      <c r="E34" s="1965"/>
      <c r="F34" s="1965"/>
      <c r="G34" s="2001"/>
      <c r="H34" s="1965"/>
      <c r="I34" s="2001"/>
      <c r="J34" s="1965"/>
      <c r="K34" s="1965"/>
      <c r="L34" s="1965"/>
    </row>
    <row r="35" spans="2:12" ht="37.5" customHeight="1" x14ac:dyDescent="0.2">
      <c r="B35" s="2597" t="s">
        <v>2184</v>
      </c>
      <c r="C35" s="2597"/>
      <c r="D35" s="2597"/>
      <c r="E35" s="2597"/>
      <c r="F35" s="2597"/>
      <c r="G35" s="2597"/>
      <c r="H35" s="2597"/>
      <c r="I35" s="2597"/>
      <c r="J35" s="2597"/>
      <c r="K35" s="2597"/>
      <c r="L35" s="1965"/>
    </row>
    <row r="36" spans="2:12" ht="4.5" customHeight="1" x14ac:dyDescent="0.2">
      <c r="B36" s="2040"/>
      <c r="C36" s="2040"/>
      <c r="D36" s="2022"/>
      <c r="E36" s="2022"/>
      <c r="F36" s="2022"/>
      <c r="G36" s="2023"/>
      <c r="H36" s="2022"/>
      <c r="I36" s="2023"/>
      <c r="J36" s="2022"/>
      <c r="K36" s="2022"/>
      <c r="L36" s="1965"/>
    </row>
    <row r="37" spans="2:12" ht="13.5" customHeight="1" x14ac:dyDescent="0.2">
      <c r="B37" s="2002" t="s">
        <v>1364</v>
      </c>
      <c r="C37" s="2002"/>
      <c r="D37" s="1965"/>
      <c r="E37" s="1965"/>
      <c r="F37" s="1965"/>
      <c r="G37" s="2001"/>
      <c r="H37" s="1965"/>
      <c r="I37" s="2001"/>
      <c r="J37" s="1965"/>
      <c r="K37" s="1965"/>
      <c r="L37" s="1965"/>
    </row>
    <row r="38" spans="2:12" ht="35.25" customHeight="1" x14ac:dyDescent="0.2">
      <c r="B38" s="2597" t="s">
        <v>2221</v>
      </c>
      <c r="C38" s="2597"/>
      <c r="D38" s="2597"/>
      <c r="E38" s="2597"/>
      <c r="F38" s="2597"/>
      <c r="G38" s="2597"/>
      <c r="H38" s="2597"/>
      <c r="I38" s="2597"/>
      <c r="J38" s="2597"/>
      <c r="K38" s="2597"/>
      <c r="L38" s="1965"/>
    </row>
    <row r="39" spans="2:12" ht="4.5" customHeight="1" x14ac:dyDescent="0.2">
      <c r="B39" s="2005"/>
      <c r="C39" s="2005"/>
      <c r="D39" s="1965"/>
      <c r="E39" s="1965"/>
      <c r="F39" s="1965"/>
      <c r="G39" s="2001"/>
      <c r="H39" s="1965"/>
      <c r="I39" s="2001"/>
      <c r="J39" s="1965"/>
      <c r="K39" s="1965"/>
      <c r="L39" s="1965"/>
    </row>
    <row r="40" spans="2:12" s="1965" customFormat="1" ht="13.5" customHeight="1" x14ac:dyDescent="0.2">
      <c r="B40" s="2006" t="s">
        <v>1860</v>
      </c>
      <c r="C40" s="2006"/>
      <c r="D40" s="1998"/>
      <c r="E40" s="1999"/>
      <c r="F40" s="1999"/>
      <c r="G40" s="2000"/>
      <c r="H40" s="1999"/>
      <c r="I40" s="2000"/>
      <c r="J40" s="1999"/>
      <c r="K40" s="1999"/>
    </row>
    <row r="41" spans="2:12" s="1965" customFormat="1" ht="33.75" customHeight="1" x14ac:dyDescent="0.2">
      <c r="B41" s="2597" t="s">
        <v>2185</v>
      </c>
      <c r="C41" s="2597"/>
      <c r="D41" s="2597"/>
      <c r="E41" s="2597"/>
      <c r="F41" s="2597"/>
      <c r="G41" s="2597"/>
      <c r="H41" s="2597"/>
      <c r="I41" s="2597"/>
      <c r="J41" s="2597"/>
      <c r="K41" s="2597"/>
    </row>
    <row r="42" spans="2:12" s="1965" customFormat="1" ht="4.5" customHeight="1" x14ac:dyDescent="0.2">
      <c r="B42" s="2005"/>
      <c r="C42" s="2005"/>
      <c r="G42" s="2001"/>
      <c r="I42" s="2001"/>
    </row>
    <row r="43" spans="2:12" s="1965" customFormat="1" ht="13.5" customHeight="1" x14ac:dyDescent="0.2">
      <c r="B43" s="2043" t="s">
        <v>1353</v>
      </c>
      <c r="C43" s="2044"/>
      <c r="D43" s="2007"/>
      <c r="E43" s="2007"/>
      <c r="F43" s="2007"/>
      <c r="G43" s="2008"/>
      <c r="H43" s="2007"/>
      <c r="I43" s="2008"/>
      <c r="J43" s="2007"/>
      <c r="K43" s="2009"/>
      <c r="L43" s="2045"/>
    </row>
    <row r="44" spans="2:12" s="1965" customFormat="1" ht="13.5" customHeight="1" x14ac:dyDescent="0.2">
      <c r="B44" s="2010" t="s">
        <v>1352</v>
      </c>
      <c r="C44" s="2011"/>
      <c r="D44" s="2046"/>
      <c r="E44" s="2012"/>
      <c r="F44" s="2016" t="s">
        <v>1351</v>
      </c>
      <c r="G44" s="2014"/>
      <c r="H44" s="2013"/>
      <c r="I44" s="2014"/>
      <c r="J44" s="2047"/>
      <c r="K44" s="2048"/>
      <c r="L44" s="2045"/>
    </row>
    <row r="45" spans="2:12" s="1965" customFormat="1" ht="13.5" customHeight="1" x14ac:dyDescent="0.2">
      <c r="B45" s="2010" t="s">
        <v>1350</v>
      </c>
      <c r="C45" s="2011"/>
      <c r="D45" s="2047"/>
      <c r="E45" s="2013"/>
      <c r="F45" s="2016" t="s">
        <v>1349</v>
      </c>
      <c r="G45" s="2014"/>
      <c r="H45" s="2013"/>
      <c r="I45" s="2014"/>
      <c r="J45" s="2047"/>
      <c r="K45" s="2048"/>
      <c r="L45" s="2045"/>
    </row>
    <row r="46" spans="2:12" s="1965" customFormat="1" ht="13.5" customHeight="1" x14ac:dyDescent="0.2">
      <c r="B46" s="2017"/>
      <c r="C46" s="2015"/>
      <c r="D46" s="2015"/>
      <c r="E46" s="2015"/>
      <c r="F46" s="2015"/>
      <c r="G46" s="2018"/>
      <c r="H46" s="2015"/>
      <c r="I46" s="2018"/>
      <c r="J46" s="2015"/>
      <c r="K46" s="2019"/>
      <c r="L46" s="2045"/>
    </row>
    <row r="47" spans="2:12" ht="7.5" customHeight="1" x14ac:dyDescent="0.25">
      <c r="B47" s="2049"/>
      <c r="C47" s="2049"/>
      <c r="D47" s="2050"/>
      <c r="E47" s="2050"/>
      <c r="F47" s="2050"/>
      <c r="G47" s="2051"/>
      <c r="H47" s="2050"/>
      <c r="I47" s="2051"/>
      <c r="J47" s="2050"/>
      <c r="K47" s="2050"/>
    </row>
    <row r="48" spans="2:12" ht="13.5" customHeight="1" x14ac:dyDescent="0.2">
      <c r="B48" s="2020" t="s">
        <v>1861</v>
      </c>
      <c r="C48" s="2020"/>
      <c r="D48" s="1965"/>
      <c r="E48" s="1965"/>
      <c r="F48" s="1965"/>
    </row>
    <row r="49" spans="2:3" s="1964" customFormat="1" ht="10.5" customHeight="1" x14ac:dyDescent="0.2">
      <c r="B49" s="2021" t="s">
        <v>1862</v>
      </c>
      <c r="C49" s="2021"/>
    </row>
    <row r="50" spans="2:3" s="1964" customFormat="1" ht="11.1" customHeight="1" x14ac:dyDescent="0.2">
      <c r="B50" s="2021" t="s">
        <v>1863</v>
      </c>
      <c r="C50" s="2021"/>
    </row>
    <row r="51" spans="2:3" s="1964" customFormat="1" ht="11.1" customHeight="1" x14ac:dyDescent="0.2">
      <c r="B51" s="2021" t="s">
        <v>1864</v>
      </c>
      <c r="C51" s="2021"/>
    </row>
    <row r="52" spans="2:3" s="1964" customFormat="1" ht="11.1" customHeight="1" x14ac:dyDescent="0.2">
      <c r="B52" s="2021" t="s">
        <v>1865</v>
      </c>
      <c r="C52" s="202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8" workbookViewId="0">
      <selection activeCell="A17" sqref="A17:K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5" t="str">
        <f>'Single Audit Cover'!A7</f>
        <v>Ogle County Educational Cooperative</v>
      </c>
      <c r="C1" s="2605"/>
      <c r="D1" s="2605"/>
      <c r="E1" s="2605"/>
      <c r="F1" s="2605"/>
      <c r="G1" s="2605"/>
      <c r="H1" s="2605"/>
      <c r="I1" s="2605"/>
      <c r="J1" s="2605"/>
      <c r="K1" s="2605"/>
      <c r="L1" s="1464"/>
    </row>
    <row r="2" spans="1:12" ht="12.75" customHeight="1" x14ac:dyDescent="0.2">
      <c r="B2" s="2606">
        <f>'Single Audit Cover'!E7</f>
        <v>47071801060</v>
      </c>
      <c r="C2" s="2606"/>
      <c r="D2" s="2606"/>
      <c r="E2" s="2606"/>
      <c r="F2" s="2606"/>
      <c r="G2" s="2606"/>
      <c r="H2" s="2606"/>
      <c r="I2" s="2606"/>
      <c r="J2" s="2606"/>
      <c r="K2" s="2606"/>
      <c r="L2" s="1465"/>
    </row>
    <row r="3" spans="1:12" ht="12.75" customHeight="1" x14ac:dyDescent="0.2">
      <c r="B3" s="2598" t="s">
        <v>1347</v>
      </c>
      <c r="C3" s="2598"/>
      <c r="D3" s="2598"/>
      <c r="E3" s="2598"/>
      <c r="F3" s="2598"/>
      <c r="G3" s="2598"/>
      <c r="H3" s="2598"/>
      <c r="I3" s="2598"/>
      <c r="J3" s="2598"/>
      <c r="K3" s="2598"/>
      <c r="L3" s="1958"/>
    </row>
    <row r="4" spans="1:12" ht="12.75" customHeight="1" x14ac:dyDescent="0.2">
      <c r="B4" s="2598" t="str">
        <f>'Single Audit Cover'!A4</f>
        <v>Year Ending June 30, 2018</v>
      </c>
      <c r="C4" s="2598"/>
      <c r="D4" s="2598"/>
      <c r="E4" s="2598"/>
      <c r="F4" s="2598"/>
      <c r="G4" s="2598"/>
      <c r="H4" s="2598"/>
      <c r="I4" s="2598"/>
      <c r="J4" s="2598"/>
      <c r="K4" s="2598"/>
      <c r="L4" s="1958"/>
    </row>
    <row r="5" spans="1:12" ht="5.25" customHeight="1" x14ac:dyDescent="0.2">
      <c r="B5" s="1260" t="s">
        <v>1231</v>
      </c>
      <c r="C5" s="1260"/>
      <c r="L5" s="322"/>
    </row>
    <row r="6" spans="1:12" ht="30.75" customHeight="1" x14ac:dyDescent="0.2">
      <c r="A6" s="322"/>
      <c r="B6" s="2607" t="s">
        <v>1375</v>
      </c>
      <c r="C6" s="2607"/>
      <c r="D6" s="2607"/>
      <c r="E6" s="2607"/>
      <c r="F6" s="2607"/>
      <c r="G6" s="2607"/>
      <c r="H6" s="2607"/>
      <c r="I6" s="2607"/>
      <c r="J6" s="2607"/>
      <c r="K6" s="2607"/>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1950</v>
      </c>
      <c r="D8" s="1467">
        <v>3</v>
      </c>
      <c r="E8" s="322"/>
      <c r="F8" s="1383" t="s">
        <v>1362</v>
      </c>
      <c r="G8" s="1468" t="s">
        <v>2074</v>
      </c>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589" t="s">
        <v>2186</v>
      </c>
      <c r="G12" s="2589"/>
      <c r="H12" s="2589"/>
      <c r="I12" s="2589"/>
      <c r="J12" s="2589"/>
      <c r="K12" s="2589"/>
      <c r="L12" s="322"/>
    </row>
    <row r="13" spans="1:12" ht="9.6" customHeight="1" x14ac:dyDescent="0.2">
      <c r="B13" s="1257"/>
      <c r="C13" s="1257"/>
      <c r="D13" s="304"/>
      <c r="E13" s="322"/>
      <c r="F13" s="322"/>
      <c r="G13" s="1382"/>
      <c r="H13" s="322"/>
      <c r="I13" s="1382"/>
      <c r="J13" s="322"/>
      <c r="K13" s="1431"/>
      <c r="L13" s="322"/>
    </row>
    <row r="14" spans="1:12" ht="13.5" customHeight="1" x14ac:dyDescent="0.2">
      <c r="B14" s="1386" t="s">
        <v>1371</v>
      </c>
      <c r="C14" s="1386"/>
      <c r="D14" s="2602" t="s">
        <v>2168</v>
      </c>
      <c r="E14" s="2602"/>
      <c r="F14" s="2602"/>
      <c r="H14" s="1474" t="s">
        <v>1370</v>
      </c>
      <c r="I14" s="2603" t="s">
        <v>2130</v>
      </c>
      <c r="J14" s="2603"/>
      <c r="K14" s="2603"/>
      <c r="L14" s="322"/>
    </row>
    <row r="15" spans="1:12" ht="9.4" customHeight="1" x14ac:dyDescent="0.2">
      <c r="B15" s="1386"/>
      <c r="C15" s="1386"/>
      <c r="D15" s="1372"/>
      <c r="E15" s="1260"/>
      <c r="F15" s="1260"/>
      <c r="G15" s="1286"/>
      <c r="H15" s="1260"/>
      <c r="I15" s="1475"/>
      <c r="J15" s="1293"/>
      <c r="K15" s="1291"/>
      <c r="L15" s="322"/>
    </row>
    <row r="16" spans="1:12" ht="13.5" customHeight="1" x14ac:dyDescent="0.2">
      <c r="B16" s="1386" t="s">
        <v>1369</v>
      </c>
      <c r="C16" s="1386"/>
      <c r="D16" s="2603" t="s">
        <v>2124</v>
      </c>
      <c r="E16" s="2603"/>
      <c r="F16" s="2603"/>
      <c r="G16" s="2603"/>
      <c r="H16" s="2603"/>
      <c r="I16" s="2603"/>
      <c r="J16" s="2603"/>
      <c r="K16" s="2603"/>
      <c r="L16" s="322"/>
    </row>
    <row r="17" spans="2:12" ht="13.5" customHeight="1" x14ac:dyDescent="0.2">
      <c r="B17" s="1386" t="s">
        <v>1368</v>
      </c>
      <c r="C17" s="1386"/>
      <c r="D17" s="2604" t="s">
        <v>2125</v>
      </c>
      <c r="E17" s="2604"/>
      <c r="F17" s="2604"/>
      <c r="G17" s="2604"/>
      <c r="H17" s="2604"/>
      <c r="I17" s="2604"/>
      <c r="J17" s="2604"/>
      <c r="K17" s="260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97" t="s">
        <v>2128</v>
      </c>
      <c r="C20" s="2597"/>
      <c r="D20" s="2597"/>
      <c r="E20" s="2597"/>
      <c r="F20" s="2597"/>
      <c r="G20" s="2597"/>
      <c r="H20" s="2597"/>
      <c r="I20" s="2597"/>
      <c r="J20" s="2597"/>
      <c r="K20" s="2597"/>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597" t="s">
        <v>2216</v>
      </c>
      <c r="C23" s="2597"/>
      <c r="D23" s="2597"/>
      <c r="E23" s="2597"/>
      <c r="F23" s="2597"/>
      <c r="G23" s="2597"/>
      <c r="H23" s="2597"/>
      <c r="I23" s="2597"/>
      <c r="J23" s="2597"/>
      <c r="K23" s="2597"/>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597" t="s">
        <v>2127</v>
      </c>
      <c r="C26" s="2597"/>
      <c r="D26" s="2597"/>
      <c r="E26" s="2597"/>
      <c r="F26" s="2597"/>
      <c r="G26" s="2597"/>
      <c r="H26" s="2597"/>
      <c r="I26" s="2597"/>
      <c r="J26" s="2597"/>
      <c r="K26" s="2597"/>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597" t="s">
        <v>2217</v>
      </c>
      <c r="C29" s="2597"/>
      <c r="D29" s="2597"/>
      <c r="E29" s="2597"/>
      <c r="F29" s="2597"/>
      <c r="G29" s="2597"/>
      <c r="H29" s="2597"/>
      <c r="I29" s="2597"/>
      <c r="J29" s="2597"/>
      <c r="K29" s="2597"/>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97" t="s">
        <v>2218</v>
      </c>
      <c r="C32" s="2597"/>
      <c r="D32" s="2597"/>
      <c r="E32" s="2597"/>
      <c r="F32" s="2597"/>
      <c r="G32" s="2597"/>
      <c r="H32" s="2597"/>
      <c r="I32" s="2597"/>
      <c r="J32" s="2597"/>
      <c r="K32" s="2597"/>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97" t="s">
        <v>2219</v>
      </c>
      <c r="C35" s="2597"/>
      <c r="D35" s="2597"/>
      <c r="E35" s="2597"/>
      <c r="F35" s="2597"/>
      <c r="G35" s="2597"/>
      <c r="H35" s="2597"/>
      <c r="I35" s="2597"/>
      <c r="J35" s="2597"/>
      <c r="K35" s="2597"/>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97" t="s">
        <v>2220</v>
      </c>
      <c r="C38" s="2597"/>
      <c r="D38" s="2597"/>
      <c r="E38" s="2597"/>
      <c r="F38" s="2597"/>
      <c r="G38" s="2597"/>
      <c r="H38" s="2597"/>
      <c r="I38" s="2597"/>
      <c r="J38" s="2597"/>
      <c r="K38" s="2597"/>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597" t="s">
        <v>2208</v>
      </c>
      <c r="C41" s="2597"/>
      <c r="D41" s="2597"/>
      <c r="E41" s="2597"/>
      <c r="F41" s="2597"/>
      <c r="G41" s="2597"/>
      <c r="H41" s="2597"/>
      <c r="I41" s="2597"/>
      <c r="J41" s="2597"/>
      <c r="K41" s="2597"/>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1" workbookViewId="0">
      <selection activeCell="A17" sqref="A17:K17"/>
    </sheetView>
  </sheetViews>
  <sheetFormatPr defaultColWidth="9.140625" defaultRowHeight="12.75" x14ac:dyDescent="0.2"/>
  <cols>
    <col min="1" max="1" width="1.5703125" style="1964" customWidth="1"/>
    <col min="2" max="2" width="21.5703125" style="1964" customWidth="1"/>
    <col min="3" max="3" width="6.140625" style="1964" customWidth="1"/>
    <col min="4" max="4" width="4.7109375" style="1964" customWidth="1"/>
    <col min="5" max="5" width="3.5703125" style="1964" customWidth="1"/>
    <col min="6" max="6" width="20.140625" style="1964" customWidth="1"/>
    <col min="7" max="7" width="3.5703125" style="1968" customWidth="1"/>
    <col min="8" max="8" width="10.5703125" style="1964" customWidth="1"/>
    <col min="9" max="9" width="3.42578125" style="1968" customWidth="1"/>
    <col min="10" max="10" width="15.5703125" style="1964" customWidth="1"/>
    <col min="11" max="11" width="8.5703125" style="1964" customWidth="1"/>
    <col min="12" max="12" width="1.5703125" style="1964" customWidth="1"/>
    <col min="13" max="13" width="3.42578125" style="1964" customWidth="1"/>
    <col min="14" max="16384" width="9.140625" style="1964"/>
  </cols>
  <sheetData>
    <row r="1" spans="1:12" ht="12.75" customHeight="1" x14ac:dyDescent="0.2">
      <c r="B1" s="2605" t="str">
        <f>'Single Audit Cover'!A7</f>
        <v>Ogle County Educational Cooperative</v>
      </c>
      <c r="C1" s="2605"/>
      <c r="D1" s="2605"/>
      <c r="E1" s="2605"/>
      <c r="F1" s="2605"/>
      <c r="G1" s="2605"/>
      <c r="H1" s="2605"/>
      <c r="I1" s="2605"/>
      <c r="J1" s="2605"/>
      <c r="K1" s="2605"/>
      <c r="L1" s="2026"/>
    </row>
    <row r="2" spans="1:12" ht="12.75" customHeight="1" x14ac:dyDescent="0.2">
      <c r="B2" s="2606">
        <f>'Single Audit Cover'!E7</f>
        <v>47071801060</v>
      </c>
      <c r="C2" s="2606"/>
      <c r="D2" s="2606"/>
      <c r="E2" s="2606"/>
      <c r="F2" s="2606"/>
      <c r="G2" s="2606"/>
      <c r="H2" s="2606"/>
      <c r="I2" s="2606"/>
      <c r="J2" s="2606"/>
      <c r="K2" s="2606"/>
      <c r="L2" s="2027"/>
    </row>
    <row r="3" spans="1:12" ht="12.75" customHeight="1" x14ac:dyDescent="0.2">
      <c r="B3" s="2598" t="s">
        <v>1347</v>
      </c>
      <c r="C3" s="2598"/>
      <c r="D3" s="2598"/>
      <c r="E3" s="2598"/>
      <c r="F3" s="2598"/>
      <c r="G3" s="2598"/>
      <c r="H3" s="2598"/>
      <c r="I3" s="2598"/>
      <c r="J3" s="2598"/>
      <c r="K3" s="2598"/>
      <c r="L3" s="1997"/>
    </row>
    <row r="4" spans="1:12" ht="12.75" customHeight="1" x14ac:dyDescent="0.2">
      <c r="B4" s="2598" t="str">
        <f>'Single Audit Cover'!A4</f>
        <v>Year Ending June 30, 2018</v>
      </c>
      <c r="C4" s="2598"/>
      <c r="D4" s="2598"/>
      <c r="E4" s="2598"/>
      <c r="F4" s="2598"/>
      <c r="G4" s="2598"/>
      <c r="H4" s="2598"/>
      <c r="I4" s="2598"/>
      <c r="J4" s="2598"/>
      <c r="K4" s="2598"/>
      <c r="L4" s="1997"/>
    </row>
    <row r="5" spans="1:12" ht="5.25" customHeight="1" x14ac:dyDescent="0.2">
      <c r="B5" s="1969" t="s">
        <v>1231</v>
      </c>
      <c r="C5" s="1969"/>
      <c r="L5" s="1965"/>
    </row>
    <row r="6" spans="1:12" ht="30.75" customHeight="1" x14ac:dyDescent="0.2">
      <c r="A6" s="1965"/>
      <c r="B6" s="2607" t="s">
        <v>1375</v>
      </c>
      <c r="C6" s="2607"/>
      <c r="D6" s="2607"/>
      <c r="E6" s="2607"/>
      <c r="F6" s="2607"/>
      <c r="G6" s="2607"/>
      <c r="H6" s="2607"/>
      <c r="I6" s="2607"/>
      <c r="J6" s="2607"/>
      <c r="K6" s="2607"/>
      <c r="L6" s="1965"/>
    </row>
    <row r="7" spans="1:12" ht="4.5" customHeight="1" x14ac:dyDescent="0.2">
      <c r="B7" s="1999"/>
      <c r="C7" s="1999"/>
      <c r="D7" s="1999"/>
      <c r="E7" s="1999"/>
      <c r="F7" s="1999"/>
      <c r="G7" s="2000"/>
      <c r="H7" s="1999"/>
      <c r="I7" s="2000"/>
      <c r="J7" s="1999"/>
      <c r="K7" s="1999"/>
      <c r="L7" s="1965"/>
    </row>
    <row r="8" spans="1:12" ht="13.5" customHeight="1" x14ac:dyDescent="0.2">
      <c r="B8" s="2003" t="s">
        <v>1856</v>
      </c>
      <c r="C8" s="2028" t="s">
        <v>1950</v>
      </c>
      <c r="D8" s="2029">
        <v>3</v>
      </c>
      <c r="E8" s="1965"/>
      <c r="F8" s="2002" t="s">
        <v>1362</v>
      </c>
      <c r="G8" s="2030" t="s">
        <v>2074</v>
      </c>
      <c r="H8" s="2031" t="s">
        <v>1374</v>
      </c>
      <c r="I8" s="2030"/>
      <c r="J8" s="2032" t="s">
        <v>1373</v>
      </c>
      <c r="L8" s="1965"/>
    </row>
    <row r="9" spans="1:12" ht="13.5" customHeight="1" x14ac:dyDescent="0.2">
      <c r="D9" s="1965"/>
      <c r="E9" s="1965"/>
      <c r="F9" s="1965"/>
      <c r="G9" s="2001"/>
      <c r="H9" s="1965"/>
      <c r="I9" s="2033" t="s">
        <v>1359</v>
      </c>
      <c r="J9" s="1965"/>
      <c r="K9" s="2034"/>
      <c r="L9" s="1965"/>
    </row>
    <row r="10" spans="1:12" ht="4.5" customHeight="1" x14ac:dyDescent="0.2">
      <c r="B10" s="2035"/>
      <c r="C10" s="2035"/>
      <c r="D10" s="2022"/>
      <c r="E10" s="2022"/>
      <c r="F10" s="2022"/>
      <c r="G10" s="2023"/>
      <c r="H10" s="2022"/>
      <c r="I10" s="2023"/>
      <c r="J10" s="2022"/>
      <c r="K10" s="2022"/>
      <c r="L10" s="1965"/>
    </row>
    <row r="11" spans="1:12" ht="5.25" customHeight="1" x14ac:dyDescent="0.2">
      <c r="B11" s="1965"/>
      <c r="C11" s="1965"/>
      <c r="D11" s="1963"/>
      <c r="E11" s="1965"/>
      <c r="F11" s="1965"/>
      <c r="G11" s="2001"/>
      <c r="H11" s="1965"/>
      <c r="I11" s="2001"/>
      <c r="J11" s="1965"/>
      <c r="K11" s="2024"/>
      <c r="L11" s="1965"/>
    </row>
    <row r="12" spans="1:12" ht="13.5" customHeight="1" x14ac:dyDescent="0.2">
      <c r="B12" s="2002" t="s">
        <v>1372</v>
      </c>
      <c r="C12" s="2002"/>
      <c r="D12" s="1963"/>
      <c r="E12" s="1965"/>
      <c r="F12" s="2589" t="s">
        <v>2187</v>
      </c>
      <c r="G12" s="2589"/>
      <c r="H12" s="2589"/>
      <c r="I12" s="2589"/>
      <c r="J12" s="2589"/>
      <c r="K12" s="2589"/>
      <c r="L12" s="1965"/>
    </row>
    <row r="13" spans="1:12" ht="9.6" customHeight="1" x14ac:dyDescent="0.2">
      <c r="B13" s="1967"/>
      <c r="C13" s="1967"/>
      <c r="D13" s="1963"/>
      <c r="E13" s="1965"/>
      <c r="F13" s="1965"/>
      <c r="G13" s="2001"/>
      <c r="H13" s="1965"/>
      <c r="I13" s="2001"/>
      <c r="J13" s="1965"/>
      <c r="K13" s="2024"/>
      <c r="L13" s="1965"/>
    </row>
    <row r="14" spans="1:12" ht="13.5" customHeight="1" x14ac:dyDescent="0.2">
      <c r="B14" s="2003" t="s">
        <v>1371</v>
      </c>
      <c r="C14" s="2003"/>
      <c r="D14" s="2602" t="s">
        <v>2177</v>
      </c>
      <c r="E14" s="2602"/>
      <c r="F14" s="2602"/>
      <c r="H14" s="2036" t="s">
        <v>1370</v>
      </c>
      <c r="I14" s="2603" t="s">
        <v>2131</v>
      </c>
      <c r="J14" s="2603"/>
      <c r="K14" s="2603"/>
      <c r="L14" s="1965"/>
    </row>
    <row r="15" spans="1:12" ht="9.4" customHeight="1" x14ac:dyDescent="0.2">
      <c r="B15" s="2003"/>
      <c r="C15" s="2003"/>
      <c r="D15" s="1996"/>
      <c r="E15" s="1969"/>
      <c r="F15" s="1969"/>
      <c r="G15" s="1981"/>
      <c r="H15" s="1969"/>
      <c r="I15" s="2037"/>
      <c r="J15" s="1988"/>
      <c r="K15" s="1986"/>
      <c r="L15" s="1965"/>
    </row>
    <row r="16" spans="1:12" ht="13.5" customHeight="1" x14ac:dyDescent="0.2">
      <c r="B16" s="2003" t="s">
        <v>1369</v>
      </c>
      <c r="C16" s="2003"/>
      <c r="D16" s="2603" t="s">
        <v>2124</v>
      </c>
      <c r="E16" s="2603"/>
      <c r="F16" s="2603"/>
      <c r="G16" s="2603"/>
      <c r="H16" s="2603"/>
      <c r="I16" s="2603"/>
      <c r="J16" s="2603"/>
      <c r="K16" s="2603"/>
      <c r="L16" s="1965"/>
    </row>
    <row r="17" spans="2:12" ht="13.5" customHeight="1" x14ac:dyDescent="0.2">
      <c r="B17" s="2003" t="s">
        <v>1368</v>
      </c>
      <c r="C17" s="2003"/>
      <c r="D17" s="2604" t="s">
        <v>2125</v>
      </c>
      <c r="E17" s="2604"/>
      <c r="F17" s="2604"/>
      <c r="G17" s="2604"/>
      <c r="H17" s="2604"/>
      <c r="I17" s="2604"/>
      <c r="J17" s="2604"/>
      <c r="K17" s="2604"/>
      <c r="L17" s="1965"/>
    </row>
    <row r="18" spans="2:12" ht="9.4" customHeight="1" x14ac:dyDescent="0.2">
      <c r="B18" s="2022"/>
      <c r="C18" s="2022"/>
      <c r="D18" s="2022"/>
      <c r="E18" s="2022"/>
      <c r="F18" s="2022"/>
      <c r="G18" s="2023"/>
      <c r="H18" s="2022"/>
      <c r="I18" s="2023"/>
      <c r="J18" s="2022"/>
      <c r="K18" s="2022"/>
      <c r="L18" s="1965"/>
    </row>
    <row r="19" spans="2:12" ht="13.5" customHeight="1" x14ac:dyDescent="0.2">
      <c r="B19" s="2038" t="s">
        <v>1367</v>
      </c>
      <c r="C19" s="2038"/>
      <c r="D19" s="1966"/>
      <c r="E19" s="1966"/>
      <c r="F19" s="1966"/>
      <c r="G19" s="2039"/>
      <c r="H19" s="1966"/>
      <c r="I19" s="2039"/>
      <c r="J19" s="1965"/>
      <c r="K19" s="1965"/>
      <c r="L19" s="1965"/>
    </row>
    <row r="20" spans="2:12" ht="35.25" customHeight="1" x14ac:dyDescent="0.2">
      <c r="B20" s="2597" t="s">
        <v>2128</v>
      </c>
      <c r="C20" s="2597"/>
      <c r="D20" s="2597"/>
      <c r="E20" s="2597"/>
      <c r="F20" s="2597"/>
      <c r="G20" s="2597"/>
      <c r="H20" s="2597"/>
      <c r="I20" s="2597"/>
      <c r="J20" s="2597"/>
      <c r="K20" s="2597"/>
      <c r="L20" s="2024"/>
    </row>
    <row r="21" spans="2:12" ht="4.5" customHeight="1" x14ac:dyDescent="0.2">
      <c r="B21" s="2040"/>
      <c r="C21" s="2040"/>
      <c r="D21" s="2041"/>
      <c r="E21" s="2041"/>
      <c r="F21" s="2041"/>
      <c r="G21" s="2023"/>
      <c r="H21" s="2041"/>
      <c r="I21" s="2023"/>
      <c r="J21" s="2041"/>
      <c r="K21" s="2041"/>
      <c r="L21" s="2024"/>
    </row>
    <row r="22" spans="2:12" ht="13.35" customHeight="1" x14ac:dyDescent="0.2">
      <c r="B22" s="2038" t="s">
        <v>1857</v>
      </c>
      <c r="C22" s="2038"/>
      <c r="D22" s="1965"/>
      <c r="E22" s="1965"/>
      <c r="F22" s="1965"/>
      <c r="G22" s="2001"/>
      <c r="H22" s="1965"/>
      <c r="I22" s="2001"/>
      <c r="J22" s="1965"/>
      <c r="K22" s="1965"/>
      <c r="L22" s="1965"/>
    </row>
    <row r="23" spans="2:12" ht="37.5" customHeight="1" x14ac:dyDescent="0.2">
      <c r="B23" s="2597" t="s">
        <v>2216</v>
      </c>
      <c r="C23" s="2597"/>
      <c r="D23" s="2597"/>
      <c r="E23" s="2597"/>
      <c r="F23" s="2597"/>
      <c r="G23" s="2597"/>
      <c r="H23" s="2597"/>
      <c r="I23" s="2597"/>
      <c r="J23" s="2597"/>
      <c r="K23" s="2597"/>
      <c r="L23" s="1965"/>
    </row>
    <row r="24" spans="2:12" ht="4.5" customHeight="1" x14ac:dyDescent="0.2">
      <c r="B24" s="2040"/>
      <c r="C24" s="2040"/>
      <c r="D24" s="2022"/>
      <c r="E24" s="2022"/>
      <c r="F24" s="2022"/>
      <c r="G24" s="2023"/>
      <c r="H24" s="2022"/>
      <c r="I24" s="2023"/>
      <c r="J24" s="2022"/>
      <c r="K24" s="2022"/>
      <c r="L24" s="1965"/>
    </row>
    <row r="25" spans="2:12" ht="13.5" customHeight="1" x14ac:dyDescent="0.2">
      <c r="B25" s="2038" t="s">
        <v>1858</v>
      </c>
      <c r="C25" s="2038"/>
      <c r="D25" s="1965"/>
      <c r="E25" s="1965"/>
      <c r="F25" s="1965"/>
      <c r="G25" s="2001"/>
      <c r="H25" s="1965"/>
      <c r="I25" s="2001"/>
      <c r="J25" s="1965"/>
      <c r="K25" s="1965"/>
      <c r="L25" s="1965"/>
    </row>
    <row r="26" spans="2:12" ht="37.5" customHeight="1" x14ac:dyDescent="0.2">
      <c r="B26" s="2597" t="s">
        <v>2127</v>
      </c>
      <c r="C26" s="2597"/>
      <c r="D26" s="2597"/>
      <c r="E26" s="2597"/>
      <c r="F26" s="2597"/>
      <c r="G26" s="2597"/>
      <c r="H26" s="2597"/>
      <c r="I26" s="2597"/>
      <c r="J26" s="2597"/>
      <c r="K26" s="2597"/>
      <c r="L26" s="1965"/>
    </row>
    <row r="27" spans="2:12" ht="4.5" customHeight="1" x14ac:dyDescent="0.2">
      <c r="B27" s="2042"/>
      <c r="C27" s="2042"/>
      <c r="D27" s="2042"/>
      <c r="E27" s="2022"/>
      <c r="F27" s="2022"/>
      <c r="G27" s="2023"/>
      <c r="H27" s="2022"/>
      <c r="I27" s="2023"/>
      <c r="J27" s="2022"/>
      <c r="K27" s="2022"/>
      <c r="L27" s="1965"/>
    </row>
    <row r="28" spans="2:12" ht="13.5" customHeight="1" x14ac:dyDescent="0.2">
      <c r="B28" s="2038" t="s">
        <v>1859</v>
      </c>
      <c r="C28" s="2038"/>
      <c r="D28" s="1965"/>
      <c r="E28" s="1965"/>
      <c r="F28" s="1965"/>
      <c r="G28" s="2001"/>
      <c r="H28" s="1965"/>
      <c r="I28" s="2001"/>
      <c r="J28" s="1965"/>
      <c r="K28" s="1965"/>
      <c r="L28" s="1965"/>
    </row>
    <row r="29" spans="2:12" ht="37.5" customHeight="1" x14ac:dyDescent="0.2">
      <c r="B29" s="2597" t="s">
        <v>2217</v>
      </c>
      <c r="C29" s="2597"/>
      <c r="D29" s="2597"/>
      <c r="E29" s="2597"/>
      <c r="F29" s="2597"/>
      <c r="G29" s="2597"/>
      <c r="H29" s="2597"/>
      <c r="I29" s="2597"/>
      <c r="J29" s="2597"/>
      <c r="K29" s="2597"/>
      <c r="L29" s="1965"/>
    </row>
    <row r="30" spans="2:12" ht="4.5" customHeight="1" x14ac:dyDescent="0.2">
      <c r="B30" s="2040"/>
      <c r="C30" s="2040"/>
      <c r="D30" s="2022"/>
      <c r="E30" s="2022"/>
      <c r="F30" s="2022"/>
      <c r="G30" s="2023"/>
      <c r="H30" s="2022"/>
      <c r="I30" s="2023"/>
      <c r="J30" s="2022"/>
      <c r="K30" s="2022"/>
      <c r="L30" s="1965"/>
    </row>
    <row r="31" spans="2:12" ht="13.5" customHeight="1" x14ac:dyDescent="0.2">
      <c r="B31" s="2038" t="s">
        <v>1366</v>
      </c>
      <c r="C31" s="2038"/>
      <c r="D31" s="1965"/>
      <c r="E31" s="1965"/>
      <c r="F31" s="1965"/>
      <c r="G31" s="2001"/>
      <c r="H31" s="1965"/>
      <c r="I31" s="2001"/>
      <c r="J31" s="1965"/>
      <c r="K31" s="1965"/>
      <c r="L31" s="1965"/>
    </row>
    <row r="32" spans="2:12" ht="37.5" customHeight="1" x14ac:dyDescent="0.2">
      <c r="B32" s="2597" t="s">
        <v>2218</v>
      </c>
      <c r="C32" s="2597"/>
      <c r="D32" s="2597"/>
      <c r="E32" s="2597"/>
      <c r="F32" s="2597"/>
      <c r="G32" s="2597"/>
      <c r="H32" s="2597"/>
      <c r="I32" s="2597"/>
      <c r="J32" s="2597"/>
      <c r="K32" s="2597"/>
      <c r="L32" s="1965"/>
    </row>
    <row r="33" spans="2:12" ht="4.5" customHeight="1" x14ac:dyDescent="0.2">
      <c r="B33" s="2040"/>
      <c r="C33" s="2040"/>
      <c r="D33" s="2022"/>
      <c r="E33" s="2022"/>
      <c r="F33" s="2022"/>
      <c r="G33" s="2023"/>
      <c r="H33" s="2022"/>
      <c r="I33" s="2023"/>
      <c r="J33" s="2022"/>
      <c r="K33" s="2022"/>
      <c r="L33" s="1965"/>
    </row>
    <row r="34" spans="2:12" ht="13.5" customHeight="1" x14ac:dyDescent="0.2">
      <c r="B34" s="2002" t="s">
        <v>1365</v>
      </c>
      <c r="C34" s="2002"/>
      <c r="D34" s="1965"/>
      <c r="E34" s="1965"/>
      <c r="F34" s="1965"/>
      <c r="G34" s="2001"/>
      <c r="H34" s="1965"/>
      <c r="I34" s="2001"/>
      <c r="J34" s="1965"/>
      <c r="K34" s="1965"/>
      <c r="L34" s="1965"/>
    </row>
    <row r="35" spans="2:12" ht="37.5" customHeight="1" x14ac:dyDescent="0.2">
      <c r="B35" s="2597" t="s">
        <v>2219</v>
      </c>
      <c r="C35" s="2597"/>
      <c r="D35" s="2597"/>
      <c r="E35" s="2597"/>
      <c r="F35" s="2597"/>
      <c r="G35" s="2597"/>
      <c r="H35" s="2597"/>
      <c r="I35" s="2597"/>
      <c r="J35" s="2597"/>
      <c r="K35" s="2597"/>
      <c r="L35" s="1965"/>
    </row>
    <row r="36" spans="2:12" ht="4.5" customHeight="1" x14ac:dyDescent="0.2">
      <c r="B36" s="2040"/>
      <c r="C36" s="2040"/>
      <c r="D36" s="2022"/>
      <c r="E36" s="2022"/>
      <c r="F36" s="2022"/>
      <c r="G36" s="2023"/>
      <c r="H36" s="2022"/>
      <c r="I36" s="2023"/>
      <c r="J36" s="2022"/>
      <c r="K36" s="2022"/>
      <c r="L36" s="1965"/>
    </row>
    <row r="37" spans="2:12" ht="13.5" customHeight="1" x14ac:dyDescent="0.2">
      <c r="B37" s="2002" t="s">
        <v>1364</v>
      </c>
      <c r="C37" s="2002"/>
      <c r="D37" s="1965"/>
      <c r="E37" s="1965"/>
      <c r="F37" s="1965"/>
      <c r="G37" s="2001"/>
      <c r="H37" s="1965"/>
      <c r="I37" s="2001"/>
      <c r="J37" s="1965"/>
      <c r="K37" s="1965"/>
      <c r="L37" s="1965"/>
    </row>
    <row r="38" spans="2:12" ht="35.25" customHeight="1" x14ac:dyDescent="0.2">
      <c r="B38" s="2597" t="s">
        <v>2220</v>
      </c>
      <c r="C38" s="2597"/>
      <c r="D38" s="2597"/>
      <c r="E38" s="2597"/>
      <c r="F38" s="2597"/>
      <c r="G38" s="2597"/>
      <c r="H38" s="2597"/>
      <c r="I38" s="2597"/>
      <c r="J38" s="2597"/>
      <c r="K38" s="2597"/>
      <c r="L38" s="1965"/>
    </row>
    <row r="39" spans="2:12" ht="4.5" customHeight="1" x14ac:dyDescent="0.2">
      <c r="B39" s="2005"/>
      <c r="C39" s="2005"/>
      <c r="D39" s="1965"/>
      <c r="E39" s="1965"/>
      <c r="F39" s="1965"/>
      <c r="G39" s="2001"/>
      <c r="H39" s="1965"/>
      <c r="I39" s="2001"/>
      <c r="J39" s="1965"/>
      <c r="K39" s="1965"/>
      <c r="L39" s="1965"/>
    </row>
    <row r="40" spans="2:12" s="1965" customFormat="1" ht="13.5" customHeight="1" x14ac:dyDescent="0.2">
      <c r="B40" s="2006" t="s">
        <v>1860</v>
      </c>
      <c r="C40" s="2006"/>
      <c r="D40" s="1998"/>
      <c r="E40" s="1999"/>
      <c r="F40" s="1999"/>
      <c r="G40" s="2000"/>
      <c r="H40" s="1999"/>
      <c r="I40" s="2000"/>
      <c r="J40" s="1999"/>
      <c r="K40" s="1999"/>
    </row>
    <row r="41" spans="2:12" s="1965" customFormat="1" ht="33.75" customHeight="1" x14ac:dyDescent="0.2">
      <c r="B41" s="2597" t="s">
        <v>2208</v>
      </c>
      <c r="C41" s="2597"/>
      <c r="D41" s="2597"/>
      <c r="E41" s="2597"/>
      <c r="F41" s="2597"/>
      <c r="G41" s="2597"/>
      <c r="H41" s="2597"/>
      <c r="I41" s="2597"/>
      <c r="J41" s="2597"/>
      <c r="K41" s="2597"/>
    </row>
    <row r="42" spans="2:12" s="1965" customFormat="1" ht="4.5" customHeight="1" x14ac:dyDescent="0.2">
      <c r="B42" s="2005"/>
      <c r="C42" s="2005"/>
      <c r="G42" s="2001"/>
      <c r="I42" s="2001"/>
    </row>
    <row r="43" spans="2:12" s="1965" customFormat="1" ht="13.5" customHeight="1" x14ac:dyDescent="0.2">
      <c r="B43" s="2043" t="s">
        <v>1353</v>
      </c>
      <c r="C43" s="2044"/>
      <c r="D43" s="2007"/>
      <c r="E43" s="2007"/>
      <c r="F43" s="2007"/>
      <c r="G43" s="2008"/>
      <c r="H43" s="2007"/>
      <c r="I43" s="2008"/>
      <c r="J43" s="2007"/>
      <c r="K43" s="2009"/>
      <c r="L43" s="2045"/>
    </row>
    <row r="44" spans="2:12" s="1965" customFormat="1" ht="13.5" customHeight="1" x14ac:dyDescent="0.2">
      <c r="B44" s="2010" t="s">
        <v>1352</v>
      </c>
      <c r="C44" s="2011"/>
      <c r="D44" s="2046"/>
      <c r="E44" s="2012"/>
      <c r="F44" s="2016" t="s">
        <v>1351</v>
      </c>
      <c r="G44" s="2014"/>
      <c r="H44" s="2013"/>
      <c r="I44" s="2014"/>
      <c r="J44" s="2047"/>
      <c r="K44" s="2048"/>
      <c r="L44" s="2045"/>
    </row>
    <row r="45" spans="2:12" s="1965" customFormat="1" ht="13.5" customHeight="1" x14ac:dyDescent="0.2">
      <c r="B45" s="2010" t="s">
        <v>1350</v>
      </c>
      <c r="C45" s="2011"/>
      <c r="D45" s="2047"/>
      <c r="E45" s="2013"/>
      <c r="F45" s="2016" t="s">
        <v>1349</v>
      </c>
      <c r="G45" s="2014"/>
      <c r="H45" s="2013"/>
      <c r="I45" s="2014"/>
      <c r="J45" s="2047"/>
      <c r="K45" s="2048"/>
      <c r="L45" s="2045"/>
    </row>
    <row r="46" spans="2:12" s="1965" customFormat="1" ht="13.5" customHeight="1" x14ac:dyDescent="0.2">
      <c r="B46" s="2017"/>
      <c r="C46" s="2015"/>
      <c r="D46" s="2015"/>
      <c r="E46" s="2015"/>
      <c r="F46" s="2015"/>
      <c r="G46" s="2018"/>
      <c r="H46" s="2015"/>
      <c r="I46" s="2018"/>
      <c r="J46" s="2015"/>
      <c r="K46" s="2019"/>
      <c r="L46" s="2045"/>
    </row>
    <row r="47" spans="2:12" ht="7.5" customHeight="1" x14ac:dyDescent="0.25">
      <c r="B47" s="2049"/>
      <c r="C47" s="2049"/>
      <c r="D47" s="2050"/>
      <c r="E47" s="2050"/>
      <c r="F47" s="2050"/>
      <c r="G47" s="2051"/>
      <c r="H47" s="2050"/>
      <c r="I47" s="2051"/>
      <c r="J47" s="2050"/>
      <c r="K47" s="2050"/>
    </row>
    <row r="48" spans="2:12" ht="13.5" customHeight="1" x14ac:dyDescent="0.2">
      <c r="B48" s="2020" t="s">
        <v>1861</v>
      </c>
      <c r="C48" s="2020"/>
      <c r="D48" s="1965"/>
      <c r="E48" s="1965"/>
      <c r="F48" s="1965"/>
    </row>
    <row r="49" spans="2:3" s="1964" customFormat="1" ht="10.5" customHeight="1" x14ac:dyDescent="0.2">
      <c r="B49" s="2021" t="s">
        <v>1862</v>
      </c>
      <c r="C49" s="2021"/>
    </row>
    <row r="50" spans="2:3" s="1964" customFormat="1" ht="11.1" customHeight="1" x14ac:dyDescent="0.2">
      <c r="B50" s="2021" t="s">
        <v>1863</v>
      </c>
      <c r="C50" s="2021"/>
    </row>
    <row r="51" spans="2:3" s="1964" customFormat="1" ht="11.1" customHeight="1" x14ac:dyDescent="0.2">
      <c r="B51" s="2021" t="s">
        <v>1864</v>
      </c>
      <c r="C51" s="2021"/>
    </row>
    <row r="52" spans="2:3" s="1964" customFormat="1" ht="11.1" customHeight="1" x14ac:dyDescent="0.2">
      <c r="B52" s="2021" t="s">
        <v>1865</v>
      </c>
      <c r="C52" s="202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workbookViewId="0">
      <selection activeCell="A17" sqref="A17:K1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06" t="s">
        <v>404</v>
      </c>
      <c r="B1" s="2206"/>
      <c r="C1" s="2206"/>
      <c r="D1" s="2206"/>
      <c r="E1" s="2206"/>
      <c r="F1" s="2206"/>
      <c r="G1" s="2206"/>
      <c r="H1" s="2206"/>
      <c r="I1" s="2206"/>
      <c r="J1" s="2206"/>
      <c r="K1" s="2206"/>
      <c r="L1" s="2206"/>
      <c r="M1" s="22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3">
        <f>ROUND(D10+F10+H10,5)</f>
        <v>0</v>
      </c>
      <c r="K10" s="222"/>
      <c r="L10" s="355"/>
      <c r="M10" s="222"/>
    </row>
    <row r="11" spans="1:14" ht="7.5" customHeight="1" x14ac:dyDescent="0.2">
      <c r="B11" s="222"/>
      <c r="C11" s="222"/>
      <c r="D11" s="2216" t="str">
        <f>IF(SUM(J10)&lt;=0.0999999,"","Enter the Tax Rates by moving the decimal two places to the left.")</f>
        <v/>
      </c>
      <c r="E11" s="2217"/>
      <c r="F11" s="2217"/>
      <c r="G11" s="2217"/>
      <c r="H11" s="2217"/>
      <c r="I11" s="2217"/>
      <c r="J11" s="22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7079736</v>
      </c>
      <c r="E16" s="356"/>
      <c r="F16" s="1754">
        <f>SUM('Acct Summary 7-8'!C17,'Acct Summary 7-8'!D17,'Acct Summary 7-8'!F17)</f>
        <v>7006769</v>
      </c>
      <c r="G16" s="356"/>
      <c r="H16" s="1754">
        <f>SUM(D16-F16)</f>
        <v>72967</v>
      </c>
      <c r="I16" s="222"/>
      <c r="J16" s="1754">
        <f>SUM('Acct Summary 7-8'!C81,'Acct Summary 7-8'!D81,'Acct Summary 7-8'!F81,'Acct Summary 7-8'!I81)</f>
        <v>1041678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1530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07"/>
      <c r="C54" s="2208"/>
      <c r="D54" s="2208"/>
      <c r="E54" s="2208"/>
      <c r="F54" s="2208"/>
      <c r="G54" s="2208"/>
      <c r="H54" s="2208"/>
      <c r="I54" s="2208"/>
      <c r="J54" s="2208"/>
      <c r="K54" s="2208"/>
      <c r="L54" s="2209"/>
      <c r="M54" s="380"/>
    </row>
    <row r="55" spans="1:13" ht="12.75" customHeight="1" x14ac:dyDescent="0.2">
      <c r="B55" s="2210"/>
      <c r="C55" s="2211"/>
      <c r="D55" s="2211"/>
      <c r="E55" s="2211"/>
      <c r="F55" s="2211"/>
      <c r="G55" s="2211"/>
      <c r="H55" s="2211"/>
      <c r="I55" s="2211"/>
      <c r="J55" s="2211"/>
      <c r="K55" s="2211"/>
      <c r="L55" s="2212"/>
      <c r="M55" s="380"/>
    </row>
    <row r="56" spans="1:13" ht="12.75" customHeight="1" x14ac:dyDescent="0.2">
      <c r="B56" s="2210"/>
      <c r="C56" s="2211"/>
      <c r="D56" s="2211"/>
      <c r="E56" s="2211"/>
      <c r="F56" s="2211"/>
      <c r="G56" s="2211"/>
      <c r="H56" s="2211"/>
      <c r="I56" s="2211"/>
      <c r="J56" s="2211"/>
      <c r="K56" s="2211"/>
      <c r="L56" s="2212"/>
      <c r="M56" s="222"/>
    </row>
    <row r="57" spans="1:13" ht="12.75" customHeight="1" x14ac:dyDescent="0.2">
      <c r="B57" s="2210"/>
      <c r="C57" s="2211"/>
      <c r="D57" s="2211"/>
      <c r="E57" s="2211"/>
      <c r="F57" s="2211"/>
      <c r="G57" s="2211"/>
      <c r="H57" s="2211"/>
      <c r="I57" s="2211"/>
      <c r="J57" s="2211"/>
      <c r="K57" s="2211"/>
      <c r="L57" s="2212"/>
      <c r="M57" s="222"/>
    </row>
    <row r="58" spans="1:13" x14ac:dyDescent="0.2">
      <c r="B58" s="2213"/>
      <c r="C58" s="2214"/>
      <c r="D58" s="2214"/>
      <c r="E58" s="2214"/>
      <c r="F58" s="2214"/>
      <c r="G58" s="2214"/>
      <c r="H58" s="2214"/>
      <c r="I58" s="2214"/>
      <c r="J58" s="2214"/>
      <c r="K58" s="2214"/>
      <c r="L58" s="22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18"/>
      <c r="D61" s="22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25" workbookViewId="0">
      <selection activeCell="A17" sqref="A17:K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82" t="str">
        <f>'Single Audit Cover'!A7</f>
        <v>Ogle County Educational Cooperative</v>
      </c>
      <c r="C1" s="2582"/>
      <c r="D1" s="2582"/>
      <c r="E1" s="1490"/>
    </row>
    <row r="2" spans="2:5" s="1282" customFormat="1" ht="12.75" customHeight="1" x14ac:dyDescent="0.2">
      <c r="B2" s="2584">
        <f>'Single Audit Cover'!E7</f>
        <v>47071801060</v>
      </c>
      <c r="C2" s="2584"/>
      <c r="D2" s="2584"/>
      <c r="E2" s="1491"/>
    </row>
    <row r="3" spans="2:5" ht="12.75" customHeight="1" x14ac:dyDescent="0.2">
      <c r="B3" s="2598" t="s">
        <v>1866</v>
      </c>
      <c r="C3" s="2598"/>
      <c r="D3" s="2598"/>
      <c r="E3" s="1274"/>
    </row>
    <row r="4" spans="2:5" s="1282" customFormat="1" ht="12.75" customHeight="1" x14ac:dyDescent="0.2">
      <c r="B4" s="2608" t="str">
        <f>'Single Audit Cover'!A4</f>
        <v>Year Ending June 30, 2018</v>
      </c>
      <c r="C4" s="2608"/>
      <c r="D4" s="2608"/>
      <c r="E4" s="1492"/>
    </row>
    <row r="5" spans="2:5" s="1282" customFormat="1" ht="40.15" customHeight="1" x14ac:dyDescent="0.2">
      <c r="B5" s="1493" t="s">
        <v>1867</v>
      </c>
      <c r="C5" s="328"/>
      <c r="D5" s="328"/>
      <c r="E5" s="328"/>
    </row>
    <row r="6" spans="2:5" s="1282" customFormat="1" ht="13.5" customHeight="1" x14ac:dyDescent="0.2">
      <c r="B6" s="1494" t="s">
        <v>1382</v>
      </c>
      <c r="C6" s="1494" t="s">
        <v>1381</v>
      </c>
      <c r="D6" s="1494" t="s">
        <v>1868</v>
      </c>
    </row>
    <row r="7" spans="2:5" ht="13.5" customHeight="1" x14ac:dyDescent="0.2">
      <c r="B7" s="1495"/>
      <c r="C7" s="324"/>
      <c r="D7" s="324"/>
      <c r="E7" s="324"/>
    </row>
    <row r="8" spans="2:5" ht="13.5" customHeight="1" x14ac:dyDescent="0.2">
      <c r="B8" s="1495" t="s">
        <v>2103</v>
      </c>
      <c r="C8" s="324" t="s">
        <v>2104</v>
      </c>
      <c r="D8" s="324" t="s">
        <v>2107</v>
      </c>
      <c r="E8" s="324"/>
    </row>
    <row r="9" spans="2:5" ht="13.5" customHeight="1" x14ac:dyDescent="0.2">
      <c r="B9" s="1496"/>
      <c r="C9" s="323" t="s">
        <v>2105</v>
      </c>
      <c r="D9" s="323" t="s">
        <v>2108</v>
      </c>
      <c r="E9" s="323"/>
    </row>
    <row r="10" spans="2:5" ht="13.5" customHeight="1" x14ac:dyDescent="0.2">
      <c r="B10" s="1495"/>
      <c r="C10" s="323" t="s">
        <v>2106</v>
      </c>
      <c r="D10" s="323" t="s">
        <v>2109</v>
      </c>
      <c r="E10" s="323"/>
    </row>
    <row r="11" spans="2:5" ht="13.5" customHeight="1" x14ac:dyDescent="0.2">
      <c r="B11" s="1495"/>
      <c r="C11" s="323"/>
      <c r="D11" s="323" t="s">
        <v>2110</v>
      </c>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1869</v>
      </c>
    </row>
    <row r="46" spans="2:5" ht="12.2" customHeight="1" x14ac:dyDescent="0.2">
      <c r="B46" s="1504" t="s">
        <v>1870</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workbookViewId="0">
      <selection activeCell="A17" sqref="A17:K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21"/>
      <c r="B1" s="2222"/>
      <c r="C1" s="2222"/>
      <c r="D1" s="384"/>
      <c r="E1" s="384"/>
      <c r="F1" s="384"/>
      <c r="G1" s="384"/>
      <c r="H1" s="384"/>
      <c r="I1" s="384"/>
      <c r="J1" s="384"/>
      <c r="K1" s="384"/>
      <c r="L1" s="384"/>
      <c r="M1" s="384"/>
      <c r="N1" s="384"/>
      <c r="O1" s="2221"/>
      <c r="P1" s="2222"/>
      <c r="Q1" s="2222"/>
    </row>
    <row r="2" spans="1:18" ht="15" x14ac:dyDescent="0.2">
      <c r="A2" s="2225" t="s">
        <v>577</v>
      </c>
      <c r="B2" s="2225"/>
      <c r="C2" s="2225"/>
      <c r="D2" s="2225"/>
      <c r="E2" s="2225"/>
      <c r="F2" s="2225"/>
      <c r="G2" s="2225"/>
      <c r="H2" s="2225"/>
      <c r="I2" s="2225"/>
      <c r="J2" s="2225"/>
      <c r="K2" s="2225"/>
      <c r="L2" s="2225"/>
      <c r="M2" s="2225"/>
      <c r="N2" s="2225"/>
      <c r="O2" s="2225"/>
      <c r="P2" s="2225"/>
      <c r="Q2" s="2225"/>
      <c r="R2" s="2225"/>
    </row>
    <row r="3" spans="1:18" ht="12.75" x14ac:dyDescent="0.2">
      <c r="A3" s="2226" t="s">
        <v>1480</v>
      </c>
      <c r="B3" s="2226"/>
      <c r="C3" s="2226"/>
      <c r="D3" s="2226"/>
      <c r="E3" s="2226"/>
      <c r="F3" s="2226"/>
      <c r="G3" s="2226"/>
      <c r="H3" s="2226"/>
      <c r="I3" s="2226"/>
      <c r="J3" s="2226"/>
      <c r="K3" s="2226"/>
      <c r="L3" s="2226"/>
      <c r="M3" s="2226"/>
      <c r="N3" s="2226"/>
      <c r="O3" s="2226"/>
      <c r="P3" s="2226"/>
      <c r="Q3" s="2226"/>
      <c r="R3" s="2226"/>
    </row>
    <row r="4" spans="1:18" x14ac:dyDescent="0.2">
      <c r="A4" s="2227" t="s">
        <v>1635</v>
      </c>
      <c r="B4" s="2227"/>
      <c r="C4" s="2227"/>
      <c r="D4" s="2227"/>
      <c r="E4" s="2227"/>
      <c r="F4" s="2227"/>
      <c r="G4" s="2227"/>
      <c r="H4" s="2227"/>
      <c r="I4" s="2227"/>
      <c r="J4" s="2227"/>
      <c r="K4" s="2227"/>
      <c r="L4" s="2227"/>
      <c r="M4" s="2227"/>
      <c r="N4" s="2227"/>
      <c r="O4" s="2227"/>
      <c r="P4" s="2227"/>
      <c r="Q4" s="2227"/>
      <c r="R4" s="22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Ogle County Educational Cooperative</v>
      </c>
      <c r="E7" s="391"/>
      <c r="G7" s="252"/>
      <c r="H7" s="387"/>
      <c r="I7" s="387"/>
      <c r="J7" s="387"/>
      <c r="K7" s="387"/>
      <c r="L7" s="329"/>
      <c r="M7" s="329"/>
      <c r="N7" s="329"/>
      <c r="O7" s="329"/>
      <c r="P7" s="329"/>
    </row>
    <row r="8" spans="1:18" ht="12.75" x14ac:dyDescent="0.2">
      <c r="A8" s="329"/>
      <c r="B8" s="329"/>
      <c r="C8" s="389" t="s">
        <v>1187</v>
      </c>
      <c r="D8" s="392">
        <f>COVER!A13</f>
        <v>47071801060</v>
      </c>
      <c r="E8" s="393"/>
      <c r="G8" s="329"/>
      <c r="H8" s="329"/>
      <c r="I8" s="329"/>
      <c r="J8" s="329"/>
      <c r="K8" s="329"/>
      <c r="L8" s="329"/>
      <c r="M8" s="329"/>
      <c r="N8" s="329"/>
      <c r="O8" s="329"/>
      <c r="P8" s="329"/>
    </row>
    <row r="9" spans="1:18" ht="12.75" x14ac:dyDescent="0.2">
      <c r="A9" s="329"/>
      <c r="B9" s="329"/>
      <c r="C9" s="389" t="s">
        <v>737</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1041678</v>
      </c>
      <c r="I12" s="404"/>
      <c r="J12" s="404"/>
      <c r="K12" s="405">
        <f>TRUNC((H12/H13*100000),5)/100000</f>
        <v>0.1471351474</v>
      </c>
      <c r="L12" s="406"/>
      <c r="M12" s="360" t="s">
        <v>1206</v>
      </c>
      <c r="N12" s="360"/>
      <c r="O12" s="407">
        <v>0.35</v>
      </c>
      <c r="P12" s="218"/>
      <c r="Q12" s="218"/>
    </row>
    <row r="13" spans="1:18" s="408" customFormat="1" ht="12.75" x14ac:dyDescent="0.2">
      <c r="A13" s="218"/>
      <c r="B13" s="401"/>
      <c r="C13" s="2223" t="s">
        <v>1391</v>
      </c>
      <c r="D13" s="2224"/>
      <c r="E13" s="218"/>
      <c r="F13" s="409" t="s">
        <v>826</v>
      </c>
      <c r="G13" s="402"/>
      <c r="H13" s="403">
        <f>SUM('Acct Summary 7-8'!C8+'Acct Summary 7-8'!D8+'Acct Summary 7-8'!F8+'Acct Summary 7-8'!I8)+H14</f>
        <v>7079736</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7006769</v>
      </c>
      <c r="I17" s="404"/>
      <c r="J17" s="416"/>
      <c r="K17" s="405">
        <f>TRUNC((H17/H18*100000),5)/100000</f>
        <v>0.98969354219999994</v>
      </c>
      <c r="L17" s="406"/>
      <c r="M17" s="417" t="s">
        <v>1233</v>
      </c>
      <c r="O17" s="418" t="str">
        <f>IF(AND(O16="2", J20 &gt; 2),"1",IF(AND(O16 = "1", J20 &gt; 2),"2",IF(AND(O16="1", J20 &gt;1),"1","0")))</f>
        <v>0</v>
      </c>
      <c r="P17" s="218"/>
    </row>
    <row r="18" spans="1:18" s="408" customFormat="1" ht="11.25" x14ac:dyDescent="0.2">
      <c r="A18" s="218"/>
      <c r="B18" s="401"/>
      <c r="C18" s="2223" t="s">
        <v>1384</v>
      </c>
      <c r="D18" s="2224"/>
      <c r="E18" s="218"/>
      <c r="F18" s="419" t="s">
        <v>827</v>
      </c>
      <c r="G18" s="402"/>
      <c r="H18" s="403">
        <f>SUM('Acct Summary 7-8'!C8+'Acct Summary 7-8'!D8+'Acct Summary 7-8'!F8+'Acct Summary 7-8'!I8)+H19</f>
        <v>7079736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220" t="s">
        <v>1479</v>
      </c>
      <c r="D24" s="2220"/>
      <c r="E24" s="218"/>
      <c r="F24" s="218" t="s">
        <v>465</v>
      </c>
      <c r="G24" s="402"/>
      <c r="H24" s="403">
        <f>SUM('Assets-Liab 5-6'!C4+'Assets-Liab 5-6'!D4+'Assets-Liab 5-6'!F4+'Assets-Liab 5-6'!I4+'Assets-Liab 5-6'!C5+'Assets-Liab 5-6'!D5+'Assets-Liab 5-6'!F5+'Assets-Liab 5-6'!I5)</f>
        <v>886962</v>
      </c>
      <c r="I24" s="422"/>
      <c r="J24" s="422"/>
      <c r="K24" s="423">
        <f>TRUNC(((H24/H25*100000)/100000),2)</f>
        <v>45.57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19463.247220000001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1530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workbookViewId="0">
      <selection activeCell="A17" sqref="A17:K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2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30" t="s">
        <v>1030</v>
      </c>
      <c r="B3" s="2231"/>
      <c r="C3" s="1580"/>
      <c r="D3" s="1581"/>
      <c r="E3" s="1581"/>
      <c r="F3" s="1581"/>
      <c r="G3" s="1581"/>
      <c r="H3" s="1581"/>
      <c r="I3" s="1581"/>
      <c r="J3" s="1581"/>
      <c r="K3" s="1581"/>
      <c r="L3" s="1581"/>
      <c r="M3" s="1582"/>
      <c r="N3" s="1583"/>
    </row>
    <row r="4" spans="1:14" ht="13.5" customHeight="1" x14ac:dyDescent="0.2">
      <c r="A4" s="463" t="s">
        <v>1750</v>
      </c>
      <c r="B4" s="464"/>
      <c r="C4" s="465">
        <v>628802</v>
      </c>
      <c r="D4" s="466">
        <v>233792</v>
      </c>
      <c r="E4" s="466"/>
      <c r="F4" s="466">
        <v>24368</v>
      </c>
      <c r="G4" s="466"/>
      <c r="H4" s="466"/>
      <c r="I4" s="466"/>
      <c r="J4" s="467"/>
      <c r="K4" s="466"/>
      <c r="L4" s="466">
        <v>14625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510098</v>
      </c>
      <c r="D8" s="467">
        <v>140726</v>
      </c>
      <c r="E8" s="467"/>
      <c r="F8" s="467">
        <v>1383</v>
      </c>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1138900</v>
      </c>
      <c r="D13" s="1758">
        <f t="shared" ref="D13:L13" si="0">SUM(D4:D12)</f>
        <v>374518</v>
      </c>
      <c r="E13" s="1758">
        <f t="shared" si="0"/>
        <v>0</v>
      </c>
      <c r="F13" s="1758">
        <f t="shared" si="0"/>
        <v>25751</v>
      </c>
      <c r="G13" s="1758">
        <f t="shared" si="0"/>
        <v>0</v>
      </c>
      <c r="H13" s="1758">
        <f t="shared" si="0"/>
        <v>0</v>
      </c>
      <c r="I13" s="1758">
        <f t="shared" si="0"/>
        <v>0</v>
      </c>
      <c r="J13" s="1758">
        <f t="shared" si="0"/>
        <v>0</v>
      </c>
      <c r="K13" s="1758">
        <f t="shared" si="0"/>
        <v>0</v>
      </c>
      <c r="L13" s="1758">
        <f t="shared" si="0"/>
        <v>14625</v>
      </c>
      <c r="M13" s="468"/>
      <c r="N13" s="469"/>
    </row>
    <row r="14" spans="1:14" ht="18" customHeight="1" thickTop="1" x14ac:dyDescent="0.2">
      <c r="A14" s="2232" t="s">
        <v>149</v>
      </c>
      <c r="B14" s="2233"/>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61015</v>
      </c>
      <c r="N16" s="484"/>
    </row>
    <row r="17" spans="1:14" s="485" customFormat="1" ht="12.75" customHeight="1" x14ac:dyDescent="0.2">
      <c r="A17" s="482" t="s">
        <v>1470</v>
      </c>
      <c r="B17" s="483">
        <v>230</v>
      </c>
      <c r="C17" s="477"/>
      <c r="D17" s="477"/>
      <c r="E17" s="477"/>
      <c r="F17" s="477"/>
      <c r="G17" s="477"/>
      <c r="H17" s="477"/>
      <c r="I17" s="477"/>
      <c r="J17" s="477"/>
      <c r="K17" s="477"/>
      <c r="L17" s="477"/>
      <c r="M17" s="467">
        <v>1937591</v>
      </c>
      <c r="N17" s="484"/>
    </row>
    <row r="18" spans="1:14" s="485" customFormat="1" ht="12.75" customHeight="1" x14ac:dyDescent="0.2">
      <c r="A18" s="482" t="s">
        <v>1471</v>
      </c>
      <c r="B18" s="483">
        <v>240</v>
      </c>
      <c r="C18" s="477"/>
      <c r="D18" s="477"/>
      <c r="E18" s="477"/>
      <c r="F18" s="477"/>
      <c r="G18" s="477"/>
      <c r="H18" s="477"/>
      <c r="I18" s="477"/>
      <c r="J18" s="477"/>
      <c r="K18" s="477"/>
      <c r="L18" s="477"/>
      <c r="M18" s="467">
        <v>245020</v>
      </c>
      <c r="N18" s="484"/>
    </row>
    <row r="19" spans="1:14" s="485" customFormat="1" ht="12.75" customHeight="1" x14ac:dyDescent="0.2">
      <c r="A19" s="482" t="s">
        <v>1472</v>
      </c>
      <c r="B19" s="483">
        <v>250</v>
      </c>
      <c r="C19" s="477"/>
      <c r="D19" s="477"/>
      <c r="E19" s="477"/>
      <c r="F19" s="477"/>
      <c r="G19" s="477"/>
      <c r="H19" s="477"/>
      <c r="I19" s="477"/>
      <c r="J19" s="477"/>
      <c r="K19" s="477"/>
      <c r="L19" s="477"/>
      <c r="M19" s="467">
        <f>322282+20696</f>
        <v>342978</v>
      </c>
      <c r="N19" s="484"/>
    </row>
    <row r="20" spans="1:14" s="485" customFormat="1" ht="12.75" customHeight="1" x14ac:dyDescent="0.2">
      <c r="A20" s="482" t="s">
        <v>1473</v>
      </c>
      <c r="B20" s="483">
        <v>260</v>
      </c>
      <c r="C20" s="477"/>
      <c r="D20" s="477"/>
      <c r="E20" s="477"/>
      <c r="F20" s="477"/>
      <c r="G20" s="477"/>
      <c r="H20" s="477"/>
      <c r="I20" s="477"/>
      <c r="J20" s="477"/>
      <c r="K20" s="477"/>
      <c r="L20" s="477"/>
      <c r="M20" s="467">
        <v>134002</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1530</v>
      </c>
    </row>
    <row r="23" spans="1:14" ht="13.5" customHeight="1" thickBot="1" x14ac:dyDescent="0.25">
      <c r="A23" s="1757" t="s">
        <v>664</v>
      </c>
      <c r="B23" s="1762"/>
      <c r="C23" s="468"/>
      <c r="D23" s="468"/>
      <c r="E23" s="468"/>
      <c r="F23" s="468"/>
      <c r="G23" s="468"/>
      <c r="H23" s="468"/>
      <c r="I23" s="468"/>
      <c r="J23" s="468"/>
      <c r="K23" s="468"/>
      <c r="L23" s="468"/>
      <c r="M23" s="1709">
        <f>SUM(M15:M22)</f>
        <v>2720606</v>
      </c>
      <c r="N23" s="1709">
        <f>SUM(N21:N22)</f>
        <v>1530</v>
      </c>
    </row>
    <row r="24" spans="1:14" ht="18" customHeight="1" thickTop="1" x14ac:dyDescent="0.2">
      <c r="A24" s="2234" t="s">
        <v>619</v>
      </c>
      <c r="B24" s="2235"/>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13093</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404874</v>
      </c>
      <c r="D30" s="474"/>
      <c r="E30" s="467"/>
      <c r="F30" s="467"/>
      <c r="G30" s="467"/>
      <c r="H30" s="467"/>
      <c r="I30" s="467"/>
      <c r="J30" s="467"/>
      <c r="K30" s="478"/>
      <c r="L30" s="468"/>
      <c r="M30" s="468"/>
      <c r="N30" s="468"/>
    </row>
    <row r="31" spans="1:14" ht="13.5" customHeight="1" x14ac:dyDescent="0.2">
      <c r="A31" s="473" t="s">
        <v>672</v>
      </c>
      <c r="B31" s="470">
        <v>480</v>
      </c>
      <c r="C31" s="466">
        <v>686</v>
      </c>
      <c r="D31" s="467"/>
      <c r="E31" s="467"/>
      <c r="F31" s="466"/>
      <c r="G31" s="467"/>
      <c r="H31" s="467"/>
      <c r="I31" s="467"/>
      <c r="J31" s="467"/>
      <c r="K31" s="467"/>
      <c r="L31" s="468"/>
      <c r="M31" s="468"/>
      <c r="N31" s="468"/>
    </row>
    <row r="32" spans="1:14" ht="13.5" customHeight="1" x14ac:dyDescent="0.2">
      <c r="A32" s="490" t="s">
        <v>673</v>
      </c>
      <c r="B32" s="491">
        <v>490</v>
      </c>
      <c r="C32" s="492">
        <v>78838</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14625</v>
      </c>
      <c r="M33" s="468"/>
      <c r="N33" s="469"/>
    </row>
    <row r="34" spans="1:14" ht="13.5" customHeight="1" thickBot="1" x14ac:dyDescent="0.25">
      <c r="A34" s="1759" t="s">
        <v>675</v>
      </c>
      <c r="B34" s="1760"/>
      <c r="C34" s="1761">
        <f>SUM(C25:C33)</f>
        <v>497491</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14625</v>
      </c>
      <c r="M34" s="468"/>
      <c r="N34" s="480"/>
    </row>
    <row r="35" spans="1:14" ht="18" customHeight="1" thickTop="1" x14ac:dyDescent="0.2">
      <c r="A35" s="2236" t="s">
        <v>550</v>
      </c>
      <c r="B35" s="2237"/>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1530</v>
      </c>
    </row>
    <row r="37" spans="1:14" ht="13.5" thickBot="1" x14ac:dyDescent="0.25">
      <c r="A37" s="1757" t="s">
        <v>674</v>
      </c>
      <c r="B37" s="1762"/>
      <c r="C37" s="477"/>
      <c r="D37" s="477"/>
      <c r="E37" s="477"/>
      <c r="F37" s="477"/>
      <c r="G37" s="477"/>
      <c r="H37" s="477"/>
      <c r="I37" s="477"/>
      <c r="J37" s="477"/>
      <c r="K37" s="477"/>
      <c r="L37" s="480"/>
      <c r="M37" s="468"/>
      <c r="N37" s="1709">
        <f>SUM(N36:N36)</f>
        <v>1530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641409</v>
      </c>
      <c r="D39" s="466">
        <v>374518</v>
      </c>
      <c r="E39" s="466"/>
      <c r="F39" s="466">
        <v>25751</v>
      </c>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2720606</v>
      </c>
      <c r="N40" s="497"/>
    </row>
    <row r="41" spans="1:14" ht="13.5" customHeight="1" thickBot="1" x14ac:dyDescent="0.25">
      <c r="A41" s="1757" t="s">
        <v>676</v>
      </c>
      <c r="B41" s="1727"/>
      <c r="C41" s="1709">
        <f>(SUM(C34,C37,C38,C39))</f>
        <v>1138900</v>
      </c>
      <c r="D41" s="1709">
        <f t="shared" ref="D41:L41" si="2">SUM(D34,D37,D38:D39)</f>
        <v>374518</v>
      </c>
      <c r="E41" s="1709">
        <f t="shared" si="2"/>
        <v>0</v>
      </c>
      <c r="F41" s="1709">
        <f t="shared" si="2"/>
        <v>25751</v>
      </c>
      <c r="G41" s="1709">
        <f t="shared" si="2"/>
        <v>0</v>
      </c>
      <c r="H41" s="1709">
        <f t="shared" si="2"/>
        <v>0</v>
      </c>
      <c r="I41" s="1709">
        <f t="shared" si="2"/>
        <v>0</v>
      </c>
      <c r="J41" s="1709">
        <f t="shared" si="2"/>
        <v>0</v>
      </c>
      <c r="K41" s="1709">
        <f t="shared" si="2"/>
        <v>0</v>
      </c>
      <c r="L41" s="1709">
        <f t="shared" si="2"/>
        <v>14625</v>
      </c>
      <c r="M41" s="1709">
        <f>SUM(M40)</f>
        <v>2720606</v>
      </c>
      <c r="N41" s="1709">
        <f>SUM(N37)</f>
        <v>1530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workbookViewId="0">
      <selection activeCell="A17" sqref="A17: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2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58" t="s">
        <v>1237</v>
      </c>
      <c r="B3" s="2259"/>
      <c r="C3" s="1594"/>
      <c r="D3" s="1595"/>
      <c r="E3" s="1595"/>
      <c r="F3" s="1595"/>
      <c r="G3" s="1595"/>
      <c r="H3" s="1595"/>
      <c r="I3" s="1595"/>
      <c r="J3" s="1595"/>
      <c r="K3" s="1596"/>
      <c r="L3" s="506"/>
    </row>
    <row r="4" spans="1:13" ht="15.75" customHeight="1" x14ac:dyDescent="0.2">
      <c r="A4" s="1952" t="s">
        <v>1579</v>
      </c>
      <c r="B4" s="1953">
        <v>1000</v>
      </c>
      <c r="C4" s="1763">
        <f>'Revenues 9-14'!C109</f>
        <v>3484498</v>
      </c>
      <c r="D4" s="1763">
        <f>'Revenues 9-14'!D109</f>
        <v>4549</v>
      </c>
      <c r="E4" s="1763">
        <f>'Revenues 9-14'!E109</f>
        <v>0</v>
      </c>
      <c r="F4" s="1763">
        <f>'Revenues 9-14'!F109</f>
        <v>12067</v>
      </c>
      <c r="G4" s="1763">
        <f>'Revenues 9-14'!G109</f>
        <v>0</v>
      </c>
      <c r="H4" s="1763">
        <f>'Revenues 9-14'!H109</f>
        <v>0</v>
      </c>
      <c r="I4" s="1763">
        <f>'Revenues 9-14'!I109</f>
        <v>0</v>
      </c>
      <c r="J4" s="1763">
        <f>'Revenues 9-14'!J109</f>
        <v>0</v>
      </c>
      <c r="K4" s="1763">
        <f>'Revenues 9-14'!K109</f>
        <v>0</v>
      </c>
      <c r="L4" s="347"/>
    </row>
    <row r="5" spans="1:13" ht="15.75" customHeight="1" x14ac:dyDescent="0.2">
      <c r="A5" s="1597" t="s">
        <v>1580</v>
      </c>
      <c r="B5" s="1598">
        <v>2000</v>
      </c>
      <c r="C5" s="1764">
        <f>'Revenues 9-14'!C114</f>
        <v>507039</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898955</v>
      </c>
      <c r="D6" s="1764">
        <f>'Revenues 9-14'!D173</f>
        <v>0</v>
      </c>
      <c r="E6" s="1764">
        <f>'Revenues 9-14'!E173</f>
        <v>0</v>
      </c>
      <c r="F6" s="1764">
        <f>'Revenues 9-14'!F173</f>
        <v>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1905997</v>
      </c>
      <c r="D7" s="1764">
        <f>'Revenues 9-14'!D274</f>
        <v>266631</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6796489</v>
      </c>
      <c r="D8" s="1709">
        <f t="shared" ref="D8:K8" si="0">SUM(D4:D7)</f>
        <v>271180</v>
      </c>
      <c r="E8" s="1709">
        <f t="shared" si="0"/>
        <v>0</v>
      </c>
      <c r="F8" s="1709">
        <f t="shared" si="0"/>
        <v>12067</v>
      </c>
      <c r="G8" s="1709">
        <f t="shared" si="0"/>
        <v>0</v>
      </c>
      <c r="H8" s="1709">
        <f t="shared" si="0"/>
        <v>0</v>
      </c>
      <c r="I8" s="1709">
        <f t="shared" si="0"/>
        <v>0</v>
      </c>
      <c r="J8" s="1709">
        <f t="shared" si="0"/>
        <v>0</v>
      </c>
      <c r="K8" s="1709">
        <f t="shared" si="0"/>
        <v>0</v>
      </c>
      <c r="L8" s="347"/>
    </row>
    <row r="9" spans="1:13" ht="15.75" thickTop="1" x14ac:dyDescent="0.2">
      <c r="A9" s="514" t="s">
        <v>1752</v>
      </c>
      <c r="B9" s="515">
        <v>3998</v>
      </c>
      <c r="C9" s="481">
        <v>337444</v>
      </c>
      <c r="D9" s="516"/>
      <c r="E9" s="481"/>
      <c r="F9" s="481"/>
      <c r="G9" s="517"/>
      <c r="H9" s="481"/>
      <c r="I9" s="509" t="s">
        <v>1231</v>
      </c>
      <c r="J9" s="478"/>
      <c r="K9" s="481"/>
      <c r="L9" s="347"/>
    </row>
    <row r="10" spans="1:13" s="519" customFormat="1" ht="13.5" thickBot="1" x14ac:dyDescent="0.25">
      <c r="A10" s="1757" t="s">
        <v>1235</v>
      </c>
      <c r="B10" s="1730"/>
      <c r="C10" s="1709">
        <f>SUM(C8:C9)</f>
        <v>7133933</v>
      </c>
      <c r="D10" s="1709">
        <f t="shared" ref="D10:K10" si="1">SUM(D8:D9)</f>
        <v>271180</v>
      </c>
      <c r="E10" s="1709">
        <f t="shared" si="1"/>
        <v>0</v>
      </c>
      <c r="F10" s="1709">
        <f t="shared" si="1"/>
        <v>12067</v>
      </c>
      <c r="G10" s="1709">
        <f t="shared" si="1"/>
        <v>0</v>
      </c>
      <c r="H10" s="1709">
        <f t="shared" si="1"/>
        <v>0</v>
      </c>
      <c r="I10" s="1709">
        <f t="shared" si="1"/>
        <v>0</v>
      </c>
      <c r="J10" s="1709">
        <f t="shared" si="1"/>
        <v>0</v>
      </c>
      <c r="K10" s="1709">
        <f t="shared" si="1"/>
        <v>0</v>
      </c>
      <c r="L10" s="518"/>
    </row>
    <row r="11" spans="1:13" s="519" customFormat="1" ht="16.7" customHeight="1" thickTop="1" x14ac:dyDescent="0.2">
      <c r="A11" s="2232" t="s">
        <v>1238</v>
      </c>
      <c r="B11" s="2233"/>
      <c r="C11" s="1591"/>
      <c r="D11" s="1592"/>
      <c r="E11" s="1592"/>
      <c r="F11" s="1592"/>
      <c r="G11" s="1592"/>
      <c r="H11" s="1592"/>
      <c r="I11" s="1592"/>
      <c r="J11" s="1592"/>
      <c r="K11" s="1593"/>
      <c r="L11" s="518"/>
    </row>
    <row r="12" spans="1:13" ht="15.75" customHeight="1" x14ac:dyDescent="0.2">
      <c r="A12" s="1597" t="s">
        <v>476</v>
      </c>
      <c r="B12" s="1599">
        <v>1000</v>
      </c>
      <c r="C12" s="1763">
        <f>'Expenditures 15-22'!K33</f>
        <v>2479622</v>
      </c>
      <c r="D12" s="520" t="s">
        <v>1231</v>
      </c>
      <c r="E12" s="468" t="s">
        <v>1231</v>
      </c>
      <c r="F12" s="468" t="s">
        <v>1231</v>
      </c>
      <c r="G12" s="1763">
        <f>'Expenditures 15-22'!K229</f>
        <v>0</v>
      </c>
      <c r="H12" s="521"/>
      <c r="I12" s="468" t="s">
        <v>1231</v>
      </c>
      <c r="J12" s="468" t="s">
        <v>1231</v>
      </c>
      <c r="K12" s="521" t="s">
        <v>1231</v>
      </c>
      <c r="L12" s="347"/>
    </row>
    <row r="13" spans="1:13" ht="15.75" customHeight="1" x14ac:dyDescent="0.2">
      <c r="A13" s="1597" t="s">
        <v>477</v>
      </c>
      <c r="B13" s="1599">
        <v>2000</v>
      </c>
      <c r="C13" s="1764">
        <f>'Expenditures 15-22'!K74</f>
        <v>3587885</v>
      </c>
      <c r="D13" s="1764">
        <f>'Expenditures 15-22'!K129</f>
        <v>269536</v>
      </c>
      <c r="E13" s="469" t="s">
        <v>1231</v>
      </c>
      <c r="F13" s="1764">
        <f>'Expenditures 15-22'!K184</f>
        <v>12309</v>
      </c>
      <c r="G13" s="1764">
        <f>'Expenditures 15-22'!K279</f>
        <v>0</v>
      </c>
      <c r="H13" s="1764">
        <f>'Expenditures 15-22'!K303</f>
        <v>0</v>
      </c>
      <c r="I13" s="468" t="s">
        <v>1231</v>
      </c>
      <c r="J13" s="1764">
        <f>'Expenditures 15-22'!K330</f>
        <v>0</v>
      </c>
      <c r="K13" s="1768">
        <f>'Expenditures 15-22'!K352</f>
        <v>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657417</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6724924</v>
      </c>
      <c r="D17" s="1709">
        <f t="shared" si="2"/>
        <v>269536</v>
      </c>
      <c r="E17" s="1709">
        <f t="shared" si="2"/>
        <v>0</v>
      </c>
      <c r="F17" s="1709">
        <f t="shared" si="2"/>
        <v>12309</v>
      </c>
      <c r="G17" s="1709">
        <f t="shared" si="2"/>
        <v>0</v>
      </c>
      <c r="H17" s="1709">
        <f t="shared" si="2"/>
        <v>0</v>
      </c>
      <c r="I17" s="468"/>
      <c r="J17" s="1709">
        <f>SUM(J12:J16)</f>
        <v>0</v>
      </c>
      <c r="K17" s="1709">
        <f>SUM(K12:K16)</f>
        <v>0</v>
      </c>
      <c r="L17" s="347"/>
    </row>
    <row r="18" spans="1:12" ht="15" customHeight="1" thickTop="1" x14ac:dyDescent="0.2">
      <c r="A18" s="1765" t="s">
        <v>1753</v>
      </c>
      <c r="B18" s="1766">
        <v>4180</v>
      </c>
      <c r="C18" s="1763">
        <f t="shared" ref="C18:H18" si="3">C9</f>
        <v>337444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7062368</v>
      </c>
      <c r="D19" s="1709">
        <f t="shared" si="4"/>
        <v>269536</v>
      </c>
      <c r="E19" s="1709">
        <f t="shared" si="4"/>
        <v>0</v>
      </c>
      <c r="F19" s="1709">
        <f t="shared" si="4"/>
        <v>12309</v>
      </c>
      <c r="G19" s="1709">
        <f t="shared" si="4"/>
        <v>0</v>
      </c>
      <c r="H19" s="1709">
        <f t="shared" si="4"/>
        <v>0</v>
      </c>
      <c r="I19" s="468"/>
      <c r="J19" s="1709">
        <f>SUM(J17:J18)</f>
        <v>0</v>
      </c>
      <c r="K19" s="1709">
        <f>SUM(K17:K18)</f>
        <v>0</v>
      </c>
      <c r="L19" s="347"/>
    </row>
    <row r="20" spans="1:12" ht="16.5" thickTop="1" thickBot="1" x14ac:dyDescent="0.25">
      <c r="A20" s="2248" t="s">
        <v>1754</v>
      </c>
      <c r="B20" s="2249"/>
      <c r="C20" s="1767">
        <f>C8-C17</f>
        <v>71565</v>
      </c>
      <c r="D20" s="1767">
        <f t="shared" ref="D20:K20" si="5">D8-D17</f>
        <v>1644</v>
      </c>
      <c r="E20" s="1767">
        <f t="shared" si="5"/>
        <v>0</v>
      </c>
      <c r="F20" s="1767">
        <f t="shared" si="5"/>
        <v>-242</v>
      </c>
      <c r="G20" s="1767">
        <f t="shared" si="5"/>
        <v>0</v>
      </c>
      <c r="H20" s="1767">
        <f t="shared" si="5"/>
        <v>0</v>
      </c>
      <c r="I20" s="1767">
        <f t="shared" si="5"/>
        <v>0</v>
      </c>
      <c r="J20" s="1767">
        <f t="shared" si="5"/>
        <v>0</v>
      </c>
      <c r="K20" s="1767">
        <f t="shared" si="5"/>
        <v>0</v>
      </c>
      <c r="L20" s="347"/>
    </row>
    <row r="21" spans="1:12" ht="16.7" customHeight="1" thickTop="1" x14ac:dyDescent="0.2">
      <c r="A21" s="2260" t="s">
        <v>616</v>
      </c>
      <c r="B21" s="2261"/>
      <c r="C21" s="1591"/>
      <c r="D21" s="1592"/>
      <c r="E21" s="1592"/>
      <c r="F21" s="1592"/>
      <c r="G21" s="1592"/>
      <c r="H21" s="1592"/>
      <c r="I21" s="1592"/>
      <c r="J21" s="1592"/>
      <c r="K21" s="1593"/>
      <c r="L21" s="524"/>
    </row>
    <row r="22" spans="1:12" ht="15.75" customHeight="1" collapsed="1" x14ac:dyDescent="0.2">
      <c r="A22" s="2256" t="s">
        <v>617</v>
      </c>
      <c r="B22" s="2257"/>
      <c r="C22" s="477"/>
      <c r="D22" s="477"/>
      <c r="E22" s="477"/>
      <c r="F22" s="477"/>
      <c r="G22" s="477"/>
      <c r="H22" s="477"/>
      <c r="I22" s="477"/>
      <c r="J22" s="477"/>
      <c r="K22" s="477"/>
      <c r="L22" s="347"/>
    </row>
    <row r="23" spans="1:12" s="485" customFormat="1" ht="15.75" customHeight="1" x14ac:dyDescent="0.2">
      <c r="A23" s="2252" t="s">
        <v>311</v>
      </c>
      <c r="B23" s="2253"/>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1894</v>
      </c>
      <c r="B30" s="527">
        <v>7160</v>
      </c>
      <c r="C30" s="477"/>
      <c r="D30" s="467"/>
      <c r="E30" s="477"/>
      <c r="F30" s="477"/>
      <c r="G30" s="477"/>
      <c r="H30" s="477"/>
      <c r="I30" s="477"/>
      <c r="J30" s="477"/>
      <c r="K30" s="477"/>
      <c r="L30" s="524"/>
    </row>
    <row r="31" spans="1:12" s="485" customFormat="1" ht="26.25" x14ac:dyDescent="0.2">
      <c r="A31" s="1510" t="s">
        <v>1898</v>
      </c>
      <c r="B31" s="527">
        <v>7170</v>
      </c>
      <c r="C31" s="477"/>
      <c r="D31" s="477"/>
      <c r="E31" s="474"/>
      <c r="F31" s="477"/>
      <c r="G31" s="477"/>
      <c r="H31" s="477"/>
      <c r="I31" s="477"/>
      <c r="J31" s="477"/>
      <c r="K31" s="477"/>
      <c r="L31" s="524"/>
    </row>
    <row r="32" spans="1:12" s="485" customFormat="1" ht="15.75" customHeight="1" x14ac:dyDescent="0.2">
      <c r="A32" s="2254" t="s">
        <v>1038</v>
      </c>
      <c r="B32" s="2255"/>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262" t="s">
        <v>392</v>
      </c>
      <c r="B44" s="2263"/>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256" t="s">
        <v>110</v>
      </c>
      <c r="B45" s="2257"/>
      <c r="C45" s="528"/>
      <c r="D45" s="528"/>
      <c r="E45" s="528"/>
      <c r="F45" s="528"/>
      <c r="G45" s="528"/>
      <c r="H45" s="528"/>
      <c r="I45" s="528"/>
      <c r="J45" s="528"/>
      <c r="K45" s="528"/>
      <c r="L45" s="347"/>
    </row>
    <row r="46" spans="1:12" s="485" customFormat="1" ht="15.75" customHeight="1" x14ac:dyDescent="0.2">
      <c r="A46" s="2264" t="s">
        <v>111</v>
      </c>
      <c r="B46" s="2265"/>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64">
        <f>D30</f>
        <v>0</v>
      </c>
      <c r="L52" s="524"/>
    </row>
    <row r="53" spans="1:12" s="485" customFormat="1" ht="26.25" x14ac:dyDescent="0.2">
      <c r="A53" s="1511" t="s">
        <v>1896</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238" t="s">
        <v>460</v>
      </c>
      <c r="B76" s="2239"/>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240" t="s">
        <v>1239</v>
      </c>
      <c r="B77" s="2241"/>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244" t="s">
        <v>618</v>
      </c>
      <c r="B78" s="2245"/>
      <c r="C78" s="1723">
        <f t="shared" ref="C78:K78" si="9">C20+C77</f>
        <v>71565</v>
      </c>
      <c r="D78" s="1723">
        <f t="shared" si="9"/>
        <v>1644</v>
      </c>
      <c r="E78" s="1723">
        <f t="shared" si="9"/>
        <v>0</v>
      </c>
      <c r="F78" s="1723">
        <f t="shared" si="9"/>
        <v>-242</v>
      </c>
      <c r="G78" s="1723">
        <f t="shared" si="9"/>
        <v>0</v>
      </c>
      <c r="H78" s="1723">
        <f t="shared" si="9"/>
        <v>0</v>
      </c>
      <c r="I78" s="1723">
        <f t="shared" si="9"/>
        <v>0</v>
      </c>
      <c r="J78" s="1723">
        <f t="shared" si="9"/>
        <v>0</v>
      </c>
      <c r="K78" s="1723">
        <f t="shared" si="9"/>
        <v>0</v>
      </c>
      <c r="L78" s="533"/>
    </row>
    <row r="79" spans="1:12" ht="13.5" thickTop="1" x14ac:dyDescent="0.2">
      <c r="A79" s="1515" t="s">
        <v>2070</v>
      </c>
      <c r="B79" s="534"/>
      <c r="C79" s="478">
        <v>569844</v>
      </c>
      <c r="D79" s="535">
        <v>372874</v>
      </c>
      <c r="E79" s="535"/>
      <c r="F79" s="535">
        <v>25993</v>
      </c>
      <c r="G79" s="535"/>
      <c r="H79" s="535"/>
      <c r="I79" s="535"/>
      <c r="J79" s="535"/>
      <c r="K79" s="535"/>
      <c r="L79" s="347"/>
    </row>
    <row r="80" spans="1:12" x14ac:dyDescent="0.2">
      <c r="A80" s="2250" t="s">
        <v>1895</v>
      </c>
      <c r="B80" s="2251"/>
      <c r="C80" s="467"/>
      <c r="D80" s="467"/>
      <c r="E80" s="467"/>
      <c r="F80" s="467"/>
      <c r="G80" s="467"/>
      <c r="H80" s="467"/>
      <c r="I80" s="467"/>
      <c r="J80" s="467"/>
      <c r="K80" s="467"/>
      <c r="L80" s="347"/>
    </row>
    <row r="81" spans="1:12" ht="13.5" thickBot="1" x14ac:dyDescent="0.25">
      <c r="A81" s="2242" t="s">
        <v>2071</v>
      </c>
      <c r="B81" s="2243"/>
      <c r="C81" s="1709">
        <f>(SUM(C78:C80))</f>
        <v>641409</v>
      </c>
      <c r="D81" s="1709">
        <f>SUM(D78:D80)</f>
        <v>374518</v>
      </c>
      <c r="E81" s="1709">
        <f t="shared" ref="E81:K81" si="10">SUM(E78:E80)</f>
        <v>0</v>
      </c>
      <c r="F81" s="1709">
        <f t="shared" si="10"/>
        <v>25751</v>
      </c>
      <c r="G81" s="1709">
        <f t="shared" si="10"/>
        <v>0</v>
      </c>
      <c r="H81" s="1709">
        <f t="shared" si="10"/>
        <v>0</v>
      </c>
      <c r="I81" s="1709">
        <f t="shared" si="10"/>
        <v>0</v>
      </c>
      <c r="J81" s="1709">
        <f t="shared" si="10"/>
        <v>0</v>
      </c>
      <c r="K81" s="1709">
        <f t="shared" si="10"/>
        <v>0</v>
      </c>
      <c r="L81" s="347"/>
    </row>
    <row r="82" spans="1:12" ht="0.75" customHeight="1" thickTop="1" thickBot="1" x14ac:dyDescent="0.25">
      <c r="A82" s="536" t="s">
        <v>361</v>
      </c>
      <c r="B82" s="537"/>
      <c r="C82" s="538">
        <f>(C81-C79)</f>
        <v>71565</v>
      </c>
      <c r="D82" s="538">
        <f t="shared" ref="D82:K82" si="11">(D81-D79)</f>
        <v>1644</v>
      </c>
      <c r="E82" s="538">
        <f t="shared" si="11"/>
        <v>0</v>
      </c>
      <c r="F82" s="538">
        <f t="shared" si="11"/>
        <v>-242</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0.11157467388203159</v>
      </c>
      <c r="D83" s="540">
        <f t="shared" ref="D83:K83" si="12">D82/D81</f>
        <v>4.3896421533811455E-3</v>
      </c>
      <c r="E83" s="540" t="e">
        <f t="shared" si="12"/>
        <v>#DIV/0!</v>
      </c>
      <c r="F83" s="540">
        <f t="shared" si="12"/>
        <v>-9.3976932934643313E-3</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workbookViewId="0">
      <selection activeCell="A17" sqref="A17:K1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46" t="s">
        <v>1902</v>
      </c>
      <c r="B1" s="452"/>
      <c r="C1" s="453" t="s">
        <v>445</v>
      </c>
      <c r="D1" s="453" t="s">
        <v>446</v>
      </c>
      <c r="E1" s="453" t="s">
        <v>447</v>
      </c>
      <c r="F1" s="453" t="s">
        <v>448</v>
      </c>
      <c r="G1" s="453" t="s">
        <v>449</v>
      </c>
      <c r="H1" s="453" t="s">
        <v>450</v>
      </c>
      <c r="I1" s="453" t="s">
        <v>451</v>
      </c>
      <c r="J1" s="453" t="s">
        <v>452</v>
      </c>
      <c r="K1" s="453" t="s">
        <v>780</v>
      </c>
    </row>
    <row r="2" spans="1:12" ht="36" x14ac:dyDescent="0.2">
      <c r="A2" s="22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0</v>
      </c>
      <c r="D12" s="1728">
        <f t="shared" si="0"/>
        <v>0</v>
      </c>
      <c r="E12" s="1728">
        <f t="shared" si="0"/>
        <v>0</v>
      </c>
      <c r="F12" s="1728">
        <f t="shared" si="0"/>
        <v>0</v>
      </c>
      <c r="G12" s="1728">
        <f t="shared" si="0"/>
        <v>0</v>
      </c>
      <c r="H12" s="1728">
        <f t="shared" si="0"/>
        <v>0</v>
      </c>
      <c r="I12" s="1728">
        <f t="shared" si="0"/>
        <v>0</v>
      </c>
      <c r="J12" s="1728">
        <f t="shared" si="0"/>
        <v>0</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2989098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2989098</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v>11953</v>
      </c>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11953</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5824</v>
      </c>
      <c r="D65" s="466">
        <v>2549</v>
      </c>
      <c r="E65" s="466"/>
      <c r="F65" s="467">
        <v>114</v>
      </c>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5824</v>
      </c>
      <c r="D67" s="1709">
        <f t="shared" ref="D67:K67" si="2">SUM(D65:D66)</f>
        <v>2549</v>
      </c>
      <c r="E67" s="1709">
        <f t="shared" si="2"/>
        <v>0</v>
      </c>
      <c r="F67" s="1709">
        <f t="shared" si="2"/>
        <v>114</v>
      </c>
      <c r="G67" s="1709">
        <f t="shared" si="2"/>
        <v>0</v>
      </c>
      <c r="H67" s="1709">
        <f t="shared" si="2"/>
        <v>0</v>
      </c>
      <c r="I67" s="1709">
        <f t="shared" si="2"/>
        <v>0</v>
      </c>
      <c r="J67" s="1709">
        <f t="shared" si="2"/>
        <v>0</v>
      </c>
      <c r="K67" s="1709">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2510</v>
      </c>
      <c r="D69" s="468"/>
      <c r="E69" s="468"/>
      <c r="F69" s="468"/>
      <c r="G69" s="468"/>
      <c r="H69" s="468"/>
      <c r="I69" s="468"/>
      <c r="J69" s="468"/>
      <c r="K69" s="468"/>
    </row>
    <row r="70" spans="1:11" ht="12.75" customHeight="1" x14ac:dyDescent="0.2">
      <c r="A70" s="463" t="s">
        <v>1054</v>
      </c>
      <c r="B70" s="470">
        <v>1612</v>
      </c>
      <c r="C70" s="551">
        <v>684</v>
      </c>
      <c r="D70" s="468"/>
      <c r="E70" s="468"/>
      <c r="F70" s="468"/>
      <c r="G70" s="468"/>
      <c r="H70" s="468"/>
      <c r="I70" s="468"/>
      <c r="J70" s="468"/>
      <c r="K70" s="468"/>
    </row>
    <row r="71" spans="1:11" ht="12.75" customHeight="1" x14ac:dyDescent="0.2">
      <c r="A71" s="463" t="s">
        <v>291</v>
      </c>
      <c r="B71" s="470">
        <v>1613</v>
      </c>
      <c r="C71" s="551">
        <v>155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1686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5035</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v>1365</v>
      </c>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1365</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217372</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238127</v>
      </c>
      <c r="D104" s="466">
        <v>2000</v>
      </c>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27677</v>
      </c>
      <c r="D107" s="466"/>
      <c r="E107" s="466"/>
      <c r="F107" s="466"/>
      <c r="G107" s="466"/>
      <c r="H107" s="466"/>
      <c r="I107" s="466"/>
      <c r="J107" s="467"/>
      <c r="K107" s="466"/>
    </row>
    <row r="108" spans="1:12" ht="12.75" customHeight="1" thickBot="1" x14ac:dyDescent="0.25">
      <c r="A108" s="1729" t="s">
        <v>508</v>
      </c>
      <c r="B108" s="1733"/>
      <c r="C108" s="1728">
        <f>SUM(C95:C107)</f>
        <v>483176</v>
      </c>
      <c r="D108" s="1728">
        <f t="shared" ref="D108:K108" si="3">SUM(D95:D107)</f>
        <v>2000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3484498</v>
      </c>
      <c r="D109" s="1736">
        <f t="shared" si="4"/>
        <v>4549</v>
      </c>
      <c r="E109" s="1736">
        <f t="shared" si="4"/>
        <v>0</v>
      </c>
      <c r="F109" s="1736">
        <f t="shared" si="4"/>
        <v>12067</v>
      </c>
      <c r="G109" s="1736">
        <f t="shared" si="4"/>
        <v>0</v>
      </c>
      <c r="H109" s="1736">
        <f t="shared" si="4"/>
        <v>0</v>
      </c>
      <c r="I109" s="1736">
        <f t="shared" si="4"/>
        <v>0</v>
      </c>
      <c r="J109" s="1736">
        <f t="shared" si="4"/>
        <v>0</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507039</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507039</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703855</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7" t="s">
        <v>1901</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703855</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152269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152269</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521</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0</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v>42310</v>
      </c>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266" t="s">
        <v>418</v>
      </c>
      <c r="B172" s="2267"/>
      <c r="C172" s="1743">
        <f t="shared" ref="C172:K172" si="6">SUM(C131,C140,C144,C145:C149,C154,C155:C170,C171)</f>
        <v>195100</v>
      </c>
      <c r="D172" s="1743">
        <f t="shared" si="6"/>
        <v>0</v>
      </c>
      <c r="E172" s="1743">
        <f t="shared" si="6"/>
        <v>0</v>
      </c>
      <c r="F172" s="1743">
        <f t="shared" si="6"/>
        <v>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898955</v>
      </c>
      <c r="D173" s="1736">
        <f>SUM(D121,D172)</f>
        <v>0</v>
      </c>
      <c r="E173" s="1736">
        <f>SUM(E121,E172)</f>
        <v>0</v>
      </c>
      <c r="F173" s="1736">
        <f t="shared" ref="F173:K173" si="7">SUM(F121,F172)</f>
        <v>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268" t="s">
        <v>1572</v>
      </c>
      <c r="B175" s="22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72" t="s">
        <v>1764</v>
      </c>
      <c r="B178" s="2273"/>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276" t="s">
        <v>1763</v>
      </c>
      <c r="B179" s="22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74" t="s">
        <v>818</v>
      </c>
      <c r="B184" s="2275"/>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270" t="s">
        <v>1903</v>
      </c>
      <c r="B185" s="2271"/>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26840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9902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36742</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41371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1414926</v>
      </c>
      <c r="D220" s="466">
        <v>266631</v>
      </c>
      <c r="E220" s="468"/>
      <c r="F220" s="466"/>
      <c r="G220" s="466"/>
      <c r="H220" s="468"/>
      <c r="I220" s="468"/>
      <c r="J220" s="468"/>
      <c r="K220" s="468"/>
    </row>
    <row r="221" spans="1:11" ht="12.75" customHeight="1" x14ac:dyDescent="0.2">
      <c r="A221" s="463" t="s">
        <v>1114</v>
      </c>
      <c r="B221" s="470">
        <v>4625</v>
      </c>
      <c r="C221" s="551">
        <v>69356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1525653</v>
      </c>
      <c r="D224" s="1728">
        <f>SUM(D218:D223)</f>
        <v>266631</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41686</v>
      </c>
      <c r="D270" s="576"/>
      <c r="E270" s="468"/>
      <c r="F270" s="576"/>
      <c r="G270" s="576"/>
      <c r="H270" s="468"/>
      <c r="I270" s="468"/>
      <c r="J270" s="468"/>
      <c r="K270" s="468"/>
    </row>
    <row r="271" spans="1:11" ht="12.75" customHeight="1" thickTop="1" thickBot="1" x14ac:dyDescent="0.25">
      <c r="A271" s="463" t="s">
        <v>395</v>
      </c>
      <c r="B271" s="470">
        <v>4992</v>
      </c>
      <c r="C271" s="575">
        <v>257674</v>
      </c>
      <c r="D271" s="576"/>
      <c r="E271" s="468"/>
      <c r="F271" s="576"/>
      <c r="G271" s="576"/>
      <c r="H271" s="468"/>
      <c r="I271" s="468"/>
      <c r="J271" s="468"/>
      <c r="K271" s="468"/>
    </row>
    <row r="272" spans="1:11" s="594" customFormat="1" ht="12.75" customHeight="1" thickTop="1" thickBot="1" x14ac:dyDescent="0.25">
      <c r="A272" s="563" t="s">
        <v>77</v>
      </c>
      <c r="B272" s="557">
        <v>4999</v>
      </c>
      <c r="C272" s="575">
        <v>44242</v>
      </c>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1905997</v>
      </c>
      <c r="D273" s="1736">
        <f t="shared" si="10"/>
        <v>266631</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1905997</v>
      </c>
      <c r="D274" s="1736">
        <f>SUM(D178,D184,D273)</f>
        <v>266631</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6796489</v>
      </c>
      <c r="D275" s="1736">
        <f t="shared" si="12"/>
        <v>271180</v>
      </c>
      <c r="E275" s="1736">
        <f t="shared" si="12"/>
        <v>0</v>
      </c>
      <c r="F275" s="1736">
        <f t="shared" si="12"/>
        <v>12067</v>
      </c>
      <c r="G275" s="1736">
        <f t="shared" si="12"/>
        <v>0</v>
      </c>
      <c r="H275" s="1736">
        <f t="shared" si="12"/>
        <v>0</v>
      </c>
      <c r="I275" s="1736">
        <f t="shared" si="12"/>
        <v>0</v>
      </c>
      <c r="J275" s="1736">
        <f t="shared" si="12"/>
        <v>0</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workbookViewId="0">
      <selection activeCell="A17" sqref="A17:K1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24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84" t="s">
        <v>315</v>
      </c>
      <c r="B3" s="2285"/>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c r="D5" s="466"/>
      <c r="E5" s="466"/>
      <c r="F5" s="466"/>
      <c r="G5" s="466"/>
      <c r="H5" s="466"/>
      <c r="I5" s="467"/>
      <c r="J5" s="467"/>
      <c r="K5" s="1692">
        <f>SUM(C5:J5)</f>
        <v>0</v>
      </c>
      <c r="L5" s="466"/>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v>1211954</v>
      </c>
      <c r="D8" s="466">
        <v>464635</v>
      </c>
      <c r="E8" s="466">
        <v>29230</v>
      </c>
      <c r="F8" s="466">
        <v>13422</v>
      </c>
      <c r="G8" s="466"/>
      <c r="H8" s="466"/>
      <c r="I8" s="467"/>
      <c r="J8" s="467"/>
      <c r="K8" s="1692">
        <f t="shared" si="0"/>
        <v>1719241</v>
      </c>
      <c r="L8" s="466">
        <v>1736102</v>
      </c>
    </row>
    <row r="9" spans="1:14" x14ac:dyDescent="0.2">
      <c r="A9" s="1525" t="s">
        <v>745</v>
      </c>
      <c r="B9" s="615" t="s">
        <v>1025</v>
      </c>
      <c r="C9" s="467"/>
      <c r="D9" s="467"/>
      <c r="E9" s="467"/>
      <c r="F9" s="467"/>
      <c r="G9" s="467"/>
      <c r="H9" s="467">
        <v>55316</v>
      </c>
      <c r="I9" s="467"/>
      <c r="J9" s="467"/>
      <c r="K9" s="1692">
        <f t="shared" si="0"/>
        <v>55316</v>
      </c>
      <c r="L9" s="466">
        <v>120961</v>
      </c>
    </row>
    <row r="10" spans="1:14" x14ac:dyDescent="0.2">
      <c r="A10" s="1525" t="s">
        <v>746</v>
      </c>
      <c r="B10" s="615">
        <v>1250</v>
      </c>
      <c r="C10" s="466"/>
      <c r="D10" s="466"/>
      <c r="E10" s="466"/>
      <c r="F10" s="466"/>
      <c r="G10" s="466"/>
      <c r="H10" s="466"/>
      <c r="I10" s="467"/>
      <c r="J10" s="467"/>
      <c r="K10" s="1692">
        <f t="shared" si="0"/>
        <v>0</v>
      </c>
      <c r="L10" s="466"/>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101055</v>
      </c>
      <c r="D13" s="466">
        <v>41882</v>
      </c>
      <c r="E13" s="466">
        <v>6679</v>
      </c>
      <c r="F13" s="466">
        <v>983</v>
      </c>
      <c r="G13" s="466"/>
      <c r="H13" s="466"/>
      <c r="I13" s="467"/>
      <c r="J13" s="467"/>
      <c r="K13" s="1692">
        <f t="shared" si="0"/>
        <v>150599</v>
      </c>
      <c r="L13" s="466">
        <v>174306</v>
      </c>
    </row>
    <row r="14" spans="1:14" x14ac:dyDescent="0.2">
      <c r="A14" s="1525" t="s">
        <v>1020</v>
      </c>
      <c r="B14" s="615">
        <v>1500</v>
      </c>
      <c r="C14" s="466"/>
      <c r="D14" s="466"/>
      <c r="E14" s="466"/>
      <c r="F14" s="466"/>
      <c r="G14" s="466"/>
      <c r="H14" s="466"/>
      <c r="I14" s="467"/>
      <c r="J14" s="467"/>
      <c r="K14" s="1692">
        <f t="shared" si="0"/>
        <v>0</v>
      </c>
      <c r="L14" s="466"/>
    </row>
    <row r="15" spans="1:14" x14ac:dyDescent="0.2">
      <c r="A15" s="1525" t="s">
        <v>1021</v>
      </c>
      <c r="B15" s="615">
        <v>1600</v>
      </c>
      <c r="C15" s="466">
        <v>46012</v>
      </c>
      <c r="D15" s="466">
        <v>6671</v>
      </c>
      <c r="E15" s="466">
        <v>682</v>
      </c>
      <c r="F15" s="466">
        <v>172</v>
      </c>
      <c r="G15" s="466"/>
      <c r="H15" s="466"/>
      <c r="I15" s="467"/>
      <c r="J15" s="467"/>
      <c r="K15" s="1692">
        <f t="shared" si="0"/>
        <v>53537</v>
      </c>
      <c r="L15" s="466">
        <v>55544</v>
      </c>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v>68866</v>
      </c>
      <c r="D19" s="466">
        <v>24976</v>
      </c>
      <c r="E19" s="466"/>
      <c r="F19" s="466">
        <v>201</v>
      </c>
      <c r="G19" s="466"/>
      <c r="H19" s="466"/>
      <c r="I19" s="467"/>
      <c r="J19" s="467"/>
      <c r="K19" s="1692">
        <f t="shared" si="0"/>
        <v>94043</v>
      </c>
      <c r="L19" s="466">
        <v>96936</v>
      </c>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v>406886</v>
      </c>
      <c r="I22" s="617"/>
      <c r="J22" s="477"/>
      <c r="K22" s="1692">
        <f t="shared" si="0"/>
        <v>406886</v>
      </c>
      <c r="L22" s="471">
        <v>467970</v>
      </c>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1427887</v>
      </c>
      <c r="D33" s="1691">
        <f t="shared" ref="D33:L33" si="1">SUM(D5:D32)</f>
        <v>538164</v>
      </c>
      <c r="E33" s="1691">
        <f t="shared" si="1"/>
        <v>36591</v>
      </c>
      <c r="F33" s="1691">
        <f t="shared" si="1"/>
        <v>14778</v>
      </c>
      <c r="G33" s="1691">
        <f t="shared" si="1"/>
        <v>0</v>
      </c>
      <c r="H33" s="1691">
        <f t="shared" si="1"/>
        <v>462202</v>
      </c>
      <c r="I33" s="1691">
        <f t="shared" si="1"/>
        <v>0</v>
      </c>
      <c r="J33" s="1691">
        <f t="shared" si="1"/>
        <v>0</v>
      </c>
      <c r="K33" s="1691">
        <f t="shared" si="1"/>
        <v>2479622</v>
      </c>
      <c r="L33" s="1691">
        <f t="shared" si="1"/>
        <v>2651819</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461622</v>
      </c>
      <c r="D36" s="481">
        <v>129091</v>
      </c>
      <c r="E36" s="481">
        <v>8333</v>
      </c>
      <c r="F36" s="481">
        <v>1326</v>
      </c>
      <c r="G36" s="481"/>
      <c r="H36" s="481"/>
      <c r="I36" s="467"/>
      <c r="J36" s="467"/>
      <c r="K36" s="1692">
        <f t="shared" ref="K36:K41" si="2">SUM(C36:J36)</f>
        <v>600372</v>
      </c>
      <c r="L36" s="466">
        <v>594891</v>
      </c>
    </row>
    <row r="37" spans="1:14" x14ac:dyDescent="0.2">
      <c r="A37" s="1525" t="s">
        <v>1151</v>
      </c>
      <c r="B37" s="615">
        <v>2120</v>
      </c>
      <c r="C37" s="466"/>
      <c r="D37" s="466"/>
      <c r="E37" s="466"/>
      <c r="F37" s="466"/>
      <c r="G37" s="466"/>
      <c r="H37" s="466"/>
      <c r="I37" s="467"/>
      <c r="J37" s="467"/>
      <c r="K37" s="1692">
        <f t="shared" si="2"/>
        <v>0</v>
      </c>
      <c r="L37" s="466"/>
    </row>
    <row r="38" spans="1:14" x14ac:dyDescent="0.2">
      <c r="A38" s="1525" t="s">
        <v>207</v>
      </c>
      <c r="B38" s="615">
        <v>2130</v>
      </c>
      <c r="C38" s="466">
        <v>340518</v>
      </c>
      <c r="D38" s="466">
        <v>112127</v>
      </c>
      <c r="E38" s="466">
        <v>117306</v>
      </c>
      <c r="F38" s="466">
        <v>5264</v>
      </c>
      <c r="G38" s="466">
        <v>18315</v>
      </c>
      <c r="H38" s="466"/>
      <c r="I38" s="467"/>
      <c r="J38" s="467"/>
      <c r="K38" s="1692">
        <f t="shared" si="2"/>
        <v>593530</v>
      </c>
      <c r="L38" s="466">
        <v>579352</v>
      </c>
    </row>
    <row r="39" spans="1:14" x14ac:dyDescent="0.2">
      <c r="A39" s="1525" t="s">
        <v>208</v>
      </c>
      <c r="B39" s="615">
        <v>2140</v>
      </c>
      <c r="C39" s="466">
        <v>513592</v>
      </c>
      <c r="D39" s="466">
        <v>110233</v>
      </c>
      <c r="E39" s="466">
        <v>65933</v>
      </c>
      <c r="F39" s="466">
        <v>14701</v>
      </c>
      <c r="G39" s="466"/>
      <c r="H39" s="466"/>
      <c r="I39" s="467"/>
      <c r="J39" s="467"/>
      <c r="K39" s="1692">
        <f t="shared" si="2"/>
        <v>704459</v>
      </c>
      <c r="L39" s="466">
        <v>768796</v>
      </c>
    </row>
    <row r="40" spans="1:14" x14ac:dyDescent="0.2">
      <c r="A40" s="1525" t="s">
        <v>209</v>
      </c>
      <c r="B40" s="615">
        <v>2150</v>
      </c>
      <c r="C40" s="466">
        <v>288138</v>
      </c>
      <c r="D40" s="466">
        <v>69303</v>
      </c>
      <c r="E40" s="466">
        <v>34941</v>
      </c>
      <c r="F40" s="466">
        <v>1369</v>
      </c>
      <c r="G40" s="466"/>
      <c r="H40" s="466"/>
      <c r="I40" s="467"/>
      <c r="J40" s="467"/>
      <c r="K40" s="1692">
        <f t="shared" si="2"/>
        <v>393751</v>
      </c>
      <c r="L40" s="466">
        <v>385170</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1603870</v>
      </c>
      <c r="D42" s="1691">
        <f t="shared" ref="D42:L42" si="3">SUM(D36:D41)</f>
        <v>420754</v>
      </c>
      <c r="E42" s="1691">
        <f t="shared" si="3"/>
        <v>226513</v>
      </c>
      <c r="F42" s="1691">
        <f t="shared" si="3"/>
        <v>22660</v>
      </c>
      <c r="G42" s="1691">
        <f t="shared" si="3"/>
        <v>18315</v>
      </c>
      <c r="H42" s="1691">
        <f t="shared" si="3"/>
        <v>0</v>
      </c>
      <c r="I42" s="1691">
        <f t="shared" si="3"/>
        <v>0</v>
      </c>
      <c r="J42" s="1691">
        <f t="shared" si="3"/>
        <v>0</v>
      </c>
      <c r="K42" s="1691">
        <f t="shared" si="3"/>
        <v>2292112</v>
      </c>
      <c r="L42" s="1691">
        <f t="shared" si="3"/>
        <v>2328209</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38959</v>
      </c>
      <c r="D44" s="481">
        <v>2785</v>
      </c>
      <c r="E44" s="481">
        <v>53193</v>
      </c>
      <c r="F44" s="481">
        <v>3346</v>
      </c>
      <c r="G44" s="481">
        <v>745</v>
      </c>
      <c r="H44" s="481"/>
      <c r="I44" s="467"/>
      <c r="J44" s="467"/>
      <c r="K44" s="1693">
        <f>SUM(C44:J44)</f>
        <v>99028</v>
      </c>
      <c r="L44" s="481">
        <v>145760</v>
      </c>
    </row>
    <row r="45" spans="1:14" x14ac:dyDescent="0.2">
      <c r="A45" s="1525" t="s">
        <v>869</v>
      </c>
      <c r="B45" s="615">
        <v>2220</v>
      </c>
      <c r="C45" s="466"/>
      <c r="D45" s="466"/>
      <c r="E45" s="466"/>
      <c r="F45" s="466"/>
      <c r="G45" s="466"/>
      <c r="H45" s="466"/>
      <c r="I45" s="467"/>
      <c r="J45" s="467"/>
      <c r="K45" s="1693">
        <f>SUM(C45:J45)</f>
        <v>0</v>
      </c>
      <c r="L45" s="466"/>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38959</v>
      </c>
      <c r="D47" s="1691">
        <f t="shared" ref="D47:K47" si="4">SUM(D44:D46)</f>
        <v>2785</v>
      </c>
      <c r="E47" s="1691">
        <f t="shared" si="4"/>
        <v>53193</v>
      </c>
      <c r="F47" s="1691">
        <f t="shared" si="4"/>
        <v>3346</v>
      </c>
      <c r="G47" s="1691">
        <f t="shared" si="4"/>
        <v>745</v>
      </c>
      <c r="H47" s="1691">
        <f t="shared" si="4"/>
        <v>0</v>
      </c>
      <c r="I47" s="1691">
        <f t="shared" si="4"/>
        <v>0</v>
      </c>
      <c r="J47" s="1691">
        <f t="shared" si="4"/>
        <v>0</v>
      </c>
      <c r="K47" s="1691">
        <f t="shared" si="4"/>
        <v>99028</v>
      </c>
      <c r="L47" s="1691">
        <f>SUM(L44:L46)</f>
        <v>145760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2264</v>
      </c>
      <c r="D49" s="481">
        <v>1693</v>
      </c>
      <c r="E49" s="481">
        <v>54102</v>
      </c>
      <c r="F49" s="481"/>
      <c r="G49" s="481"/>
      <c r="H49" s="481"/>
      <c r="I49" s="467"/>
      <c r="J49" s="467"/>
      <c r="K49" s="1693">
        <f>SUM(C49:J49)</f>
        <v>58059</v>
      </c>
      <c r="L49" s="481">
        <v>148057</v>
      </c>
    </row>
    <row r="50" spans="1:14" x14ac:dyDescent="0.2">
      <c r="A50" s="1525" t="s">
        <v>872</v>
      </c>
      <c r="B50" s="615">
        <v>2320</v>
      </c>
      <c r="C50" s="466">
        <v>480221</v>
      </c>
      <c r="D50" s="466">
        <v>120562</v>
      </c>
      <c r="E50" s="466">
        <v>20600</v>
      </c>
      <c r="F50" s="466">
        <v>6070</v>
      </c>
      <c r="G50" s="466"/>
      <c r="H50" s="466">
        <v>5084</v>
      </c>
      <c r="I50" s="467"/>
      <c r="J50" s="467"/>
      <c r="K50" s="1693">
        <f>SUM(C50:J50)</f>
        <v>632537</v>
      </c>
      <c r="L50" s="466">
        <v>674197</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482485</v>
      </c>
      <c r="D53" s="1691">
        <f t="shared" ref="D53:L53" si="5">SUM(D49:D52)</f>
        <v>122255</v>
      </c>
      <c r="E53" s="1691">
        <f t="shared" si="5"/>
        <v>74702</v>
      </c>
      <c r="F53" s="1691">
        <f t="shared" si="5"/>
        <v>6070</v>
      </c>
      <c r="G53" s="1691">
        <f t="shared" si="5"/>
        <v>0</v>
      </c>
      <c r="H53" s="1691">
        <f t="shared" si="5"/>
        <v>5084</v>
      </c>
      <c r="I53" s="1691">
        <f t="shared" si="5"/>
        <v>0</v>
      </c>
      <c r="J53" s="1691">
        <f t="shared" si="5"/>
        <v>0</v>
      </c>
      <c r="K53" s="1691">
        <f t="shared" si="5"/>
        <v>690596</v>
      </c>
      <c r="L53" s="1691">
        <f t="shared" si="5"/>
        <v>822254</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190310</v>
      </c>
      <c r="D55" s="481">
        <v>50023</v>
      </c>
      <c r="E55" s="481">
        <v>778</v>
      </c>
      <c r="F55" s="481">
        <v>2029</v>
      </c>
      <c r="G55" s="481"/>
      <c r="H55" s="481"/>
      <c r="I55" s="467"/>
      <c r="J55" s="467"/>
      <c r="K55" s="1693">
        <f>SUM(C55:J55)</f>
        <v>243140</v>
      </c>
      <c r="L55" s="481">
        <v>244192</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190310</v>
      </c>
      <c r="D57" s="1695">
        <f t="shared" ref="D57:K57" si="6">SUM(D55:D56)</f>
        <v>50023</v>
      </c>
      <c r="E57" s="1695">
        <f t="shared" si="6"/>
        <v>778</v>
      </c>
      <c r="F57" s="1695">
        <f t="shared" si="6"/>
        <v>2029</v>
      </c>
      <c r="G57" s="1695">
        <f t="shared" si="6"/>
        <v>0</v>
      </c>
      <c r="H57" s="1695">
        <f t="shared" si="6"/>
        <v>0</v>
      </c>
      <c r="I57" s="1695">
        <f t="shared" si="6"/>
        <v>0</v>
      </c>
      <c r="J57" s="1695">
        <f t="shared" si="6"/>
        <v>0</v>
      </c>
      <c r="K57" s="1695">
        <f t="shared" si="6"/>
        <v>243140</v>
      </c>
      <c r="L57" s="1691">
        <f>SUM(L55:L56)</f>
        <v>244192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30753</v>
      </c>
      <c r="D60" s="466">
        <v>12094</v>
      </c>
      <c r="E60" s="466">
        <v>981</v>
      </c>
      <c r="F60" s="466">
        <v>567</v>
      </c>
      <c r="G60" s="466"/>
      <c r="H60" s="466">
        <v>154</v>
      </c>
      <c r="I60" s="467"/>
      <c r="J60" s="467"/>
      <c r="K60" s="1693">
        <f t="shared" si="7"/>
        <v>44549</v>
      </c>
      <c r="L60" s="466">
        <v>45223</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13176</v>
      </c>
      <c r="D63" s="466">
        <v>9169</v>
      </c>
      <c r="E63" s="466">
        <v>3346</v>
      </c>
      <c r="F63" s="466">
        <v>7761</v>
      </c>
      <c r="G63" s="466"/>
      <c r="H63" s="466"/>
      <c r="I63" s="467"/>
      <c r="J63" s="467"/>
      <c r="K63" s="1693">
        <f t="shared" si="7"/>
        <v>33452</v>
      </c>
      <c r="L63" s="466">
        <v>35214</v>
      </c>
    </row>
    <row r="64" spans="1:14" s="610" customFormat="1" x14ac:dyDescent="0.2">
      <c r="A64" s="1530" t="s">
        <v>103</v>
      </c>
      <c r="B64" s="631">
        <v>2570</v>
      </c>
      <c r="C64" s="481"/>
      <c r="D64" s="481"/>
      <c r="E64" s="481">
        <v>18213</v>
      </c>
      <c r="F64" s="481">
        <v>554</v>
      </c>
      <c r="G64" s="481"/>
      <c r="H64" s="481"/>
      <c r="I64" s="467"/>
      <c r="J64" s="467"/>
      <c r="K64" s="1693">
        <f t="shared" si="7"/>
        <v>18767</v>
      </c>
      <c r="L64" s="481">
        <v>20760</v>
      </c>
    </row>
    <row r="65" spans="1:14" s="343" customFormat="1" ht="12.75" customHeight="1" thickBot="1" x14ac:dyDescent="0.25">
      <c r="A65" s="1689" t="s">
        <v>743</v>
      </c>
      <c r="B65" s="1690" t="s">
        <v>35</v>
      </c>
      <c r="C65" s="1691">
        <f>SUM(C59:C64)</f>
        <v>43929</v>
      </c>
      <c r="D65" s="1691">
        <f t="shared" ref="D65:L65" si="8">SUM(D59:D64)</f>
        <v>21263</v>
      </c>
      <c r="E65" s="1691">
        <f t="shared" si="8"/>
        <v>22540</v>
      </c>
      <c r="F65" s="1691">
        <f t="shared" si="8"/>
        <v>8882</v>
      </c>
      <c r="G65" s="1691">
        <f t="shared" si="8"/>
        <v>0</v>
      </c>
      <c r="H65" s="1691">
        <f t="shared" si="8"/>
        <v>154</v>
      </c>
      <c r="I65" s="1691">
        <f t="shared" si="8"/>
        <v>0</v>
      </c>
      <c r="J65" s="1691">
        <f t="shared" si="8"/>
        <v>0</v>
      </c>
      <c r="K65" s="1691">
        <f t="shared" si="8"/>
        <v>96768</v>
      </c>
      <c r="L65" s="1691">
        <f t="shared" si="8"/>
        <v>101197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v>29006</v>
      </c>
      <c r="F69" s="466"/>
      <c r="G69" s="466"/>
      <c r="H69" s="466"/>
      <c r="I69" s="467"/>
      <c r="J69" s="467"/>
      <c r="K69" s="1693">
        <f>SUM(C69:J69)</f>
        <v>29006</v>
      </c>
      <c r="L69" s="466">
        <v>30340</v>
      </c>
      <c r="M69" s="610"/>
      <c r="N69" s="610"/>
    </row>
    <row r="70" spans="1:14" s="343" customFormat="1" x14ac:dyDescent="0.2">
      <c r="A70" s="1525" t="s">
        <v>423</v>
      </c>
      <c r="B70" s="615">
        <v>2640</v>
      </c>
      <c r="C70" s="466"/>
      <c r="D70" s="466"/>
      <c r="E70" s="466">
        <v>1655</v>
      </c>
      <c r="F70" s="466"/>
      <c r="G70" s="466"/>
      <c r="H70" s="466"/>
      <c r="I70" s="467"/>
      <c r="J70" s="467"/>
      <c r="K70" s="1693">
        <f>SUM(C70:J70)</f>
        <v>1655</v>
      </c>
      <c r="L70" s="466">
        <v>3900</v>
      </c>
      <c r="M70" s="610"/>
      <c r="N70" s="610"/>
    </row>
    <row r="71" spans="1:14" s="343" customFormat="1" x14ac:dyDescent="0.2">
      <c r="A71" s="1525" t="s">
        <v>424</v>
      </c>
      <c r="B71" s="615">
        <v>2660</v>
      </c>
      <c r="C71" s="466">
        <v>24186</v>
      </c>
      <c r="D71" s="466">
        <v>10021</v>
      </c>
      <c r="E71" s="466">
        <v>61096</v>
      </c>
      <c r="F71" s="466">
        <v>11500</v>
      </c>
      <c r="G71" s="466">
        <v>24777</v>
      </c>
      <c r="H71" s="466"/>
      <c r="I71" s="467"/>
      <c r="J71" s="467"/>
      <c r="K71" s="1693">
        <f>SUM(C71:J71)</f>
        <v>131580</v>
      </c>
      <c r="L71" s="466">
        <v>77452</v>
      </c>
      <c r="M71" s="610"/>
      <c r="N71" s="610"/>
    </row>
    <row r="72" spans="1:14" s="343" customFormat="1" ht="12.75" customHeight="1" thickBot="1" x14ac:dyDescent="0.25">
      <c r="A72" s="1689" t="s">
        <v>37</v>
      </c>
      <c r="B72" s="1696" t="s">
        <v>36</v>
      </c>
      <c r="C72" s="1691">
        <f>SUM(C67:C71)</f>
        <v>24186</v>
      </c>
      <c r="D72" s="1691">
        <f t="shared" ref="D72:K72" si="9">SUM(D67:D71)</f>
        <v>10021</v>
      </c>
      <c r="E72" s="1691">
        <f t="shared" si="9"/>
        <v>91757</v>
      </c>
      <c r="F72" s="1691">
        <f t="shared" si="9"/>
        <v>11500</v>
      </c>
      <c r="G72" s="1691">
        <f t="shared" si="9"/>
        <v>24777</v>
      </c>
      <c r="H72" s="1691">
        <f t="shared" si="9"/>
        <v>0</v>
      </c>
      <c r="I72" s="1691">
        <f t="shared" si="9"/>
        <v>0</v>
      </c>
      <c r="J72" s="1691">
        <f t="shared" si="9"/>
        <v>0</v>
      </c>
      <c r="K72" s="1691">
        <f t="shared" si="9"/>
        <v>162241</v>
      </c>
      <c r="L72" s="1691">
        <f>SUM(L67:L71)</f>
        <v>111692</v>
      </c>
      <c r="M72" s="610"/>
      <c r="N72" s="610"/>
    </row>
    <row r="73" spans="1:14" s="343" customFormat="1" ht="14.25" thickTop="1" thickBot="1" x14ac:dyDescent="0.25">
      <c r="A73" s="1531" t="s">
        <v>1037</v>
      </c>
      <c r="B73" s="633" t="s">
        <v>595</v>
      </c>
      <c r="C73" s="573"/>
      <c r="D73" s="573"/>
      <c r="E73" s="573">
        <v>4000</v>
      </c>
      <c r="F73" s="573"/>
      <c r="G73" s="573"/>
      <c r="H73" s="573"/>
      <c r="I73" s="531"/>
      <c r="J73" s="531"/>
      <c r="K73" s="1691">
        <f>SUM(C73:J73)</f>
        <v>4000</v>
      </c>
      <c r="L73" s="576">
        <v>4000</v>
      </c>
      <c r="M73" s="610"/>
      <c r="N73" s="610"/>
    </row>
    <row r="74" spans="1:14" ht="12.75" customHeight="1" thickTop="1" thickBot="1" x14ac:dyDescent="0.25">
      <c r="A74" s="1689" t="s">
        <v>865</v>
      </c>
      <c r="B74" s="1697">
        <v>2000</v>
      </c>
      <c r="C74" s="1698">
        <f>SUM(C42,C47,C53,C57,C65,C72,C73)</f>
        <v>2383739</v>
      </c>
      <c r="D74" s="1698">
        <f t="shared" ref="D74:K74" si="10">SUM(D42,D47,D53,D57,D65,D72,D73)</f>
        <v>627101</v>
      </c>
      <c r="E74" s="1698">
        <f t="shared" si="10"/>
        <v>473483</v>
      </c>
      <c r="F74" s="1698">
        <f t="shared" si="10"/>
        <v>54487</v>
      </c>
      <c r="G74" s="1698">
        <f t="shared" si="10"/>
        <v>43837</v>
      </c>
      <c r="H74" s="1698">
        <f t="shared" si="10"/>
        <v>5238</v>
      </c>
      <c r="I74" s="1698">
        <f t="shared" si="10"/>
        <v>0</v>
      </c>
      <c r="J74" s="1698">
        <f t="shared" si="10"/>
        <v>0</v>
      </c>
      <c r="K74" s="1698">
        <f t="shared" si="10"/>
        <v>3587885</v>
      </c>
      <c r="L74" s="1698">
        <f>SUM(L42,L47,L53,L57,L65,L72,L73)</f>
        <v>3757304</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99309</v>
      </c>
      <c r="F79" s="617"/>
      <c r="G79" s="617"/>
      <c r="H79" s="466"/>
      <c r="I79" s="477"/>
      <c r="J79" s="477"/>
      <c r="K79" s="1692">
        <f t="shared" si="11"/>
        <v>99309</v>
      </c>
      <c r="L79" s="466">
        <v>113096</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99309</v>
      </c>
      <c r="F84" s="617"/>
      <c r="G84" s="617"/>
      <c r="H84" s="1691">
        <f>SUM(H78:H83)</f>
        <v>0</v>
      </c>
      <c r="I84" s="477"/>
      <c r="J84" s="477"/>
      <c r="K84" s="1691">
        <f>SUM(K78:K83)</f>
        <v>99309</v>
      </c>
      <c r="L84" s="1691">
        <f>SUM(L78:L83)</f>
        <v>113096</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40235</v>
      </c>
      <c r="I86" s="477"/>
      <c r="J86" s="477"/>
      <c r="K86" s="1698">
        <f t="shared" ref="K86:K98" si="12">H86</f>
        <v>40235</v>
      </c>
      <c r="L86" s="530">
        <v>42997</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40235</v>
      </c>
      <c r="I92" s="477"/>
      <c r="J92" s="477"/>
      <c r="K92" s="1698">
        <f t="shared" si="12"/>
        <v>40235</v>
      </c>
      <c r="L92" s="1691">
        <f>SUM(L85:L91)</f>
        <v>42997</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v>507039</v>
      </c>
      <c r="I94" s="477"/>
      <c r="J94" s="477"/>
      <c r="K94" s="1698">
        <f t="shared" si="12"/>
        <v>507039</v>
      </c>
      <c r="L94" s="530">
        <v>528366</v>
      </c>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v>10834</v>
      </c>
      <c r="I99" s="477"/>
      <c r="J99" s="477"/>
      <c r="K99" s="1698">
        <f>SUM(E99,H99)</f>
        <v>10834</v>
      </c>
      <c r="L99" s="530">
        <v>8000</v>
      </c>
    </row>
    <row r="100" spans="1:14" ht="14.25" thickTop="1" thickBot="1" x14ac:dyDescent="0.25">
      <c r="A100" s="1701" t="s">
        <v>1566</v>
      </c>
      <c r="B100" s="1702">
        <v>4300</v>
      </c>
      <c r="C100" s="617"/>
      <c r="D100" s="617"/>
      <c r="E100" s="1698">
        <f>SUM(E93:E99)</f>
        <v>0</v>
      </c>
      <c r="F100" s="617"/>
      <c r="G100" s="617"/>
      <c r="H100" s="1698">
        <f>SUM(H93:H99)</f>
        <v>517873</v>
      </c>
      <c r="I100" s="477"/>
      <c r="J100" s="477"/>
      <c r="K100" s="1698">
        <f>SUM(K93:K99)</f>
        <v>517873</v>
      </c>
      <c r="L100" s="1698">
        <f>SUM(L93:L99)</f>
        <v>536366</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99309</v>
      </c>
      <c r="F102" s="617"/>
      <c r="G102" s="617"/>
      <c r="H102" s="1698">
        <f>SUM(H84,H92,H100,H101)</f>
        <v>558108</v>
      </c>
      <c r="I102" s="477"/>
      <c r="J102" s="477"/>
      <c r="K102" s="1698">
        <f>SUM(K84,K92,K100,K101)</f>
        <v>657417</v>
      </c>
      <c r="L102" s="1698">
        <f>SUM(L84,L92,L100,L101)</f>
        <v>692459</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6000</v>
      </c>
      <c r="M113" s="614"/>
      <c r="N113" s="614"/>
    </row>
    <row r="114" spans="1:14" ht="12.75" customHeight="1" thickTop="1" thickBot="1" x14ac:dyDescent="0.25">
      <c r="A114" s="1689" t="s">
        <v>50</v>
      </c>
      <c r="B114" s="1703"/>
      <c r="C114" s="1691">
        <f>SUM(C33,C74,C75,C102,C112,C113)</f>
        <v>3811626</v>
      </c>
      <c r="D114" s="1691">
        <f t="shared" ref="D114:K114" si="13">SUM(D33,D74,D75,D102,D112,D113)</f>
        <v>1165265</v>
      </c>
      <c r="E114" s="1691">
        <f t="shared" si="13"/>
        <v>609383</v>
      </c>
      <c r="F114" s="1691">
        <f t="shared" si="13"/>
        <v>69265</v>
      </c>
      <c r="G114" s="1691">
        <f t="shared" si="13"/>
        <v>43837</v>
      </c>
      <c r="H114" s="1691">
        <f>SUM(H33,H74,H75,H102,H112,H113)</f>
        <v>1025548</v>
      </c>
      <c r="I114" s="1691">
        <f t="shared" si="13"/>
        <v>0</v>
      </c>
      <c r="J114" s="1691">
        <f t="shared" si="13"/>
        <v>0</v>
      </c>
      <c r="K114" s="1691">
        <f t="shared" si="13"/>
        <v>6724924</v>
      </c>
      <c r="L114" s="1691">
        <f>SUM(L33,L74,L75,L102,L112,L113)</f>
        <v>7107582</v>
      </c>
    </row>
    <row r="115" spans="1:14" ht="13.5" thickTop="1" x14ac:dyDescent="0.2">
      <c r="A115" s="2303" t="s">
        <v>1053</v>
      </c>
      <c r="B115" s="2304"/>
      <c r="C115" s="619"/>
      <c r="D115" s="619"/>
      <c r="E115" s="619"/>
      <c r="F115" s="619"/>
      <c r="G115" s="619"/>
      <c r="H115" s="619"/>
      <c r="I115" s="619"/>
      <c r="J115" s="619"/>
      <c r="K115" s="1705">
        <f>'Revenues 9-14'!C275-'Expenditures 15-22'!K114</f>
        <v>71565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81" t="s">
        <v>314</v>
      </c>
      <c r="B117" s="2282"/>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25500</v>
      </c>
      <c r="D124" s="466">
        <v>11251</v>
      </c>
      <c r="E124" s="466">
        <v>191513</v>
      </c>
      <c r="F124" s="466">
        <v>35513</v>
      </c>
      <c r="G124" s="466">
        <v>5759</v>
      </c>
      <c r="H124" s="466"/>
      <c r="I124" s="467"/>
      <c r="J124" s="467"/>
      <c r="K124" s="1691">
        <f>SUM(C124:J124)</f>
        <v>269536</v>
      </c>
      <c r="L124" s="466">
        <v>110189</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25500</v>
      </c>
      <c r="D127" s="1691">
        <f t="shared" ref="D127:L127" si="14">SUM(D122:D126)</f>
        <v>11251</v>
      </c>
      <c r="E127" s="1691">
        <f t="shared" si="14"/>
        <v>191513</v>
      </c>
      <c r="F127" s="1691">
        <f t="shared" si="14"/>
        <v>35513</v>
      </c>
      <c r="G127" s="1691">
        <f t="shared" si="14"/>
        <v>5759</v>
      </c>
      <c r="H127" s="1691">
        <f t="shared" si="14"/>
        <v>0</v>
      </c>
      <c r="I127" s="1691">
        <f t="shared" si="14"/>
        <v>0</v>
      </c>
      <c r="J127" s="1691">
        <f t="shared" si="14"/>
        <v>0</v>
      </c>
      <c r="K127" s="1691">
        <f t="shared" si="14"/>
        <v>269536</v>
      </c>
      <c r="L127" s="1691">
        <f t="shared" si="14"/>
        <v>110189</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25500</v>
      </c>
      <c r="D129" s="1698">
        <f t="shared" ref="D129:L129" si="15">SUM(D120,D127,D128)</f>
        <v>11251</v>
      </c>
      <c r="E129" s="1698">
        <f t="shared" si="15"/>
        <v>191513</v>
      </c>
      <c r="F129" s="1698">
        <f t="shared" si="15"/>
        <v>35513</v>
      </c>
      <c r="G129" s="1698">
        <f t="shared" si="15"/>
        <v>5759</v>
      </c>
      <c r="H129" s="1698">
        <f t="shared" si="15"/>
        <v>0</v>
      </c>
      <c r="I129" s="1698">
        <f t="shared" si="15"/>
        <v>0</v>
      </c>
      <c r="J129" s="1698">
        <f t="shared" si="15"/>
        <v>0</v>
      </c>
      <c r="K129" s="1698">
        <f t="shared" si="15"/>
        <v>269536</v>
      </c>
      <c r="L129" s="1698">
        <f t="shared" si="15"/>
        <v>110189</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1954</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93" t="s">
        <v>641</v>
      </c>
      <c r="B151" s="2275"/>
      <c r="C151" s="1691">
        <f>SUM(C129,C130,C139,C149,C150)</f>
        <v>25500</v>
      </c>
      <c r="D151" s="1691">
        <f t="shared" ref="D151:K151" si="16">SUM(D129,D130,D139,D149,D150)</f>
        <v>11251</v>
      </c>
      <c r="E151" s="1691">
        <f t="shared" si="16"/>
        <v>191513</v>
      </c>
      <c r="F151" s="1691">
        <f t="shared" si="16"/>
        <v>35513</v>
      </c>
      <c r="G151" s="1691">
        <f t="shared" si="16"/>
        <v>5759</v>
      </c>
      <c r="H151" s="1691">
        <f t="shared" si="16"/>
        <v>0</v>
      </c>
      <c r="I151" s="1691">
        <f t="shared" si="16"/>
        <v>0</v>
      </c>
      <c r="J151" s="1691">
        <f t="shared" si="16"/>
        <v>0</v>
      </c>
      <c r="K151" s="1691">
        <f t="shared" si="16"/>
        <v>269536</v>
      </c>
      <c r="L151" s="1691">
        <f>SUM(L129,L130,L139,L149,L150)</f>
        <v>110189</v>
      </c>
    </row>
    <row r="152" spans="1:14" ht="12.75" customHeight="1" thickTop="1" x14ac:dyDescent="0.2">
      <c r="A152" s="2296" t="s">
        <v>1240</v>
      </c>
      <c r="B152" s="2297"/>
      <c r="C152" s="619"/>
      <c r="D152" s="619"/>
      <c r="E152" s="619"/>
      <c r="F152" s="619"/>
      <c r="G152" s="619"/>
      <c r="H152" s="619"/>
      <c r="I152" s="619"/>
      <c r="J152" s="617"/>
      <c r="K152" s="1705">
        <f>'Revenues 9-14'!D275-'Expenditures 15-22'!K151</f>
        <v>1644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81" t="s">
        <v>642</v>
      </c>
      <c r="B154" s="2283"/>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1955</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1954</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1956</v>
      </c>
      <c r="C158" s="617"/>
      <c r="D158" s="617"/>
      <c r="E158" s="617"/>
      <c r="F158" s="617"/>
      <c r="G158" s="617"/>
      <c r="H158" s="467"/>
      <c r="I158" s="617"/>
      <c r="J158" s="617"/>
      <c r="K158" s="1692">
        <f>H158</f>
        <v>0</v>
      </c>
      <c r="L158" s="467"/>
      <c r="M158" s="620"/>
      <c r="N158" s="620"/>
    </row>
    <row r="159" spans="1:14" s="621" customFormat="1" ht="12" x14ac:dyDescent="0.2">
      <c r="A159" s="1848" t="s">
        <v>1957</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1958</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303" t="s">
        <v>1053</v>
      </c>
      <c r="B175" s="2304"/>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v>7912</v>
      </c>
      <c r="F182" s="466">
        <v>4397</v>
      </c>
      <c r="G182" s="466"/>
      <c r="H182" s="466"/>
      <c r="I182" s="467"/>
      <c r="J182" s="467"/>
      <c r="K182" s="1692">
        <f>SUM(C182:J182)</f>
        <v>12309</v>
      </c>
      <c r="L182" s="466">
        <v>15544</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0</v>
      </c>
      <c r="D184" s="1698">
        <f t="shared" ref="D184:J184" si="17">SUM(D180,D182,D183)</f>
        <v>0</v>
      </c>
      <c r="E184" s="1698">
        <f t="shared" si="17"/>
        <v>7912</v>
      </c>
      <c r="F184" s="1698">
        <f t="shared" si="17"/>
        <v>4397</v>
      </c>
      <c r="G184" s="1698">
        <f t="shared" si="17"/>
        <v>0</v>
      </c>
      <c r="H184" s="1698">
        <f t="shared" si="17"/>
        <v>0</v>
      </c>
      <c r="I184" s="1698">
        <f t="shared" si="17"/>
        <v>0</v>
      </c>
      <c r="J184" s="1698">
        <f t="shared" si="17"/>
        <v>0</v>
      </c>
      <c r="K184" s="1698">
        <f>SUM(K180,K182,K183)</f>
        <v>12309</v>
      </c>
      <c r="L184" s="1698">
        <f>SUM(L180, L182:L183)</f>
        <v>15544</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1000</v>
      </c>
    </row>
    <row r="210" spans="1:14" ht="12.75" customHeight="1" thickTop="1" thickBot="1" x14ac:dyDescent="0.25">
      <c r="A210" s="1713" t="s">
        <v>295</v>
      </c>
      <c r="B210" s="1714"/>
      <c r="C210" s="1691">
        <f>SUM(C184,C185)</f>
        <v>0</v>
      </c>
      <c r="D210" s="1691">
        <f>SUM(D184,D185)</f>
        <v>0</v>
      </c>
      <c r="E210" s="1691">
        <f>SUM(E184,E185,E196)</f>
        <v>7912</v>
      </c>
      <c r="F210" s="1691">
        <f>SUM(F184,F185)</f>
        <v>4397</v>
      </c>
      <c r="G210" s="1691">
        <f>SUM(G184,G185)</f>
        <v>0</v>
      </c>
      <c r="H210" s="1691">
        <f>SUM(H184,H185,H196,H208,H209)</f>
        <v>0</v>
      </c>
      <c r="I210" s="1691">
        <f>SUM(I184,I185)</f>
        <v>0</v>
      </c>
      <c r="J210" s="1691">
        <f>SUM(J184,J185)</f>
        <v>0</v>
      </c>
      <c r="K210" s="1692">
        <f>SUM(K184,K185,K196,K208,K209)</f>
        <v>12309</v>
      </c>
      <c r="L210" s="1691">
        <f>SUM(L184,L185,L196,L208,L209)</f>
        <v>16544</v>
      </c>
    </row>
    <row r="211" spans="1:14" ht="13.5" thickTop="1" x14ac:dyDescent="0.2">
      <c r="A211" s="2303" t="s">
        <v>1053</v>
      </c>
      <c r="B211" s="2304"/>
      <c r="C211" s="619"/>
      <c r="D211" s="619"/>
      <c r="E211" s="619"/>
      <c r="F211" s="619"/>
      <c r="G211" s="619"/>
      <c r="H211" s="619"/>
      <c r="I211" s="617"/>
      <c r="J211" s="617"/>
      <c r="K211" s="1705">
        <f>'Revenues 9-14'!F275-'Expenditures 15-22'!K210</f>
        <v>-242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98" t="s">
        <v>1022</v>
      </c>
      <c r="B213" s="2299"/>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c r="E215" s="617"/>
      <c r="F215" s="617"/>
      <c r="G215" s="617"/>
      <c r="H215" s="617"/>
      <c r="I215" s="617"/>
      <c r="J215" s="617"/>
      <c r="K215" s="1692">
        <f>D215</f>
        <v>0</v>
      </c>
      <c r="L215" s="466"/>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c r="E217" s="617"/>
      <c r="F217" s="617"/>
      <c r="G217" s="617"/>
      <c r="H217" s="617"/>
      <c r="I217" s="617"/>
      <c r="J217" s="617"/>
      <c r="K217" s="1692">
        <f t="shared" si="19"/>
        <v>0</v>
      </c>
      <c r="L217" s="466"/>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c r="E219" s="617"/>
      <c r="F219" s="617"/>
      <c r="G219" s="617"/>
      <c r="H219" s="617"/>
      <c r="I219" s="617"/>
      <c r="J219" s="617"/>
      <c r="K219" s="1692">
        <f t="shared" si="19"/>
        <v>0</v>
      </c>
      <c r="L219" s="466"/>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c r="E223" s="617"/>
      <c r="F223" s="617"/>
      <c r="G223" s="617"/>
      <c r="H223" s="617"/>
      <c r="I223" s="617"/>
      <c r="J223" s="617"/>
      <c r="K223" s="1692">
        <f t="shared" si="19"/>
        <v>0</v>
      </c>
      <c r="L223" s="466"/>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0</v>
      </c>
      <c r="E229" s="617"/>
      <c r="F229" s="617"/>
      <c r="G229" s="617"/>
      <c r="H229" s="617"/>
      <c r="I229" s="617"/>
      <c r="J229" s="617"/>
      <c r="K229" s="1691">
        <f>SUM(K215:K228)</f>
        <v>0</v>
      </c>
      <c r="L229" s="1691">
        <f>SUM(L215:L228)</f>
        <v>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c r="E233" s="617"/>
      <c r="F233" s="617"/>
      <c r="G233" s="617"/>
      <c r="H233" s="617"/>
      <c r="I233" s="617"/>
      <c r="J233" s="617"/>
      <c r="K233" s="1692">
        <f t="shared" si="20"/>
        <v>0</v>
      </c>
      <c r="L233" s="466"/>
    </row>
    <row r="234" spans="1:12" x14ac:dyDescent="0.2">
      <c r="A234" s="1525" t="s">
        <v>207</v>
      </c>
      <c r="B234" s="615">
        <v>2130</v>
      </c>
      <c r="C234" s="617"/>
      <c r="D234" s="466"/>
      <c r="E234" s="617"/>
      <c r="F234" s="617"/>
      <c r="G234" s="617"/>
      <c r="H234" s="617"/>
      <c r="I234" s="617"/>
      <c r="J234" s="617"/>
      <c r="K234" s="1692">
        <f t="shared" si="20"/>
        <v>0</v>
      </c>
      <c r="L234" s="466"/>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c r="E241" s="617"/>
      <c r="F241" s="617"/>
      <c r="G241" s="617"/>
      <c r="H241" s="617"/>
      <c r="I241" s="617"/>
      <c r="J241" s="617"/>
      <c r="K241" s="1693">
        <f>D241</f>
        <v>0</v>
      </c>
      <c r="L241" s="466"/>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c r="E246" s="617"/>
      <c r="F246" s="617"/>
      <c r="G246" s="617"/>
      <c r="H246" s="617"/>
      <c r="I246" s="617"/>
      <c r="J246" s="617"/>
      <c r="K246" s="1693">
        <f t="shared" ref="K246:K256" si="21">D246</f>
        <v>0</v>
      </c>
      <c r="L246" s="466"/>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1905</v>
      </c>
      <c r="B249" s="684" t="s">
        <v>300</v>
      </c>
      <c r="C249" s="617"/>
      <c r="D249" s="474"/>
      <c r="E249" s="617"/>
      <c r="F249" s="617"/>
      <c r="G249" s="617"/>
      <c r="H249" s="617"/>
      <c r="I249" s="617"/>
      <c r="J249" s="617"/>
      <c r="K249" s="1693">
        <f t="shared" si="21"/>
        <v>0</v>
      </c>
      <c r="L249" s="466"/>
    </row>
    <row r="250" spans="1:12" x14ac:dyDescent="0.2">
      <c r="A250" s="1526" t="s">
        <v>1906</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0</v>
      </c>
      <c r="E257" s="617"/>
      <c r="F257" s="617"/>
      <c r="G257" s="617"/>
      <c r="H257" s="617"/>
      <c r="I257" s="617"/>
      <c r="J257" s="617"/>
      <c r="K257" s="1691">
        <f>SUM(K245:K256)</f>
        <v>0</v>
      </c>
      <c r="L257" s="169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c r="E259" s="617"/>
      <c r="F259" s="617"/>
      <c r="G259" s="617"/>
      <c r="H259" s="617"/>
      <c r="I259" s="617"/>
      <c r="J259" s="617"/>
      <c r="K259" s="1693">
        <f>D259</f>
        <v>0</v>
      </c>
      <c r="L259" s="481"/>
    </row>
    <row r="260" spans="1:14" s="598" customFormat="1" x14ac:dyDescent="0.2">
      <c r="A260" s="1543" t="s">
        <v>1904</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c r="E264" s="617"/>
      <c r="F264" s="617"/>
      <c r="G264" s="617"/>
      <c r="H264" s="617"/>
      <c r="I264" s="617"/>
      <c r="J264" s="617"/>
      <c r="K264" s="1693">
        <f t="shared" ref="K264:K269" si="22">D264</f>
        <v>0</v>
      </c>
      <c r="L264" s="466"/>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c r="E266" s="617"/>
      <c r="F266" s="617"/>
      <c r="G266" s="617"/>
      <c r="H266" s="617"/>
      <c r="I266" s="617"/>
      <c r="J266" s="617"/>
      <c r="K266" s="1693">
        <f t="shared" si="22"/>
        <v>0</v>
      </c>
      <c r="L266" s="466"/>
    </row>
    <row r="267" spans="1:14" x14ac:dyDescent="0.2">
      <c r="A267" s="1525" t="s">
        <v>1010</v>
      </c>
      <c r="B267" s="615">
        <v>2550</v>
      </c>
      <c r="C267" s="617"/>
      <c r="D267" s="466"/>
      <c r="E267" s="617"/>
      <c r="F267" s="617"/>
      <c r="G267" s="617"/>
      <c r="H267" s="617"/>
      <c r="I267" s="617"/>
      <c r="J267" s="617"/>
      <c r="K267" s="1693">
        <f t="shared" si="22"/>
        <v>0</v>
      </c>
      <c r="L267" s="466"/>
    </row>
    <row r="268" spans="1:14" x14ac:dyDescent="0.2">
      <c r="A268" s="1525" t="s">
        <v>102</v>
      </c>
      <c r="B268" s="615">
        <v>2560</v>
      </c>
      <c r="C268" s="617"/>
      <c r="D268" s="466"/>
      <c r="E268" s="617"/>
      <c r="F268" s="617"/>
      <c r="G268" s="617"/>
      <c r="H268" s="617"/>
      <c r="I268" s="617"/>
      <c r="J268" s="617"/>
      <c r="K268" s="1693">
        <f t="shared" si="22"/>
        <v>0</v>
      </c>
      <c r="L268" s="466"/>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0</v>
      </c>
      <c r="E270" s="617"/>
      <c r="F270" s="617"/>
      <c r="G270" s="617"/>
      <c r="H270" s="617"/>
      <c r="I270" s="617"/>
      <c r="J270" s="617"/>
      <c r="K270" s="1691">
        <f>SUM(K263:K269)</f>
        <v>0</v>
      </c>
      <c r="L270" s="169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0</v>
      </c>
      <c r="E279" s="617"/>
      <c r="F279" s="617"/>
      <c r="G279" s="617"/>
      <c r="H279" s="617"/>
      <c r="I279" s="617"/>
      <c r="J279" s="617"/>
      <c r="K279" s="1698">
        <f>SUM(K238,K243,K257,K261,K270,K277,K278)</f>
        <v>0</v>
      </c>
      <c r="L279" s="1698">
        <f>SUM(L238,L243,L257,L261,L270,L277,L278)</f>
        <v>0</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1954</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94" t="s">
        <v>526</v>
      </c>
      <c r="B295" s="2295"/>
      <c r="C295" s="617"/>
      <c r="D295" s="1691">
        <f>SUM(D229,D279,D280,D285)</f>
        <v>0</v>
      </c>
      <c r="E295" s="617"/>
      <c r="F295" s="617"/>
      <c r="G295" s="617"/>
      <c r="H295" s="1691">
        <f>H293</f>
        <v>0</v>
      </c>
      <c r="I295" s="617"/>
      <c r="J295" s="617"/>
      <c r="K295" s="1691">
        <f>SUM(K229,K279,K280,K285,K293,K294)</f>
        <v>0</v>
      </c>
      <c r="L295" s="1691">
        <f>SUM(L229,L279,L280,L285,L293,L294)</f>
        <v>0</v>
      </c>
    </row>
    <row r="296" spans="1:14" ht="13.5" thickTop="1" x14ac:dyDescent="0.2">
      <c r="A296" s="2303" t="s">
        <v>1053</v>
      </c>
      <c r="B296" s="2304"/>
      <c r="C296" s="617"/>
      <c r="D296" s="619"/>
      <c r="E296" s="617"/>
      <c r="F296" s="617"/>
      <c r="G296" s="617"/>
      <c r="H296" s="688"/>
      <c r="I296" s="617"/>
      <c r="J296" s="617"/>
      <c r="K296" s="170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86" t="s">
        <v>145</v>
      </c>
      <c r="B298" s="2280"/>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1959</v>
      </c>
      <c r="B306" s="691" t="s">
        <v>1954</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91" t="s">
        <v>295</v>
      </c>
      <c r="B312" s="2292"/>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287" t="s">
        <v>1053</v>
      </c>
      <c r="B313" s="2288"/>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300" t="s">
        <v>151</v>
      </c>
      <c r="B315" s="2301"/>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302" t="s">
        <v>954</v>
      </c>
      <c r="B317" s="2301"/>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1905</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1960</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1954</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1956</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1961</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289" t="s">
        <v>1053</v>
      </c>
      <c r="B343" s="2290"/>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79" t="s">
        <v>1023</v>
      </c>
      <c r="B345" s="2280"/>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1962</v>
      </c>
      <c r="B354" s="684" t="s">
        <v>1954</v>
      </c>
      <c r="C354" s="617"/>
      <c r="D354" s="617"/>
      <c r="E354" s="617"/>
      <c r="F354" s="617"/>
      <c r="G354" s="617"/>
      <c r="H354" s="474"/>
      <c r="I354" s="702"/>
      <c r="J354" s="617"/>
      <c r="K354" s="1720">
        <f>H354</f>
        <v>0</v>
      </c>
      <c r="L354" s="471"/>
    </row>
    <row r="355" spans="1:14" ht="12.75" customHeight="1" x14ac:dyDescent="0.2">
      <c r="A355" s="1534" t="s">
        <v>1963</v>
      </c>
      <c r="B355" s="691" t="s">
        <v>1956</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303" t="s">
        <v>1053</v>
      </c>
      <c r="B368" s="2304"/>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dcmitype/"/>
    <ds:schemaRef ds:uri="http://purl.org/dc/elements/1.1/"/>
    <ds:schemaRef ds:uri="d21dc803-237d-4c68-8692-8d731fd29118"/>
    <ds:schemaRef ds:uri="http://www.w3.org/XML/1998/namespace"/>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24</vt:i4>
      </vt:variant>
    </vt:vector>
  </HeadingPairs>
  <TitlesOfParts>
    <vt:vector size="6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 (2)</vt:lpstr>
      <vt:lpstr>SEFA NOTES</vt:lpstr>
      <vt:lpstr> SEFA</vt:lpstr>
      <vt:lpstr> SEFA (2)</vt:lpstr>
      <vt:lpstr> SEFA (3)</vt:lpstr>
      <vt:lpstr> SEFA (4)</vt:lpstr>
      <vt:lpstr>SF&amp;QC Sec-1</vt:lpstr>
      <vt:lpstr>SF&amp;QC Sec-2 2018-001</vt:lpstr>
      <vt:lpstr>SF&amp;QC Sec-3 2018-002a</vt:lpstr>
      <vt:lpstr>SF&amp;QC Sec-3 2018-002b</vt:lpstr>
      <vt:lpstr>SF&amp;QC Sec-3 2018-003a</vt:lpstr>
      <vt:lpstr>SF&amp;QC Sec-3 2018-003b</vt:lpstr>
      <vt:lpstr>SSPAF</vt:lpstr>
      <vt:lpstr>' SEFA'!Print_Area</vt:lpstr>
      <vt:lpstr>' SEFA (2)'!Print_Area</vt:lpstr>
      <vt:lpstr>' SEFA (3)'!Print_Area</vt:lpstr>
      <vt:lpstr>' SEFA (4)'!Print_Area</vt:lpstr>
      <vt:lpstr>'SEFA NOTES'!Print_Area</vt:lpstr>
      <vt:lpstr>'SEFA NOTES (2)'!Print_Area</vt:lpstr>
      <vt:lpstr>'SEFA Reconcile'!Print_Area</vt:lpstr>
      <vt:lpstr>'SF&amp;QC Sec-1'!Print_Area</vt:lpstr>
      <vt:lpstr>'SF&amp;QC Sec-3 2018-002a'!Print_Area</vt:lpstr>
      <vt:lpstr>'SF&amp;QC Sec-3 2018-002b'!Print_Area</vt:lpstr>
      <vt:lpstr>'SF&amp;QC Sec-3 2018-003a'!Print_Area</vt:lpstr>
      <vt:lpstr>'SF&amp;QC Sec-3 2018-003b'!Print_Area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2018-11-06T15:00:51Z</cp:lastPrinted>
  <dcterms:created xsi:type="dcterms:W3CDTF">2003-10-29T19:06:34Z</dcterms:created>
  <dcterms:modified xsi:type="dcterms:W3CDTF">2018-11-19T21:22:24Z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OGLE COUNTY EDUCATIONAL COOPERATIVE</vt:lpwstr>
  </property>
  <property fmtid="{D5CDD505-2E9C-101B-9397-08002B2CF9AE}" pid="6" name="PPC_Template_Engagement_Date">
    <vt:lpwstr>6/30/2018</vt:lpwstr>
  </property>
</Properties>
</file>