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0" yWindow="0" windowWidth="28800" windowHeight="1242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 SEFA" sheetId="179" r:id="rId28"/>
    <sheet name=" SEFA (2)" sheetId="183"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7">' SEFA'!$B$1:$M$46</definedName>
    <definedName name="_xlnm.Print_Area" localSheetId="28">' SEFA (2)'!$B$1:$M$46</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28">#REF!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28">#REF!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28">#REF!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28">#REF!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c r="B2" i="179" l="1"/>
  <c r="B2" i="183"/>
  <c r="B2" i="177"/>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82" i="36"/>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c r="B5117" i="106"/>
  <c r="D5117" i="106"/>
  <c r="B5118" i="106"/>
  <c r="D5118" i="106"/>
  <c r="B5119" i="106"/>
  <c r="D5119" i="106" s="1"/>
  <c r="B5122" i="106"/>
  <c r="D5122" i="106" s="1"/>
  <c r="B5123" i="106"/>
  <c r="D5123" i="106" s="1"/>
  <c r="B5124" i="106"/>
  <c r="D5124" i="106" s="1"/>
  <c r="B5126" i="106"/>
  <c r="D5126" i="106" s="1"/>
  <c r="B5127" i="106"/>
  <c r="D5127" i="106"/>
  <c r="D5128" i="106"/>
  <c r="D5129" i="106"/>
  <c r="D5130" i="106"/>
  <c r="D5131" i="106"/>
  <c r="B5133" i="106"/>
  <c r="D5133" i="106"/>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E27" i="108"/>
  <c r="G27" i="108"/>
  <c r="E28" i="108"/>
  <c r="F31" i="108"/>
  <c r="F36" i="108"/>
  <c r="F37" i="108"/>
  <c r="G28" i="108"/>
  <c r="E29" i="108"/>
  <c r="G29"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F35" i="34"/>
  <c r="C36" i="34"/>
  <c r="D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c r="D5066" i="106" s="1"/>
  <c r="D12" i="5"/>
  <c r="B5334" i="106"/>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C109" i="5"/>
  <c r="B5121" i="106" s="1"/>
  <c r="D5121" i="106" s="1"/>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F128" i="34" s="1"/>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14" i="4"/>
  <c r="B2609" i="106" s="1"/>
  <c r="D2609" i="106" s="1"/>
  <c r="F13" i="4"/>
  <c r="B2596" i="106" s="1"/>
  <c r="D2596"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5" i="7"/>
  <c r="B1761" i="106" s="1"/>
  <c r="D1761" i="106" s="1"/>
  <c r="D13" i="7"/>
  <c r="B3726" i="106" s="1"/>
  <c r="D3726" i="106" s="1"/>
  <c r="D9" i="7"/>
  <c r="B1767" i="106" s="1"/>
  <c r="D1767" i="106" s="1"/>
  <c r="F136" i="34"/>
  <c r="F130" i="34"/>
  <c r="F127" i="34"/>
  <c r="B5847" i="106"/>
  <c r="D5847" i="106" s="1"/>
  <c r="B5752" i="106"/>
  <c r="D5752" i="106" s="1"/>
  <c r="B5599" i="106"/>
  <c r="D5599" i="106" s="1"/>
  <c r="K274" i="5"/>
  <c r="H173" i="5"/>
  <c r="B5906" i="106" s="1"/>
  <c r="D5906" i="106" s="1"/>
  <c r="C172" i="5"/>
  <c r="B5214" i="106" s="1"/>
  <c r="D5214" i="106" s="1"/>
  <c r="H109" i="5"/>
  <c r="B6025" i="106" s="1"/>
  <c r="D6025" i="106" s="1"/>
  <c r="D109" i="5"/>
  <c r="B5356" i="106" s="1"/>
  <c r="D5356" i="106" s="1"/>
  <c r="F106" i="34"/>
  <c r="D7" i="7"/>
  <c r="B1763" i="106" s="1"/>
  <c r="D1763" i="106" s="1"/>
  <c r="H4" i="4"/>
  <c r="D4" i="4"/>
  <c r="B2564" i="106" s="1"/>
  <c r="D2564" i="106" s="1"/>
  <c r="H6" i="4"/>
  <c r="B2656" i="106" s="1"/>
  <c r="D2656" i="106" s="1"/>
  <c r="B2655" i="106"/>
  <c r="D2655" i="106" s="1"/>
  <c r="D17" i="7"/>
  <c r="B4104" i="106" s="1"/>
  <c r="D4104" i="106" s="1"/>
  <c r="D11" i="7"/>
  <c r="B1768" i="106" s="1"/>
  <c r="D1768" i="106" s="1"/>
  <c r="D15" i="7"/>
  <c r="B1772" i="106" s="1"/>
  <c r="D1772" i="106" s="1"/>
  <c r="K173" i="5" l="1"/>
  <c r="K6" i="4" s="1"/>
  <c r="B3570" i="106" s="1"/>
  <c r="D3570" i="106" s="1"/>
  <c r="D12" i="7"/>
  <c r="B1769" i="106" s="1"/>
  <c r="D1769" i="106" s="1"/>
  <c r="B1746" i="106"/>
  <c r="D1746" i="106" s="1"/>
  <c r="G4" i="4"/>
  <c r="B2603" i="106" s="1"/>
  <c r="D2603" i="106" s="1"/>
  <c r="F111" i="34"/>
  <c r="F131" i="34"/>
  <c r="B5770" i="106"/>
  <c r="D5770" i="106" s="1"/>
  <c r="D4" i="7"/>
  <c r="B1760" i="106" s="1"/>
  <c r="D1760" i="106" s="1"/>
  <c r="G5" i="4"/>
  <c r="B3409" i="106" s="1"/>
  <c r="D3409" i="106" s="1"/>
  <c r="I173" i="5"/>
  <c r="B4216" i="106" s="1"/>
  <c r="D4216" i="106" s="1"/>
  <c r="E109" i="5"/>
  <c r="E4" i="4" s="1"/>
  <c r="B2630" i="106" s="1"/>
  <c r="D2630" i="106" s="1"/>
  <c r="L367" i="29"/>
  <c r="F36" i="34"/>
  <c r="F34" i="34"/>
  <c r="B7235" i="106"/>
  <c r="D7235" i="106" s="1"/>
  <c r="B3669" i="106"/>
  <c r="D3669" i="106" s="1"/>
  <c r="K350" i="29"/>
  <c r="B3649" i="106"/>
  <c r="D3649" i="106" s="1"/>
  <c r="G367" i="29"/>
  <c r="B3621" i="106"/>
  <c r="D3621" i="106" s="1"/>
  <c r="C367" i="29"/>
  <c r="K24" i="12"/>
  <c r="K76" i="4"/>
  <c r="B3586" i="106" s="1"/>
  <c r="D3586" i="106" s="1"/>
  <c r="K285" i="29"/>
  <c r="B1410" i="106"/>
  <c r="D1410" i="106" s="1"/>
  <c r="G210" i="29"/>
  <c r="B1329" i="106"/>
  <c r="D1329" i="106" s="1"/>
  <c r="F61" i="34"/>
  <c r="L13" i="11"/>
  <c r="B2060" i="106" s="1"/>
  <c r="D2060" i="106" s="1"/>
  <c r="E30" i="108"/>
  <c r="F28" i="108"/>
  <c r="F27" i="108"/>
  <c r="C173" i="5"/>
  <c r="B5223" i="106" s="1"/>
  <c r="D5223"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2"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F275" i="5"/>
  <c r="J7" i="4"/>
  <c r="B2657" i="106"/>
  <c r="D2657" i="106" s="1"/>
  <c r="H8" i="4"/>
  <c r="D274" i="5"/>
  <c r="B3447" i="106"/>
  <c r="D3447" i="106" s="1"/>
  <c r="D19" i="7"/>
  <c r="B1775" i="106" s="1"/>
  <c r="D1775" i="106" s="1"/>
  <c r="B7270" i="106"/>
  <c r="D7250" i="106" l="1"/>
  <c r="B1365" i="106"/>
  <c r="D1365" i="106" s="1"/>
  <c r="F65" i="34"/>
  <c r="B7733" i="106"/>
  <c r="D7733" i="106" s="1"/>
  <c r="K26" i="12"/>
  <c r="B7743" i="106" s="1"/>
  <c r="D7743" i="106" s="1"/>
  <c r="F73" i="34"/>
  <c r="G15" i="4"/>
  <c r="B6032" i="106" s="1"/>
  <c r="D6032" i="106" s="1"/>
  <c r="H367" i="29"/>
  <c r="B3660" i="106" s="1"/>
  <c r="D3660" i="106" s="1"/>
  <c r="B3670" i="106"/>
  <c r="D3670" i="106" s="1"/>
  <c r="K352" i="29"/>
  <c r="K367" i="29" s="1"/>
  <c r="L16" i="11"/>
  <c r="B2061" i="106" s="1"/>
  <c r="D2061" i="106" s="1"/>
  <c r="L114" i="29"/>
  <c r="C114" i="29"/>
  <c r="B757" i="106" s="1"/>
  <c r="D757" i="106" s="1"/>
  <c r="C6" i="4"/>
  <c r="B2553" i="106" s="1"/>
  <c r="D2553"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B2658" i="106"/>
  <c r="D2658" i="106" s="1"/>
  <c r="H10" i="4"/>
  <c r="B4127" i="106" s="1"/>
  <c r="D4127" i="106" s="1"/>
  <c r="D7" i="4"/>
  <c r="D275" i="5"/>
  <c r="B5507" i="106"/>
  <c r="D5507" i="106" s="1"/>
  <c r="B7298" i="106"/>
  <c r="B7299" i="106"/>
  <c r="K13" i="4" l="1"/>
  <c r="B3572" i="106" s="1"/>
  <c r="D3572" i="106" s="1"/>
  <c r="B3672" i="106"/>
  <c r="D3672" i="106" s="1"/>
  <c r="G41" i="108"/>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<sst xmlns="http://schemas.openxmlformats.org/spreadsheetml/2006/main" count="5134" uniqueCount="2147">
  <si>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</si>
  <si>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</si>
  <si>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</si>
  <si>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</si>
  <si>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</si>
  <si>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</si>
  <si>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</si>
  <si>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</si>
  <si>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</si>
  <si>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</si>
  <si>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</si>
  <si>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</si>
  <si>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</si>
  <si>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</si>
  <si>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</si>
  <si>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</si>
  <si>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</si>
  <si>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</si>
  <si>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</si>
  <si>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</si>
  <si>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</si>
  <si>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</si>
  <si>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</si>
  <si>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</si>
  <si>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</si>
  <si>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</si>
  <si>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</si>
  <si>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</si>
  <si>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</si>
  <si>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</si>
  <si>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</si>
  <si>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</si>
  <si>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</si>
  <si>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</si>
  <si>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</si>
  <si>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</si>
  <si>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</si>
  <si>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</si>
  <si>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</si>
  <si>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</si>
  <si>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</si>
  <si>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</si>
  <si>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</si>
  <si>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</si>
  <si>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</si>
  <si>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</si>
  <si>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</si>
  <si>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</si>
  <si>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</si>
  <si>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</si>
  <si>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</si>
  <si>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</si>
  <si>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</si>
  <si>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</si>
  <si>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</si>
  <si>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</si>
  <si>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</si>
  <si>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</si>
  <si>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</si>
  <si>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</si>
  <si>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</si>
  <si>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</si>
  <si>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</si>
  <si>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</si>
  <si>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</si>
  <si>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</si>
  <si>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</si>
  <si>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</si>
  <si>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</si>
  <si>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</si>
  <si>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</si>
  <si>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</si>
  <si>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</si>
  <si>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</si>
  <si>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</si>
  <si>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</si>
  <si>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</si>
  <si>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</si>
  <si>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</si>
  <si>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</si>
  <si>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</si>
  <si>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</si>
  <si>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</si>
  <si>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</si>
  <si>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</si>
  <si>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</si>
  <si>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</si>
  <si>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</si>
  <si>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</si>
  <si>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</si>
  <si>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</si>
  <si>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</si>
  <si>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</si>
  <si>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</si>
  <si>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</si>
  <si>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</si>
  <si>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</si>
  <si>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</si>
  <si>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</si>
  <si>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</si>
  <si>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</si>
  <si>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</si>
  <si>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</si>
  <si>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</si>
  <si>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</si>
  <si>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</si>
  <si>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</si>
  <si>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</si>
  <si>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</si>
  <si>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</si>
  <si>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</si>
  <si>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</si>
  <si>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</si>
  <si>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</si>
  <si>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</si>
  <si>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</si>
  <si>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</si>
  <si>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</si>
  <si>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</si>
  <si>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</si>
  <si>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</si>
  <si>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</si>
  <si>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</si>
  <si>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</si>
  <si>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</si>
  <si>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</si>
  <si>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</si>
  <si>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</si>
  <si>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</si>
  <si>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</si>
  <si>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</si>
  <si>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</si>
  <si>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</si>
  <si>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</si>
  <si>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</si>
  <si>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</si>
  <si>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</si>
  <si>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</si>
  <si>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</si>
  <si>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</si>
  <si>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</si>
  <si>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</si>
  <si>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</si>
  <si>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</si>
  <si>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</si>
  <si>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</si>
  <si>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</si>
  <si>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</si>
  <si>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</si>
  <si>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</si>
  <si>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</si>
  <si>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</si>
  <si>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</si>
  <si>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</si>
  <si>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</si>
  <si>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</si>
  <si>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</si>
  <si>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</si>
  <si>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</si>
  <si>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</si>
  <si>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</si>
  <si>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</si>
  <si>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</si>
  <si>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</si>
  <si>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</si>
  <si>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</si>
  <si>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</si>
  <si>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</si>
  <si>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</si>
  <si>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</si>
  <si>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</si>
  <si>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</si>
  <si>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</si>
  <si>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</si>
  <si>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</si>
  <si>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</si>
  <si>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</si>
  <si>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</si>
  <si>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</si>
  <si>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</si>
  <si>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</si>
  <si>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</si>
  <si>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</si>
  <si>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</si>
  <si>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</si>
  <si>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</si>
  <si>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</si>
  <si>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</si>
  <si>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</si>
  <si>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</si>
  <si>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</si>
  <si>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</si>
  <si>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</si>
  <si>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</si>
  <si>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</si>
  <si>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</si>
  <si>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</si>
  <si>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</si>
  <si>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</si>
  <si>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</si>
  <si>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</si>
  <si>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</si>
  <si>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</si>
  <si>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</si>
  <si>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</si>
  <si>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</si>
  <si>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</si>
  <si>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</si>
  <si>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</si>
  <si>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</si>
  <si>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</si>
  <si>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</si>
  <si>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</si>
  <si>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</si>
  <si>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</si>
  <si>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</si>
  <si>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</si>
  <si>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</si>
  <si>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</si>
  <si>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</si>
  <si>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</si>
  <si>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</si>
  <si>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</si>
  <si>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</si>
  <si>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</si>
  <si>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</si>
  <si>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</si>
  <si>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</si>
  <si>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</si>
  <si>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</si>
  <si>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</si>
  <si>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</si>
  <si>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</si>
  <si>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</si>
  <si>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</si>
  <si>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</si>
  <si>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</si>
  <si>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</si>
  <si>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</si>
  <si>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</si>
  <si>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</si>
  <si>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</si>
  <si>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</si>
  <si>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</si>
  <si>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</si>
  <si>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</si>
  <si>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</si>
  <si>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</si>
  <si>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</si>
  <si>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</si>
  <si>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</si>
  <si>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</si>
  <si>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</si>
  <si>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</si>
  <si>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</si>
  <si>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</si>
  <si>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</si>
  <si>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</si>
  <si>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</si>
  <si>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</si>
  <si>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</si>
  <si>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</si>
  <si>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</si>
  <si>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</si>
  <si>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</si>
  <si>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</si>
  <si>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</si>
  <si>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</si>
  <si>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</si>
  <si>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</si>
  <si>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</si>
  <si>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</si>
  <si>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</si>
  <si>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</si>
  <si>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</si>
  <si>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</si>
  <si>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</si>
  <si>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</si>
  <si>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</si>
  <si>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</si>
  <si>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</si>
  <si>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</si>
  <si>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</si>
  <si>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</si>
  <si>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</si>
  <si>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</si>
  <si>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</si>
  <si>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</si>
  <si>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</si>
  <si>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</si>
  <si>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</si>
  <si>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</si>
  <si>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</si>
  <si>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</si>
  <si>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</si>
  <si>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</si>
  <si>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</si>
  <si>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</si>
  <si>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</si>
  <si>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</si>
  <si>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</si>
  <si>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</si>
  <si>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</si>
  <si>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</si>
  <si>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</si>
  <si>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</si>
  <si>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</si>
  <si>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</si>
  <si>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</si>
  <si>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</si>
  <si>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</si>
  <si>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</si>
  <si>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</si>
  <si>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</si>
  <si>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</si>
  <si>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</si>
  <si>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</si>
  <si>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</si>
  <si>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</si>
  <si>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</si>
  <si>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</si>
  <si>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</si>
  <si>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</si>
  <si>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</si>
  <si>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</si>
  <si>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</si>
  <si>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</si>
  <si>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</si>
  <si>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</si>
  <si>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</si>
  <si>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</si>
  <si>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</si>
  <si>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</si>
  <si>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</si>
  <si>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</si>
  <si>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</si>
  <si>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</si>
  <si>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</si>
  <si>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</si>
  <si>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</si>
  <si>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</si>
  <si>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</si>
  <si>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</si>
  <si>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</si>
  <si>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</si>
  <si>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</si>
  <si>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</si>
  <si>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</si>
  <si>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</si>
  <si>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</si>
  <si>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</si>
  <si>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</si>
  <si>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</si>
  <si>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</si>
  <si>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</si>
  <si>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</si>
  <si>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</si>
  <si>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</si>
  <si>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</si>
  <si>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</si>
  <si>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</si>
  <si>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</si>
  <si>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</si>
  <si>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</si>
  <si>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</si>
  <si>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</si>
  <si>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</si>
  <si>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</si>
  <si>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</si>
  <si>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</si>
  <si>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</si>
  <si>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</si>
  <si>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</si>
  <si>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</si>
  <si>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</si>
  <si>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</si>
  <si>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</si>
  <si>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</si>
  <si>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</si>
  <si>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</si>
  <si>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</si>
  <si>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</si>
  <si>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</si>
  <si>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</si>
  <si>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</si>
  <si>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</si>
  <si>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</si>
  <si>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</si>
  <si>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</si>
  <si>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</si>
  <si>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</si>
  <si>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</si>
  <si>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</si>
  <si>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</si>
  <si>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</si>
  <si>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</si>
  <si>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</si>
  <si>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</si>
  <si>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</si>
  <si>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</si>
  <si>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</si>
  <si>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</si>
  <si>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</si>
  <si>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</si>
  <si>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</si>
  <si>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</si>
  <si>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</si>
  <si>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</si>
  <si>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</si>
  <si>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</si>
  <si>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</si>
  <si>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</si>
  <si>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</si>
  <si>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</si>
  <si>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</si>
  <si>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</si>
  <si>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</si>
  <si>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</si>
  <si>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</si>
  <si>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</si>
  <si>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</si>
  <si>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</si>
  <si>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</si>
  <si>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</si>
  <si>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</si>
  <si>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</si>
  <si>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</si>
  <si>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</si>
  <si>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</si>
  <si>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</si>
  <si>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</si>
  <si>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</si>
  <si>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</si>
  <si>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</si>
  <si>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</si>
  <si>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</si>
  <si>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</si>
  <si>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</si>
  <si>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</si>
  <si>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</si>
  <si>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</si>
  <si>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</si>
  <si>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</si>
  <si>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</si>
  <si>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</si>
  <si>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</si>
  <si>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</si>
  <si>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</si>
  <si>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</si>
  <si>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</si>
  <si>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</si>
  <si>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</si>
  <si>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</si>
  <si>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</si>
  <si>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</si>
  <si>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</si>
  <si>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</si>
  <si>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</si>
  <si>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</si>
  <si>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</si>
  <si>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</si>
  <si>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</si>
  <si>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</si>
  <si>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</si>
  <si>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</si>
  <si>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</si>
  <si>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</si>
  <si>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</si>
  <si>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</si>
  <si>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</si>
  <si>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</si>
  <si>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</si>
  <si>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</si>
  <si>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</si>
  <si>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</si>
  <si>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</si>
  <si>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</si>
  <si>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</si>
  <si>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</si>
  <si>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</si>
  <si>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</si>
  <si>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</si>
  <si>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</si>
  <si>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</si>
  <si>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</si>
  <si>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</si>
  <si>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</si>
  <si>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</si>
  <si>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</si>
  <si>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</si>
  <si>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</si>
  <si>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</si>
  <si>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</si>
  <si>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</si>
  <si>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</si>
  <si>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</si>
  <si>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</si>
  <si>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</si>
  <si>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</si>
  <si>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</si>
  <si>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</si>
  <si>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</si>
  <si>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</si>
  <si>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</si>
  <si>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</si>
  <si>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</si>
  <si>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</si>
  <si>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</si>
  <si>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</si>
  <si>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</si>
  <si>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</si>
  <si>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</si>
  <si>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</si>
  <si>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</si>
  <si>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</si>
  <si>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</si>
  <si>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</si>
  <si>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</si>
  <si>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</si>
  <si>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</si>
  <si>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</si>
  <si>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</si>
  <si>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</si>
  <si>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</si>
  <si>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</si>
  <si>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</si>
  <si>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</si>
  <si>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</si>
  <si>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</si>
  <si>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</si>
  <si>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</si>
  <si>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</si>
  <si>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</si>
  <si>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</si>
  <si>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</si>
  <si>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</si>
  <si>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</si>
  <si>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</si>
  <si>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</si>
  <si>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</si>
  <si>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</si>
  <si>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</si>
  <si>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</si>
  <si>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</si>
  <si>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</si>
  <si>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</si>
  <si>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</si>
  <si>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</si>
  <si>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</si>
  <si>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</si>
  <si>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</si>
  <si>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</si>
  <si>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</si>
  <si>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</si>
  <si>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</si>
  <si>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</si>
  <si>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</si>
  <si>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</si>
  <si>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</si>
  <si>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</si>
  <si>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</si>
  <si>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</si>
  <si>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</si>
  <si>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</si>
  <si>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</si>
  <si>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</si>
  <si>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</si>
  <si>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</si>
  <si>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</si>
  <si>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</si>
  <si>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</si>
  <si>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</si>
  <si>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</si>
  <si>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</si>
  <si>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</si>
  <si>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</si>
  <si>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</si>
  <si>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</si>
  <si>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</si>
  <si>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</si>
  <si>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</si>
  <si>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</si>
  <si>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</si>
  <si>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</si>
  <si>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</si>
  <si>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</si>
  <si>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</si>
  <si>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</si>
  <si>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</si>
  <si>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</si>
  <si>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</si>
  <si>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</si>
  <si>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</si>
  <si>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</si>
  <si>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</si>
  <si>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</si>
  <si>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</si>
  <si>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</si>
  <si>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</si>
  <si>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</si>
  <si>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</si>
  <si>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</si>
  <si>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</si>
  <si>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</si>
  <si>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</si>
  <si>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</si>
  <si>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</si>
  <si>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</si>
  <si>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</si>
  <si>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</si>
  <si>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</si>
  <si>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</si>
  <si>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</si>
  <si>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</si>
  <si>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</si>
  <si>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</si>
  <si>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</si>
  <si>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</si>
  <si>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</si>
  <si>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</si>
  <si>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</si>
  <si>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</si>
  <si>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</si>
  <si>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</si>
  <si>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</si>
  <si>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</si>
  <si>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</si>
  <si>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</si>
  <si>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</si>
  <si>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</si>
  <si>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</si>
  <si>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</si>
  <si>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</si>
  <si>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</si>
  <si>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</si>
  <si>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</si>
  <si>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</si>
  <si>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</si>
  <si>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</si>
  <si>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</si>
  <si>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</si>
  <si>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</si>
  <si>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</si>
  <si>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</si>
  <si>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</si>
  <si>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</si>
  <si>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</si>
  <si>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</si>
  <si>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</si>
  <si>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</si>
  <si>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</si>
  <si>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</si>
  <si>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</si>
  <si>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</si>
  <si>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</si>
  <si>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</si>
  <si>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</si>
  <si>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</si>
  <si>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</si>
  <si>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</si>
  <si>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</si>
  <si>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</si>
  <si>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</si>
  <si>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</si>
  <si>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</si>
  <si>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</si>
  <si>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</si>
  <si>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</si>
  <si>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</si>
  <si>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</si>
  <si>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</si>
  <si>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</si>
  <si>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</si>
  <si>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</si>
  <si>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</si>
  <si>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</si>
  <si>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</si>
  <si>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</si>
  <si>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</si>
  <si>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</si>
  <si>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</si>
  <si>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</si>
  <si>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</si>
  <si>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</si>
  <si>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</si>
  <si>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</si>
  <si>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</si>
  <si>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</si>
  <si>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</si>
  <si>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</si>
  <si>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</si>
  <si>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</si>
  <si>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</si>
  <si>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</si>
  <si>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</si>
  <si>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</si>
  <si>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</si>
  <si>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</si>
  <si>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</si>
  <si>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</si>
  <si>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</si>
  <si>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</si>
  <si>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</si>
  <si>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</si>
  <si>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</si>
  <si>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</si>
  <si>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</si>
  <si>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</si>
  <si>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</si>
  <si>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</si>
  <si>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</si>
  <si>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</si>
  <si>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</si>
  <si>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</si>
  <si>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</si>
  <si>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</si>
  <si>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</si>
  <si>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</si>
  <si>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</si>
  <si>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</si>
  <si>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</si>
  <si>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</si>
  <si>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</si>
  <si>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</si>
  <si>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</si>
  <si>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</si>
  <si>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</si>
  <si>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</si>
  <si>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</si>
  <si>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</si>
  <si>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</si>
  <si>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</si>
  <si>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</si>
  <si>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</si>
  <si>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</si>
  <si>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</si>
  <si>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</si>
  <si>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</si>
  <si>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</si>
  <si>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</si>
  <si>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</si>
  <si>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</si>
  <si>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</si>
  <si>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</si>
  <si>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</si>
  <si>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</si>
  <si>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</si>
  <si>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</si>
  <si>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</si>
  <si>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</si>
  <si>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</si>
  <si>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</si>
  <si>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</si>
  <si>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</si>
  <si>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</si>
  <si>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</si>
  <si>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</si>
  <si>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</si>
  <si>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</si>
  <si>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</si>
  <si>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</si>
  <si>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</si>
  <si>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</si>
  <si>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</si>
  <si>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</si>
  <si>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</si>
  <si>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</si>
  <si>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</si>
  <si>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</si>
  <si>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</si>
  <si>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</si>
  <si>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</si>
  <si>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</si>
  <si>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</si>
  <si>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</si>
  <si>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</si>
  <si>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</si>
  <si>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</si>
  <si>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</si>
  <si>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</si>
  <si>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</si>
  <si>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</si>
  <si>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</si>
  <si>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</si>
  <si>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</si>
  <si>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</si>
  <si>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</si>
  <si>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</si>
  <si>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</si>
  <si>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</si>
  <si>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</si>
  <si>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</si>
  <si>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</si>
  <si>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</si>
  <si>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</si>
  <si>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</si>
  <si>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</si>
  <si>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</si>
  <si>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</si>
  <si>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</si>
  <si>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</si>
  <si>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</si>
  <si>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</si>
  <si>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</si>
  <si>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</si>
  <si>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</si>
  <si>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</si>
  <si>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</si>
  <si>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</si>
  <si>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</si>
  <si>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</si>
  <si>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</si>
  <si>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</si>
  <si>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</si>
  <si>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</si>
  <si>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</si>
  <si>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</si>
  <si>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</si>
  <si>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</si>
  <si>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</si>
  <si>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</si>
  <si>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</si>
  <si>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</si>
  <si>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</si>
  <si>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</si>
  <si>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</si>
  <si>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</si>
  <si>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</si>
  <si>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</si>
  <si>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</si>
  <si>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</si>
  <si>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</si>
  <si>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</si>
  <si>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</si>
  <si>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</si>
  <si>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</si>
  <si>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</si>
  <si>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</si>
  <si>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</si>
  <si>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</si>
  <si>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</si>
  <si>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</si>
  <si>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</si>
  <si>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</si>
  <si>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</si>
  <si>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</si>
  <si>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</si>
  <si>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</si>
  <si>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</si>
  <si>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</si>
  <si>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</si>
  <si>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</si>
  <si>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</si>
  <si>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</si>
  <si>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</si>
  <si>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</si>
  <si>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</si>
  <si>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</si>
  <si>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</si>
  <si>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</si>
  <si>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</si>
  <si>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</si>
  <si>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</si>
  <si>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</si>
  <si>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</si>
  <si>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</si>
  <si>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</si>
  <si>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</si>
  <si>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</si>
  <si>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</si>
  <si>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</si>
  <si>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</si>
  <si>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</si>
  <si>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</si>
  <si>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</si>
  <si>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</si>
  <si>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</si>
  <si>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</si>
  <si>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</si>
  <si>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</si>
  <si>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</si>
  <si>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</si>
  <si>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</si>
  <si>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</si>
  <si>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</si>
  <si>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</si>
  <si>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</si>
  <si>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</si>
  <si>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</si>
  <si>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</si>
  <si>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</si>
  <si>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</si>
  <si>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</si>
  <si>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</si>
  <si>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</si>
  <si>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</si>
  <si>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</si>
  <si>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</si>
  <si>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</si>
  <si>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</si>
  <si>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</si>
  <si>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</si>
  <si>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</si>
  <si>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</si>
  <si>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</si>
  <si>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</si>
  <si>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</si>
  <si>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</si>
  <si>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</si>
  <si>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</si>
  <si>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</si>
  <si>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</si>
  <si>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</si>
  <si>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</si>
  <si>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</si>
  <si>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</si>
  <si>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</si>
  <si>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</si>
  <si>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</si>
  <si>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</si>
  <si>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</si>
  <si>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</si>
  <si>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</si>
  <si>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</si>
  <si>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</si>
  <si>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</si>
  <si>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</si>
  <si>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</si>
  <si>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</si>
  <si>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</si>
  <si>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</si>
  <si>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</si>
  <si>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</si>
  <si>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</si>
  <si>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</si>
  <si>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</si>
  <si>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</si>
  <si>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</si>
  <si>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</si>
  <si>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</si>
  <si>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</si>
  <si>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</si>
  <si>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</si>
  <si>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</si>
  <si>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</si>
  <si>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</si>
  <si>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</si>
  <si>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</si>
  <si>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</si>
  <si>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</si>
  <si>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</si>
  <si>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</si>
  <si>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</si>
  <si>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</si>
  <si>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</si>
  <si>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</si>
  <si>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</si>
  <si>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</si>
  <si>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</si>
  <si>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</si>
  <si>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</si>
  <si>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</si>
  <si>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</si>
  <si>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</si>
  <si>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</si>
  <si>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</si>
  <si>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</si>
  <si>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</si>
  <si>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</si>
  <si>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</si>
  <si>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</si>
  <si>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</si>
  <si>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</si>
  <si>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</si>
  <si>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</si>
  <si>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</si>
  <si>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</si>
  <si>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</si>
  <si>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</si>
  <si>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</si>
  <si>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</si>
  <si>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</si>
  <si>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</si>
  <si>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</si>
  <si>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</si>
  <si>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</si>
  <si>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</si>
  <si>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</si>
  <si>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</si>
  <si>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</si>
  <si>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</si>
  <si>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</si>
  <si>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</si>
  <si>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</si>
  <si>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</si>
  <si>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</si>
  <si>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</si>
  <si>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</si>
  <si>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</si>
  <si>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</si>
  <si>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</si>
  <si>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</si>
  <si>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</si>
  <si>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</si>
  <si>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</si>
  <si>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</si>
  <si>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</si>
  <si>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</si>
  <si>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</si>
  <si>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</si>
  <si>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</si>
  <si>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</si>
  <si>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</si>
  <si>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</si>
  <si>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</si>
  <si>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</si>
  <si>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</si>
  <si>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</si>
  <si>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</si>
  <si>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</si>
  <si>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</si>
  <si>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</si>
  <si>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</si>
  <si>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</si>
  <si>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</si>
  <si>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</si>
  <si>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</si>
  <si>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</si>
  <si>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</si>
  <si>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</si>
  <si>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</si>
  <si>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</si>
  <si>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</si>
  <si>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</si>
  <si>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</si>
  <si>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</si>
  <si>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</si>
  <si>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</si>
  <si>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</si>
  <si>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</si>
  <si>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</si>
  <si>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</si>
  <si>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</si>
  <si>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</si>
  <si>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</si>
  <si>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</si>
  <si>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</si>
  <si>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</si>
  <si>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</si>
  <si>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</si>
  <si>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</si>
  <si>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</si>
  <si>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</si>
  <si>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</si>
  <si>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</si>
  <si>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</si>
  <si>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</si>
  <si>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</si>
  <si>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</si>
  <si>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</si>
  <si>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</si>
  <si>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</si>
  <si>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</si>
  <si>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</si>
  <si>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</si>
  <si>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</si>
  <si>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</si>
  <si>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</si>
  <si>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</si>
  <si>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</si>
  <si>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</si>
  <si>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</si>
  <si>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</si>
  <si>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</si>
  <si>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</si>
  <si>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</si>
  <si>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</si>
  <si>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</si>
  <si>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</si>
  <si>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</si>
  <si>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</si>
  <si>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</si>
  <si>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</si>
  <si>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</si>
  <si>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</si>
  <si>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</si>
  <si>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</si>
  <si>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</si>
  <si>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</si>
  <si>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</si>
  <si>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</si>
  <si>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</si>
  <si>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</si>
  <si>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</si>
  <si>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</si>
  <si>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</si>
  <si>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</si>
  <si>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</si>
  <si>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</si>
  <si>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</si>
  <si>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</si>
  <si>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</si>
  <si>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</si>
  <si>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</si>
  <si>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</si>
  <si>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</si>
  <si>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</si>
  <si>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</si>
  <si>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</si>
  <si>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</si>
  <si>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</si>
  <si>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</si>
  <si>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</si>
  <si>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</si>
  <si>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</si>
  <si>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</si>
  <si>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</si>
  <si>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</si>
  <si>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</si>
  <si>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</si>
  <si>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</si>
  <si>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</si>
  <si>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</si>
  <si>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</si>
  <si>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</si>
  <si>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</si>
  <si>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</si>
  <si>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</si>
  <si>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</si>
  <si>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</si>
  <si>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</si>
  <si>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</si>
  <si>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</si>
  <si>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</si>
  <si>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</si>
  <si>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</si>
  <si>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</si>
  <si>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</si>
  <si>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</si>
  <si>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</si>
  <si>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</si>
  <si>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</si>
  <si>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</si>
  <si>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</si>
  <si>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</si>
  <si>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</si>
  <si>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</si>
  <si>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</si>
  <si>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</si>
  <si>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</si>
  <si>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</si>
  <si>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</si>
  <si>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</si>
  <si>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</si>
  <si>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</si>
  <si>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</si>
  <si>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</si>
  <si>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</si>
  <si>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</si>
  <si>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</si>
  <si>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</si>
  <si>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</si>
  <si>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</si>
  <si>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</si>
  <si>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</si>
  <si>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</si>
  <si>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</si>
  <si>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</si>
  <si>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</si>
  <si>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</si>
  <si>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</si>
  <si>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</si>
  <si>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</si>
  <si>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</si>
  <si>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</si>
  <si>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</si>
  <si>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</si>
  <si>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</si>
  <si>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</si>
  <si>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</si>
  <si>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</si>
  <si>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</si>
  <si>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</si>
  <si>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</si>
  <si>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</si>
  <si>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</si>
  <si>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</si>
  <si>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</si>
  <si>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</si>
  <si>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</si>
  <si>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</si>
  <si>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</si>
  <si>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</si>
  <si>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</si>
  <si>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</si>
  <si>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</si>
  <si>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</si>
  <si>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</si>
  <si>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</si>
  <si>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</si>
  <si>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</si>
  <si>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</si>
  <si>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</si>
  <si>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</si>
  <si>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</si>
  <si>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</si>
  <si>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</si>
  <si>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</si>
  <si>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</si>
  <si>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</si>
  <si>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</si>
  <si>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</si>
  <si>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</si>
  <si>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</si>
  <si>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</si>
  <si>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</si>
  <si>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</si>
  <si>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</si>
  <si>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</si>
  <si>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</si>
  <si>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</si>
  <si>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</si>
  <si>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</si>
  <si>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</si>
  <si>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</si>
  <si>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</si>
  <si>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</si>
  <si>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</si>
  <si>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</si>
  <si>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</si>
  <si>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</si>
  <si>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</si>
  <si>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</si>
  <si>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</si>
  <si>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</si>
  <si>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</si>
  <si>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</si>
  <si>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</si>
  <si>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</si>
  <si>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</si>
  <si>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</si>
  <si>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</si>
  <si>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</si>
  <si>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</si>
  <si>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</si>
  <si>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</si>
  <si>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</si>
  <si>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</si>
  <si>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</si>
  <si>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</si>
  <si>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</si>
  <si>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</si>
  <si>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</si>
  <si>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</si>
  <si>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</si>
  <si>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</si>
  <si>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</si>
  <si>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</si>
  <si>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</si>
  <si>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</si>
  <si>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</si>
  <si>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</si>
  <si>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</si>
  <si>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</si>
  <si>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</si>
  <si>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</si>
  <si>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</si>
  <si>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</si>
  <si>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</si>
  <si>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</si>
  <si>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</si>
  <si>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</si>
  <si>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</si>
  <si>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</si>
  <si>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</si>
  <si>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</si>
  <si>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</si>
  <si>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</si>
  <si>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</si>
  <si>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</si>
  <si>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</si>
  <si>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</si>
  <si>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</si>
  <si>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</si>
  <si>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</si>
  <si>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</si>
  <si>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</si>
  <si>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</si>
  <si>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</si>
  <si>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</si>
  <si>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</si>
  <si>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</si>
  <si>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</si>
  <si>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</si>
  <si>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</si>
  <si>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</si>
  <si>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</si>
  <si>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</si>
  <si>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</si>
  <si>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</si>
  <si>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</si>
  <si>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</si>
  <si>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</si>
  <si>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</si>
  <si>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</si>
  <si>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</si>
  <si>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</si>
  <si>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</si>
  <si>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</si>
  <si>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</si>
  <si>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</si>
  <si>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</si>
  <si>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</si>
  <si>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</si>
  <si>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</si>
  <si>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</si>
  <si>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</si>
  <si>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</si>
  <si>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</si>
  <si>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</si>
  <si>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</si>
  <si>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</si>
  <si>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</si>
  <si>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</si>
  <si>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</si>
  <si>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</si>
  <si>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</si>
  <si>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</si>
  <si>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</si>
  <si>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</si>
  <si>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</si>
  <si>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</si>
  <si>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</si>
  <si>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</si>
  <si>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</si>
  <si>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</si>
  <si>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</si>
  <si>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</si>
  <si>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</si>
  <si>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</si>
  <si>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</si>
  <si>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</si>
  <si>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</si>
  <si>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</si>
  <si>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</si>
  <si>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</si>
  <si>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</si>
  <si>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</si>
  <si>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</si>
  <si>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</si>
  <si>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</si>
  <si>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</si>
  <si>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</si>
  <si>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</si>
  <si>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</si>
  <si>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</si>
  <si>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</si>
  <si>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</si>
  <si>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</si>
  <si>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</si>
  <si>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</si>
  <si>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</si>
  <si>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</si>
  <si>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</si>
  <si>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</si>
  <si>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</si>
  <si>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</si>
  <si>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</si>
  <si>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</si>
  <si>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</si>
  <si>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</si>
  <si>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</si>
  <si>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</si>
  <si>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</si>
  <si>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</si>
  <si>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</si>
  <si>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</si>
  <si>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</si>
  <si>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</si>
  <si>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</si>
  <si>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</si>
  <si>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</si>
  <si>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</si>
  <si>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</si>
  <si>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</si>
  <si>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</si>
  <si>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</si>
  <si>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</si>
  <si>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</si>
  <si>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</si>
  <si>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</si>
  <si>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</si>
  <si>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</si>
  <si>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</si>
  <si>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</si>
  <si>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</si>
  <si>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</si>
  <si>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</si>
  <si>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</si>
  <si>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</si>
  <si>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</si>
  <si>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</si>
  <si>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</si>
  <si>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</si>
  <si>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</si>
  <si>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</si>
  <si>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</si>
  <si>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</si>
  <si>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</si>
  <si>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</si>
  <si>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</si>
  <si>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</si>
  <si>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</si>
  <si>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</si>
  <si>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</si>
  <si>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</si>
  <si>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</si>
  <si>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</si>
  <si>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</si>
  <si>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</si>
  <si>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</si>
  <si>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</si>
  <si>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</si>
  <si>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</si>
  <si>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</si>
  <si>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</si>
  <si>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</si>
  <si>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</si>
  <si>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</si>
  <si>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</si>
  <si>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</si>
  <si>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</si>
  <si>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</si>
  <si>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</si>
  <si>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</si>
  <si>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</si>
  <si>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</si>
  <si>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</si>
  <si>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</si>
  <si>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</si>
  <si>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</si>
  <si>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</si>
  <si>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</si>
  <si>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</si>
  <si>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</si>
  <si>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</si>
  <si>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</si>
  <si>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</si>
  <si>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</si>
  <si>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</si>
  <si>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</si>
  <si>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</si>
  <si>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</si>
  <si>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</si>
  <si>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</si>
  <si>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</si>
  <si>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</si>
  <si>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</si>
  <si>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</si>
  <si>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</si>
  <si>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</si>
  <si>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</si>
  <si>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</si>
  <si>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</si>
  <si>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</si>
  <si>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</si>
  <si>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</si>
  <si>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</si>
  <si>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</si>
  <si>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</si>
  <si>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</si>
  <si>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</si>
  <si>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</si>
  <si>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</si>
  <si>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</si>
  <si>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</si>
  <si>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</si>
  <si>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</si>
  <si>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</si>
  <si>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</si>
  <si>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</si>
  <si>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</si>
  <si>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</si>
  <si>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</si>
  <si>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</si>
  <si>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</si>
  <si>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</si>
  <si>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</si>
  <si>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</si>
  <si>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</si>
  <si>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</si>
  <si>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</si>
  <si>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</si>
  <si>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</si>
  <si>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</si>
  <si>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</si>
  <si>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</si>
  <si>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</si>
  <si>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</si>
  <si>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</si>
  <si>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</si>
  <si>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</si>
  <si>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</si>
  <si>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</si>
  <si>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</si>
  <si>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</si>
  <si>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</si>
  <si>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</si>
  <si>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</si>
  <si>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</si>
  <si>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</si>
  <si>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</si>
  <si>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</si>
  <si>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</si>
  <si>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</si>
  <si>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</si>
  <si>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</si>
  <si>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</si>
  <si>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</si>
  <si>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</si>
  <si>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</si>
  <si>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</si>
  <si>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</si>
  <si>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</si>
  <si>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</si>
  <si>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</si>
  <si>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</si>
  <si>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</si>
  <si>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</si>
  <si>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</si>
  <si>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</si>
  <si>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</si>
  <si>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</si>
  <si>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</si>
  <si>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</si>
  <si>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</si>
  <si>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</si>
  <si>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</si>
  <si>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</si>
  <si>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</si>
  <si>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</si>
  <si>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</si>
  <si>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</si>
  <si>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</si>
  <si>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</si>
  <si>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</si>
  <si>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</si>
  <si>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</si>
  <si>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</si>
  <si>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</si>
  <si>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</si>
  <si>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</si>
  <si>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</si>
  <si>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</si>
  <si>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</si>
  <si>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</si>
  <si>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</si>
  <si>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</si>
  <si>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</si>
  <si>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</si>
  <si>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</si>
  <si>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</si>
  <si>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</si>
  <si>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</si>
  <si>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</si>
  <si>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</si>
  <si>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</si>
  <si>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</si>
  <si>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</si>
  <si>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</si>
  <si>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</si>
  <si>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</si>
  <si>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</si>
  <si>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</si>
  <si>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</si>
  <si>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</si>
  <si>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</si>
  <si>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</si>
  <si>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</si>
  <si>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</si>
  <si>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</si>
  <si>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</si>
  <si>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</si>
  <si>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</si>
  <si>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</si>
  <si>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</si>
  <si>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</si>
  <si>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</si>
  <si>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</si>
  <si>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</si>
  <si>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</si>
  <si>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</si>
  <si>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</si>
  <si>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</si>
  <si>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</si>
  <si>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</si>
  <si>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</si>
  <si>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</si>
  <si>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</si>
  <si>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</si>
  <si>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</si>
  <si>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</si>
  <si>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</si>
  <si>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</si>
  <si>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</si>
  <si>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</si>
  <si>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</si>
  <si>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</si>
  <si>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</si>
  <si>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</si>
  <si>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</si>
  <si>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</si>
  <si>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</si>
  <si>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</si>
  <si>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</si>
  <si>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</si>
  <si>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</si>
  <si>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</si>
  <si>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</si>
  <si>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</si>
  <si>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</si>
  <si>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</si>
  <si>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</si>
  <si>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</si>
  <si>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</si>
  <si>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</si>
  <si>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</si>
  <si>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</si>
  <si>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</si>
  <si>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</si>
  <si>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</si>
  <si>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</si>
  <si>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</si>
  <si>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</si>
  <si>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</si>
  <si>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</si>
  <si>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</si>
  <si>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</si>
  <si>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</si>
  <si>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</si>
  <si>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</si>
  <si>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</si>
  <si>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</si>
  <si>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</si>
  <si>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</si>
  <si>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</si>
  <si>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</si>
  <si>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</si>
  <si>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</si>
  <si>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</si>
  <si>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</si>
  <si>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</si>
  <si>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</si>
  <si>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</si>
  <si>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</si>
  <si>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</si>
  <si>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</si>
  <si>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</si>
  <si>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</si>
  <si>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</si>
  <si>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</si>
  <si>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</si>
  <si>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</si>
  <si>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</si>
  <si>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</si>
  <si>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</si>
  <si>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</si>
  <si>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</si>
  <si>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</si>
  <si>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</si>
  <si>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</si>
  <si>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</si>
  <si>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</si>
  <si>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</si>
  <si>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</si>
  <si>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</si>
  <si>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</si>
  <si>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</si>
  <si>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</si>
  <si>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</si>
  <si>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</si>
  <si>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</si>
  <si>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</si>
  <si>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</si>
  <si>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</si>
  <si>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</si>
  <si>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</si>
  <si>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</si>
  <si>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</si>
  <si>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</si>
  <si>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</si>
  <si>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</si>
  <si>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</si>
  <si>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</si>
  <si>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</si>
  <si>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</si>
  <si>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</si>
  <si>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</si>
  <si>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</si>
  <si>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</si>
  <si>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</si>
  <si>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</si>
  <si>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</si>
  <si>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</si>
  <si>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</si>
  <si>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</si>
  <si>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</si>
  <si>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</si>
  <si>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</si>
  <si>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</si>
  <si>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</si>
  <si>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</si>
  <si>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</si>
  <si>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</si>
  <si>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</si>
  <si>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</si>
  <si>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</si>
  <si>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</si>
  <si>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</si>
  <si>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</si>
  <si>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</si>
  <si>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</si>
  <si>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</si>
  <si>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</si>
  <si>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</si>
  <si>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</si>
  <si>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</si>
  <si>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</si>
  <si>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</si>
  <si>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</si>
  <si>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</si>
  <si>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</si>
  <si>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</si>
  <si>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</si>
  <si>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</si>
  <si>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</si>
  <si>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</si>
  <si>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</si>
  <si>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</si>
  <si>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</si>
  <si>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</si>
  <si>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</si>
  <si>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</si>
  <si>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</si>
  <si>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</si>
  <si>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</si>
  <si>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</si>
  <si>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</si>
  <si>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</si>
  <si>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</si>
  <si>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</si>
  <si>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</si>
  <si>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</si>
  <si>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</si>
  <si>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</si>
  <si>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</si>
  <si>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</si>
  <si>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</si>
  <si>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</si>
  <si>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</si>
  <si>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</si>
  <si>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</si>
  <si>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</si>
  <si>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</si>
  <si>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</si>
  <si>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</si>
  <si>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</si>
  <si>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</si>
  <si>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</si>
  <si>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</si>
  <si>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</si>
  <si>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</si>
  <si>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</si>
  <si>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</si>
  <si>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</si>
  <si>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</si>
  <si>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</si>
  <si>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</si>
  <si>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</si>
  <si>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</si>
  <si>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</si>
  <si>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</si>
  <si>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</si>
  <si>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</si>
  <si>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</si>
  <si>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</si>
  <si>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</si>
  <si>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</si>
  <si>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</si>
  <si>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</si>
  <si>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</si>
  <si>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</si>
  <si>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</si>
  <si>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</si>
  <si>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</si>
  <si>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</si>
  <si>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</si>
  <si>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</si>
  <si>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</si>
  <si>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</si>
  <si>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</si>
  <si>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</si>
  <si>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</si>
  <si>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</si>
  <si>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</si>
  <si>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</si>
  <si>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</si>
  <si>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</si>
  <si>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</si>
  <si>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</si>
  <si>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</si>
  <si>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</si>
  <si>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</si>
  <si>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</si>
  <si>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</si>
  <si>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</si>
  <si>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</si>
  <si>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</si>
  <si>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</si>
  <si>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</si>
  <si>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</si>
  <si>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</si>
  <si>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</si>
  <si>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</si>
  <si>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</si>
  <si>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</si>
  <si>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</si>
  <si>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</si>
  <si>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</si>
  <si>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</si>
  <si>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</si>
  <si>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</si>
  <si>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</si>
  <si>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</si>
  <si>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</si>
  <si>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</si>
  <si>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</si>
  <si>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</si>
  <si>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</si>
  <si>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</si>
  <si>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</si>
  <si>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</si>
  <si>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</si>
  <si>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</si>
  <si>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</si>
  <si>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</si>
  <si>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</si>
  <si>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</si>
  <si>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</si>
  <si>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</si>
  <si>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</si>
  <si>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</si>
  <si>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</si>
  <si>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</si>
  <si>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</si>
  <si>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</si>
  <si>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</si>
  <si>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</si>
  <si>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</si>
  <si>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</si>
  <si>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</si>
  <si>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</si>
  <si>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</si>
  <si>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</si>
  <si>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</si>
  <si>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</si>
  <si>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</si>
  <si>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</si>
  <si>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</si>
  <si>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</si>
  <si>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</si>
  <si>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</si>
  <si>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</si>
  <si>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</si>
  <si>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</si>
  <si>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</si>
  <si>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</si>
  <si>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</si>
  <si>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</si>
  <si>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</si>
  <si>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</si>
  <si>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</si>
  <si>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</si>
  <si>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</si>
  <si>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</si>
  <si>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</si>
  <si>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</si>
  <si>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</si>
  <si>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</si>
  <si>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</si>
  <si>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</si>
  <si>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</si>
  <si>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</si>
  <si>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</si>
  <si>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</si>
  <si>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</si>
  <si>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</si>
  <si>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</si>
  <si>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</si>
  <si>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</si>
  <si>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</si>
  <si>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</si>
  <si>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</si>
  <si>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</si>
  <si>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</si>
  <si>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</si>
  <si>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</si>
  <si>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</si>
  <si>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</si>
  <si>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</si>
  <si>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</si>
  <si>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</si>
  <si>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</si>
  <si>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</si>
  <si>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</si>
  <si>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</si>
  <si>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</si>
  <si>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</si>
  <si>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</si>
  <si>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</si>
  <si>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</si>
  <si>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</si>
  <si>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</si>
  <si>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</si>
  <si>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</si>
  <si>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</si>
  <si>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</si>
  <si>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</si>
  <si>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</si>
  <si>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</si>
  <si>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</si>
  <si>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</si>
  <si>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</si>
  <si>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</si>
  <si>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</si>
  <si>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</si>
  <si>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</si>
  <si>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</si>
  <si>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</si>
  <si>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</si>
  <si>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</si>
  <si>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</si>
  <si>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</si>
  <si>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</si>
  <si>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</si>
  <si>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</si>
  <si>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</si>
  <si>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</si>
  <si>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</si>
  <si>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</si>
  <si>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</si>
  <si>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</si>
  <si>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</si>
  <si>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</si>
  <si>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</si>
  <si>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</si>
  <si>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</si>
  <si>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</si>
  <si>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</si>
  <si>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</si>
  <si>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</si>
  <si>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</si>
  <si>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</si>
  <si>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</si>
  <si>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</si>
  <si>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</si>
  <si>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</si>
  <si>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</si>
  <si>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</si>
  <si>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</si>
  <si>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</si>
  <si>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</si>
  <si>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</si>
  <si>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</si>
  <si>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</si>
  <si>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</si>
  <si>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</si>
  <si>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</si>
  <si>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</si>
  <si>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</si>
  <si>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</si>
  <si>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</si>
  <si>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</si>
  <si>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</si>
  <si>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</si>
  <si>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</si>
  <si>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</si>
  <si>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</si>
  <si>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</si>
  <si>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</si>
  <si>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</si>
  <si>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</si>
  <si>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</si>
  <si>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</si>
  <si>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</si>
  <si>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</si>
  <si>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</si>
  <si>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</si>
  <si>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</si>
  <si>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</si>
  <si>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</si>
  <si>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</si>
  <si>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</si>
  <si>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</si>
  <si>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</si>
  <si>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</si>
  <si>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</si>
  <si>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</si>
  <si>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</si>
  <si>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</si>
  <si>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</si>
  <si>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</si>
  <si>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</si>
  <si>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</si>
  <si>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</si>
  <si>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</si>
  <si>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</si>
  <si>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</si>
  <si>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</si>
  <si>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</si>
  <si>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</si>
  <si>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</si>
  <si>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</si>
  <si>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</si>
  <si>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</si>
  <si>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</si>
  <si>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</si>
  <si>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</si>
  <si>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</si>
  <si>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</si>
  <si>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</si>
  <si>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</si>
  <si>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</si>
  <si>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</si>
  <si>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</si>
  <si>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</si>
  <si>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</si>
  <si>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</si>
  <si>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</si>
  <si>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</si>
  <si>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</si>
  <si>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</si>
  <si>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</si>
  <si>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</si>
  <si>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</si>
  <si>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</si>
  <si>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</si>
  <si>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</si>
  <si>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</si>
  <si>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</si>
  <si>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</si>
  <si>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</si>
  <si>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</si>
  <si>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</si>
  <si>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</si>
  <si>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</si>
  <si>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</si>
  <si>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</si>
  <si>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</si>
  <si>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</si>
  <si>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</si>
  <si>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</si>
  <si>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</si>
  <si>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</si>
  <si>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</si>
  <si>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</si>
  <si>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</si>
  <si>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</si>
  <si>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</si>
  <si>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</si>
  <si>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</si>
  <si>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</si>
  <si>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</si>
  <si>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</si>
  <si>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</si>
  <si>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</si>
  <si>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</si>
  <si>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Moore &amp; Simonin, PC</t>
  </si>
  <si>
    <t>Robert E. Moore, CPA</t>
  </si>
  <si>
    <t>3636 North Belt West</t>
  </si>
  <si>
    <t>Belleville</t>
  </si>
  <si>
    <t>IL</t>
  </si>
  <si>
    <t>618-233-5049</t>
  </si>
  <si>
    <t>618-233-1061</t>
  </si>
  <si>
    <t>066-005248</t>
  </si>
  <si>
    <t>mooresimonin@mrsaccountants.com</t>
  </si>
  <si>
    <t>Randolph</t>
  </si>
  <si>
    <t>1525 Locust St.</t>
  </si>
  <si>
    <t>Red Bud</t>
  </si>
  <si>
    <t>Egyptian Group Insurance Trust</t>
  </si>
  <si>
    <t>PSIC</t>
  </si>
  <si>
    <t>Page 11, Line 106 - Head Start - $13,000.</t>
  </si>
  <si>
    <t>Page 11, Line 107 - Miscellaneous - $790.</t>
  </si>
  <si>
    <t>Page 14, Line 272 - DORS - $25,802.</t>
  </si>
  <si>
    <t>Red Bud Community Unit School District No. 132</t>
  </si>
  <si>
    <t>USDA</t>
  </si>
  <si>
    <t>PASSED THROUGH ISBE</t>
  </si>
  <si>
    <t xml:space="preserve">  Commodities</t>
  </si>
  <si>
    <t xml:space="preserve">  DOD Fresh</t>
  </si>
  <si>
    <t xml:space="preserve">  School Lunch Program</t>
  </si>
  <si>
    <t>2017-4210</t>
  </si>
  <si>
    <t>2018-4210</t>
  </si>
  <si>
    <t xml:space="preserve">  School Breakfast Program</t>
  </si>
  <si>
    <t>2017-4220</t>
  </si>
  <si>
    <t>2018-4220</t>
  </si>
  <si>
    <t>TOTAL USDA</t>
  </si>
  <si>
    <t>U.S. DEPT. OF EDUCATION</t>
  </si>
  <si>
    <t xml:space="preserve">  (M) IDEA Pre-School</t>
  </si>
  <si>
    <t>84.173A</t>
  </si>
  <si>
    <t>2017-4600</t>
  </si>
  <si>
    <t>2018-4600</t>
  </si>
  <si>
    <t xml:space="preserve">  (M) IDEA Fow Through</t>
  </si>
  <si>
    <t>84.027A</t>
  </si>
  <si>
    <t>2017-4620</t>
  </si>
  <si>
    <t>2018-4620</t>
  </si>
  <si>
    <t>TOTAL ISBE</t>
  </si>
  <si>
    <t>PASSED THROUGH IDHS</t>
  </si>
  <si>
    <t xml:space="preserve">  Step Grant</t>
  </si>
  <si>
    <t>84.126A</t>
  </si>
  <si>
    <t>46XWF00027</t>
  </si>
  <si>
    <t>TOTAL DEPT. OF EDUCATION</t>
  </si>
  <si>
    <t>PASSED THROUGH IDHFS</t>
  </si>
  <si>
    <t xml:space="preserve">  Medicaid Matching</t>
  </si>
  <si>
    <t>2017-4991</t>
  </si>
  <si>
    <t>2018-4991</t>
  </si>
  <si>
    <t>TOTAL DEPT. OF HEALTH &amp; HUMAN SERVICES</t>
  </si>
  <si>
    <t>U.S. DEPT. OF HEALTH &amp; HUMAN SERVICES</t>
  </si>
  <si>
    <t>TOTAL FEDERAL FINANCIAL ASSISTANCE</t>
  </si>
  <si>
    <r>
      <t xml:space="preserve">The accompanying Schedule of Expenditures of Federal Awards includes the federal grant activity of </t>
    </r>
    <r>
      <rPr>
        <b/>
        <sz val="9"/>
        <rFont val="Calibri"/>
        <family val="2"/>
        <scheme val="minor"/>
      </rPr>
      <t>Perandoe Special Education District</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</si>
  <si>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t>IDEA Flow Through</t>
  </si>
  <si>
    <t>84.027a</t>
  </si>
  <si>
    <t xml:space="preserve">  Red Bud #132</t>
  </si>
  <si>
    <t xml:space="preserve">  Sparta #140</t>
  </si>
  <si>
    <t xml:space="preserve">  Chester #139</t>
  </si>
  <si>
    <t xml:space="preserve">  Coulterville #1</t>
  </si>
  <si>
    <t xml:space="preserve">  Prairie du Rocher #134</t>
  </si>
  <si>
    <t xml:space="preserve">  Steeleville #138</t>
  </si>
  <si>
    <t xml:space="preserve">  Valmeyer #3</t>
  </si>
  <si>
    <t xml:space="preserve">  Waterloo #5</t>
  </si>
  <si>
    <t>IDEA Special Education</t>
  </si>
  <si>
    <t>NONE</t>
  </si>
  <si>
    <t>17-01</t>
  </si>
  <si>
    <t xml:space="preserve">The District was unable to prepare its financial </t>
  </si>
  <si>
    <t>statements in accordance with U.S. GAAP basis of</t>
  </si>
  <si>
    <t>accounting.</t>
  </si>
  <si>
    <t xml:space="preserve">           Corrective action was taken.</t>
  </si>
  <si>
    <t>Perandoe SpEd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</si>
</sst>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3">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0" fontId="62" fillId="13" borderId="13" xfId="9" applyFont="1" applyFill="1" applyBorder="1" applyAlignment="1">
      <alignment horizontal="center" vertical="center"/>
    </xf>
    <xf numFmtId="0" fontId="54" fillId="13" borderId="14" xfId="0" applyFont="1" applyFill="1" applyBorder="1" applyAlignment="1">
      <alignment horizontal="center" vertical="center"/>
    </xf>
    <xf numFmtId="0" fontId="61" fillId="6" borderId="13" xfId="0" applyFont="1" applyFill="1" applyBorder="1" applyAlignment="1" applyProtection="1">
      <alignment horizontal="left" vertical="center" wrapText="1"/>
    </xf>
    <xf numFmtId="49" fontId="62" fillId="13" borderId="13" xfId="0" applyNumberFormat="1" applyFont="1" applyFill="1" applyBorder="1" applyAlignment="1" applyProtection="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5" xfId="3" applyNumberFormat="1" applyFont="1" applyBorder="1" applyAlignment="1" applyProtection="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62" fillId="0" borderId="0" xfId="3" applyNumberFormat="1" applyFont="1" applyAlignment="1">
      <alignment horizontal="center"/>
    </xf>
    <xf numFmtId="165" fontId="62" fillId="0" borderId="0" xfId="3" applyNumberFormat="1" applyFont="1" applyAlignment="1" applyProtection="1">
      <alignment horizontal="center" vertic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3" fontId="52" fillId="0" borderId="77" xfId="3" applyNumberFormat="1" applyFont="1" applyBorder="1" applyAlignment="1" applyProtection="1">
      <alignment horizontal="right" indent="1"/>
      <protection locked="0"/>
    </xf>
    <xf numFmtId="0" fontId="51" fillId="0" borderId="0" xfId="3" applyFont="1" applyAlignment="1" applyProtection="1">
      <alignment horizontal="center"/>
    </xf>
    <xf numFmtId="0" fontId="51" fillId="0" borderId="78" xfId="3" applyFont="1" applyBorder="1" applyAlignment="1" applyProtection="1">
      <alignment horizontal="center"/>
    </xf>
    <xf numFmtId="0" fontId="59" fillId="0" borderId="0" xfId="3" applyFont="1" applyAlignment="1" applyProtection="1">
      <alignment horizontal="left" vertical="center" wrapText="1"/>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936048</xdr:colOff>
          <xdr:row>3</xdr:row>
          <xdr:rowOff>104776</xdr:rowOff>
        </xdr:from>
        <xdr:to>
          <xdr:col>1</xdr:col>
          <xdr:colOff>1850448</xdr:colOff>
          <xdr:row>7</xdr:row>
          <xdr:rowOff>142876</xdr:rowOff>
        </xdr:to>
        <xdr:sp macro="" textlink="">
          <xdr:nvSpPr>
            <xdr:cNvPr id="50177" name="Object 1" hidden="1">
              <a:extLst>
                <a:ext uri="{63B3BB69-23CF-44E3-9099-C40C66FF867C}">
                  <a14:compatExt spid="_x0000_s50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c r="C5" s="26" t="s">
        <v>966</v>
      </c>
      <c r="D5" s="84"/>
      <c r="E5" s="84"/>
      <c r="H5" s="38"/>
      <c r="I5" s="2009" t="s">
        <v>701</v>
      </c>
      <c r="J5" s="2008"/>
      <c r="K5" s="2008"/>
      <c r="L5" s="2008"/>
      <c r="M5" s="2008"/>
      <c r="N5" s="2008"/>
      <c r="O5" s="2008"/>
      <c r="P5" s="2008"/>
      <c r="Q5" s="2008"/>
      <c r="R5" s="2008"/>
      <c r="S5" s="2008"/>
    </row>
    <row r="6" spans="1:28" ht="14.1" customHeight="1" x14ac:dyDescent="0.2">
      <c r="B6" s="104" t="s">
        <v>2076</v>
      </c>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2076</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45079132061</v>
      </c>
      <c r="B13" s="2035"/>
      <c r="C13" s="2035"/>
      <c r="D13" s="2035"/>
      <c r="E13" s="2035"/>
      <c r="F13" s="2035"/>
      <c r="G13" s="2035"/>
      <c r="H13" s="2036"/>
      <c r="I13" s="31"/>
      <c r="J13" s="30"/>
      <c r="K13" s="28"/>
      <c r="L13" s="30"/>
      <c r="M13" s="30"/>
      <c r="N13" s="30"/>
      <c r="O13" s="30"/>
      <c r="P13" s="30"/>
      <c r="Q13" s="30"/>
      <c r="R13" s="30"/>
      <c r="S13" s="30"/>
      <c r="T13" s="2039" t="s">
        <v>2077</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2086</v>
      </c>
      <c r="B15" s="2037"/>
      <c r="C15" s="2037"/>
      <c r="D15" s="2037"/>
      <c r="E15" s="2037"/>
      <c r="F15" s="2037"/>
      <c r="G15" s="2037"/>
      <c r="H15" s="2038"/>
      <c r="T15" s="2043" t="s">
        <v>2078</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2146</v>
      </c>
      <c r="B17" s="1994"/>
      <c r="C17" s="1994"/>
      <c r="D17" s="1994"/>
      <c r="E17" s="1994"/>
      <c r="F17" s="1994"/>
      <c r="G17" s="1994"/>
      <c r="H17" s="2019"/>
      <c r="T17" s="2050" t="s">
        <v>2079</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2087</v>
      </c>
      <c r="B19" s="1979"/>
      <c r="C19" s="1979"/>
      <c r="D19" s="1979"/>
      <c r="E19" s="1979"/>
      <c r="F19" s="1979"/>
      <c r="G19" s="1979"/>
      <c r="H19" s="1959"/>
      <c r="I19" s="30"/>
      <c r="J19" s="99"/>
      <c r="K19" s="40"/>
      <c r="L19" s="38"/>
      <c r="M19" s="112" t="s">
        <v>333</v>
      </c>
      <c r="P19" s="27"/>
      <c r="Q19" s="27"/>
      <c r="R19" s="27"/>
      <c r="S19" s="31"/>
      <c r="T19" s="2033" t="s">
        <v>2080</v>
      </c>
      <c r="U19" s="1958"/>
      <c r="V19" s="1958"/>
      <c r="W19" s="1959"/>
      <c r="X19" s="2048" t="s">
        <v>2081</v>
      </c>
      <c r="Y19" s="2049"/>
      <c r="Z19" s="2046">
        <v>62226</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2088</v>
      </c>
      <c r="B21" s="1958"/>
      <c r="C21" s="1958"/>
      <c r="D21" s="1958"/>
      <c r="E21" s="1958"/>
      <c r="F21" s="1958"/>
      <c r="G21" s="1958"/>
      <c r="H21" s="1959"/>
      <c r="I21" s="2013" t="s">
        <v>699</v>
      </c>
      <c r="J21" s="2008"/>
      <c r="K21" s="2008"/>
      <c r="L21" s="2008"/>
      <c r="M21" s="2008"/>
      <c r="N21" s="2008"/>
      <c r="O21" s="2008"/>
      <c r="P21" s="2008"/>
      <c r="Q21" s="2008"/>
      <c r="R21" s="2008"/>
      <c r="S21" s="2014"/>
      <c r="T21" s="2057" t="s">
        <v>2082</v>
      </c>
      <c r="U21" s="2058"/>
      <c r="V21" s="2058"/>
      <c r="W21" s="2058"/>
      <c r="X21" s="2063" t="s">
        <v>2083</v>
      </c>
      <c r="Y21" s="2064"/>
      <c r="Z21" s="2064"/>
      <c r="AA21" s="2065"/>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c r="B23" s="2011"/>
      <c r="C23" s="2011"/>
      <c r="D23" s="2011"/>
      <c r="E23" s="2011"/>
      <c r="F23" s="2011"/>
      <c r="G23" s="2011"/>
      <c r="H23" s="2012"/>
      <c r="T23" s="1993" t="s">
        <v>2084</v>
      </c>
      <c r="U23" s="2056"/>
      <c r="V23" s="2056"/>
      <c r="W23" s="2056"/>
      <c r="X23" s="2060">
        <v>43434</v>
      </c>
      <c r="Y23" s="2061"/>
      <c r="Z23" s="2061"/>
      <c r="AA23" s="2062"/>
    </row>
    <row r="24" spans="1:27" ht="14.1" customHeight="1" x14ac:dyDescent="0.2">
      <c r="A24" s="88" t="s">
        <v>698</v>
      </c>
      <c r="B24" s="49"/>
      <c r="C24" s="49"/>
      <c r="D24" s="49"/>
      <c r="E24" s="49"/>
      <c r="F24" s="49"/>
      <c r="G24" s="49"/>
      <c r="H24" s="61"/>
      <c r="J24" s="1980" t="str">
        <f>IF(B5="x",IF(AUDITCHECK!D29="AFR form Incomplete.","",IF(AUDITCHECK!D29="Deficit reduction plan is required.","School District must complete a deficit reduction plan in the 2018-2019 Budget",)),"")</f>
        <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v>62278</v>
      </c>
      <c r="B25" s="1958"/>
      <c r="C25" s="1958"/>
      <c r="D25" s="1958"/>
      <c r="E25" s="1958"/>
      <c r="F25" s="1958"/>
      <c r="G25" s="1958"/>
      <c r="H25" s="1959"/>
      <c r="I25" s="113"/>
      <c r="J25" s="1982"/>
      <c r="K25" s="1982"/>
      <c r="L25" s="1982"/>
      <c r="M25" s="1982"/>
      <c r="N25" s="1982"/>
      <c r="O25" s="1982"/>
      <c r="P25" s="1982"/>
      <c r="Q25" s="1982"/>
      <c r="R25" s="1982"/>
      <c r="S25" s="1983"/>
      <c r="T25" s="2053" t="s">
        <v>2085</v>
      </c>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2076</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2076</v>
      </c>
      <c r="C30" s="124" t="s">
        <v>1226</v>
      </c>
      <c r="D30" s="28"/>
      <c r="E30" s="28"/>
      <c r="F30" s="140"/>
      <c r="G30" s="114"/>
      <c r="H30" s="114"/>
      <c r="I30" s="54"/>
      <c r="J30" s="148" t="s">
        <v>2076</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2076</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c r="B38" s="1994"/>
      <c r="C38" s="1994"/>
      <c r="D38" s="1994"/>
      <c r="E38" s="1994"/>
      <c r="F38" s="1958"/>
      <c r="G38" s="1958"/>
      <c r="H38" s="1959"/>
      <c r="I38" s="1986"/>
      <c r="J38" s="1987"/>
      <c r="K38" s="1987"/>
      <c r="L38" s="1987"/>
      <c r="M38" s="1987"/>
      <c r="N38" s="1987"/>
      <c r="O38" s="1987"/>
      <c r="P38" s="1988"/>
      <c r="Q38" s="1988"/>
      <c r="R38" s="1988"/>
      <c r="S38" s="1989"/>
      <c r="T38" s="2043"/>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c r="B40" s="1972"/>
      <c r="C40" s="1973"/>
      <c r="D40" s="1973"/>
      <c r="E40" s="1973"/>
      <c r="F40" s="1974"/>
      <c r="G40" s="1974"/>
      <c r="H40" s="1975"/>
      <c r="I40" s="1996"/>
      <c r="J40" s="1997"/>
      <c r="K40" s="1997"/>
      <c r="L40" s="1997"/>
      <c r="M40" s="1997"/>
      <c r="N40" s="1997"/>
      <c r="O40" s="1997"/>
      <c r="P40" s="1997"/>
      <c r="Q40" s="1997"/>
      <c r="R40" s="1997"/>
      <c r="S40" s="1998"/>
      <c r="T40" s="1996"/>
      <c r="U40" s="2059"/>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c r="B42" s="1977"/>
      <c r="C42" s="1978"/>
      <c r="D42" s="1976"/>
      <c r="E42" s="1977"/>
      <c r="F42" s="1977"/>
      <c r="G42" s="1977"/>
      <c r="H42" s="1978"/>
      <c r="I42" s="1960"/>
      <c r="J42" s="1961"/>
      <c r="K42" s="1961"/>
      <c r="L42" s="1961"/>
      <c r="M42" s="1961"/>
      <c r="N42" s="1961"/>
      <c r="O42" s="1962"/>
      <c r="P42" s="1995"/>
      <c r="Q42" s="1961"/>
      <c r="R42" s="1961"/>
      <c r="S42" s="1962"/>
      <c r="T42" s="1960"/>
      <c r="U42" s="1961"/>
      <c r="V42" s="1961"/>
      <c r="W42" s="1962"/>
      <c r="X42" s="1995"/>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2064</v>
      </c>
      <c r="R47" s="41"/>
      <c r="S47" s="41"/>
      <c r="T47" s="41"/>
      <c r="U47" s="41"/>
      <c r="V47" s="41"/>
      <c r="W47" s="41"/>
      <c r="X47" s="41"/>
      <c r="Y47" s="41"/>
      <c r="Z47" s="41"/>
      <c r="AA47" s="41"/>
    </row>
    <row r="48" spans="1:27" x14ac:dyDescent="0.2">
      <c r="Q48" s="41" t="s">
        <v>2065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8" sqref="A8"/>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9" t="s">
        <v>1904</v>
      </c>
      <c r="B2" s="1550" t="s">
        <v>2034</v>
      </c>
      <c r="C2" s="715" t="s">
        <v>1909</v>
      </c>
      <c r="D2" s="715" t="s">
        <v>1910</v>
      </c>
      <c r="E2" s="715" t="s">
        <v>1911</v>
      </c>
      <c r="F2" s="715" t="s">
        <v>1912</v>
      </c>
    </row>
    <row r="3" spans="1:6" ht="12" customHeight="1" x14ac:dyDescent="0.2">
      <c r="A3" s="2200"/>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1914</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activeCell="A8" sqref="A8"/>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1" t="s">
        <v>650</v>
      </c>
      <c r="B1" s="2219"/>
      <c r="C1" s="722"/>
    </row>
    <row r="2" spans="1:7" ht="33.75" x14ac:dyDescent="0.2">
      <c r="A2" s="2226" t="s">
        <v>1904</v>
      </c>
      <c r="B2" s="2227"/>
      <c r="C2" s="1909" t="s">
        <v>2035</v>
      </c>
      <c r="D2" s="724" t="s">
        <v>2042</v>
      </c>
      <c r="E2" s="724" t="s">
        <v>2043</v>
      </c>
      <c r="F2" s="1909" t="s">
        <v>2036</v>
      </c>
    </row>
    <row r="3" spans="1:7" ht="15.75" customHeight="1" x14ac:dyDescent="0.2">
      <c r="A3" s="2228" t="s">
        <v>1176</v>
      </c>
      <c r="B3" s="2229"/>
      <c r="C3" s="2222"/>
      <c r="D3" s="2223"/>
      <c r="E3" s="2223"/>
      <c r="F3" s="2224"/>
    </row>
    <row r="4" spans="1:7" ht="12.75" customHeight="1" thickBot="1" x14ac:dyDescent="0.25">
      <c r="A4" s="2216" t="s">
        <v>651</v>
      </c>
      <c r="B4" s="2217"/>
      <c r="C4" s="581"/>
      <c r="D4" s="581"/>
      <c r="E4" s="581"/>
      <c r="F4" s="1777">
        <f>SUM(C4+D4)-E4</f>
        <v>0</v>
      </c>
    </row>
    <row r="5" spans="1:7" ht="15.75" customHeight="1" thickTop="1" x14ac:dyDescent="0.2">
      <c r="A5" s="2220" t="s">
        <v>1172</v>
      </c>
      <c r="B5" s="2215"/>
      <c r="C5" s="2209"/>
      <c r="D5" s="2210"/>
      <c r="E5" s="2210"/>
      <c r="F5" s="2211"/>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2" t="s">
        <v>652</v>
      </c>
      <c r="B15" s="2213"/>
      <c r="C15" s="1777">
        <f>SUM(C6:C14)</f>
        <v>0</v>
      </c>
      <c r="D15" s="1777">
        <f>SUM(D6:D14)</f>
        <v>0</v>
      </c>
      <c r="E15" s="1777">
        <f>SUM(E6:E14)</f>
        <v>0</v>
      </c>
      <c r="F15" s="1777">
        <f>SUM(F6:F14)</f>
        <v>0</v>
      </c>
      <c r="G15" s="552"/>
    </row>
    <row r="16" spans="1:7" s="202" customFormat="1" ht="15.75" customHeight="1" thickTop="1" x14ac:dyDescent="0.2">
      <c r="A16" s="2225" t="s">
        <v>1173</v>
      </c>
      <c r="B16" s="2215"/>
      <c r="C16" s="2209"/>
      <c r="D16" s="2210"/>
      <c r="E16" s="2210"/>
      <c r="F16" s="2211"/>
    </row>
    <row r="17" spans="1:11" ht="12.75" customHeight="1" thickBot="1" x14ac:dyDescent="0.25">
      <c r="A17" s="2207" t="s">
        <v>66</v>
      </c>
      <c r="B17" s="2208"/>
      <c r="C17" s="727"/>
      <c r="D17" s="585"/>
      <c r="E17" s="727"/>
      <c r="F17" s="1777">
        <f>SUM(C17+D17)-E17</f>
        <v>0</v>
      </c>
    </row>
    <row r="18" spans="1:11" ht="12.75" customHeight="1" thickTop="1" thickBot="1" x14ac:dyDescent="0.25">
      <c r="A18" s="2207" t="s">
        <v>6</v>
      </c>
      <c r="B18" s="2208"/>
      <c r="C18" s="727"/>
      <c r="D18" s="585"/>
      <c r="E18" s="727"/>
      <c r="F18" s="1777">
        <f>SUM(C18+D18)-E18</f>
        <v>0</v>
      </c>
    </row>
    <row r="19" spans="1:11" ht="12.75" customHeight="1" thickTop="1" thickBot="1" x14ac:dyDescent="0.25">
      <c r="A19" s="2207" t="s">
        <v>406</v>
      </c>
      <c r="B19" s="2208"/>
      <c r="C19" s="727"/>
      <c r="D19" s="585"/>
      <c r="E19" s="727"/>
      <c r="F19" s="1777">
        <f>SUM(C19+D19)-E19</f>
        <v>0</v>
      </c>
    </row>
    <row r="20" spans="1:11" ht="12.75" customHeight="1" thickTop="1" thickBot="1" x14ac:dyDescent="0.25">
      <c r="A20" s="2207" t="s">
        <v>468</v>
      </c>
      <c r="B20" s="2208"/>
      <c r="C20" s="727"/>
      <c r="D20" s="585"/>
      <c r="E20" s="727"/>
      <c r="F20" s="1777">
        <f>SUM(C20+D20)-E20</f>
        <v>0</v>
      </c>
    </row>
    <row r="21" spans="1:11" ht="14.25" thickTop="1" thickBot="1" x14ac:dyDescent="0.25">
      <c r="A21" s="2212" t="s">
        <v>653</v>
      </c>
      <c r="B21" s="2213"/>
      <c r="C21" s="1777">
        <f>SUM(C17:C20)</f>
        <v>0</v>
      </c>
      <c r="D21" s="1777">
        <f>SUM(D17:D20)</f>
        <v>0</v>
      </c>
      <c r="E21" s="1777">
        <f>SUM(E17:E20)</f>
        <v>0</v>
      </c>
      <c r="F21" s="1777">
        <f>SUM(F17:F20)</f>
        <v>0</v>
      </c>
      <c r="G21" s="552"/>
    </row>
    <row r="22" spans="1:11" ht="15.75" customHeight="1" thickTop="1" x14ac:dyDescent="0.2">
      <c r="A22" s="2214" t="s">
        <v>1174</v>
      </c>
      <c r="B22" s="2215"/>
      <c r="C22" s="2209"/>
      <c r="D22" s="2210"/>
      <c r="E22" s="2210"/>
      <c r="F22" s="2211"/>
    </row>
    <row r="23" spans="1:11" ht="13.5" thickBot="1" x14ac:dyDescent="0.25">
      <c r="A23" s="2216" t="s">
        <v>654</v>
      </c>
      <c r="B23" s="2217"/>
      <c r="C23" s="581"/>
      <c r="D23" s="581"/>
      <c r="E23" s="581"/>
      <c r="F23" s="1777">
        <f>SUM(C23+D23)-E23</f>
        <v>0</v>
      </c>
      <c r="G23" s="552"/>
    </row>
    <row r="24" spans="1:11" ht="15.75" customHeight="1" thickTop="1" x14ac:dyDescent="0.2">
      <c r="A24" s="2214" t="s">
        <v>1175</v>
      </c>
      <c r="B24" s="2215"/>
      <c r="C24" s="2209"/>
      <c r="D24" s="2210"/>
      <c r="E24" s="2210"/>
      <c r="F24" s="2211"/>
    </row>
    <row r="25" spans="1:11" ht="13.5" thickBot="1" x14ac:dyDescent="0.25">
      <c r="A25" s="2216" t="s">
        <v>655</v>
      </c>
      <c r="B25" s="2217"/>
      <c r="C25" s="581"/>
      <c r="D25" s="581"/>
      <c r="E25" s="581"/>
      <c r="F25" s="1777">
        <f>SUM(C25+D25)-E25</f>
        <v>0</v>
      </c>
      <c r="G25" s="552"/>
    </row>
    <row r="26" spans="1:11" ht="15.75" customHeight="1" thickTop="1" x14ac:dyDescent="0.2">
      <c r="A26" s="2220" t="s">
        <v>678</v>
      </c>
      <c r="B26" s="2215"/>
      <c r="C26" s="728"/>
      <c r="D26" s="728"/>
      <c r="E26" s="728"/>
      <c r="F26" s="729"/>
    </row>
    <row r="27" spans="1:11" ht="13.5" thickBot="1" x14ac:dyDescent="0.25">
      <c r="A27" s="2212" t="s">
        <v>1130</v>
      </c>
      <c r="B27" s="2213"/>
      <c r="C27" s="585"/>
      <c r="D27" s="585"/>
      <c r="E27" s="585"/>
      <c r="F27" s="1777">
        <f>SUM(C27+D27)-E27</f>
        <v>0</v>
      </c>
      <c r="G27" s="552"/>
    </row>
    <row r="28" spans="1:11" ht="7.5" customHeight="1" thickTop="1" x14ac:dyDescent="0.2">
      <c r="A28" s="594"/>
    </row>
    <row r="29" spans="1:11" ht="23.25" customHeight="1" x14ac:dyDescent="0.2">
      <c r="A29" s="2218" t="s">
        <v>603</v>
      </c>
      <c r="B29" s="2219"/>
      <c r="C29" s="730"/>
      <c r="D29" s="730"/>
      <c r="E29" s="730"/>
      <c r="F29" s="730"/>
      <c r="G29" s="730"/>
      <c r="H29" s="730"/>
      <c r="I29" s="730"/>
      <c r="J29" s="730"/>
    </row>
    <row r="30" spans="1:11" ht="33.75" x14ac:dyDescent="0.2">
      <c r="A30" s="1551" t="s">
        <v>1131</v>
      </c>
      <c r="B30" s="731" t="s">
        <v>1186</v>
      </c>
      <c r="C30" s="1910" t="s">
        <v>604</v>
      </c>
      <c r="D30" s="1910" t="s">
        <v>1772</v>
      </c>
      <c r="E30" s="1910" t="s">
        <v>2037</v>
      </c>
      <c r="F30" s="1910" t="s">
        <v>2038</v>
      </c>
      <c r="G30" s="1910" t="s">
        <v>2041</v>
      </c>
      <c r="H30" s="1910" t="s">
        <v>2039</v>
      </c>
      <c r="I30" s="1910" t="s">
        <v>2040</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1913</v>
      </c>
      <c r="B51" s="747"/>
      <c r="C51" s="738"/>
      <c r="D51" s="738"/>
      <c r="E51" s="738"/>
      <c r="F51" s="738"/>
      <c r="G51" s="738"/>
      <c r="H51" s="737"/>
      <c r="I51" s="737"/>
      <c r="J51" s="747"/>
    </row>
    <row r="52" spans="1:11" ht="11.25" customHeight="1" x14ac:dyDescent="0.2">
      <c r="A52" s="749" t="s">
        <v>968</v>
      </c>
      <c r="B52" s="2201" t="s">
        <v>605</v>
      </c>
      <c r="C52" s="2202"/>
      <c r="D52" s="2202"/>
      <c r="E52" s="750" t="s">
        <v>900</v>
      </c>
      <c r="F52" s="2203"/>
      <c r="G52" s="2204"/>
      <c r="H52" s="737"/>
      <c r="I52" s="737"/>
      <c r="J52" s="747"/>
    </row>
    <row r="53" spans="1:11" ht="11.25" customHeight="1" x14ac:dyDescent="0.2">
      <c r="A53" s="751" t="s">
        <v>969</v>
      </c>
      <c r="B53" s="752" t="s">
        <v>1008</v>
      </c>
      <c r="C53" s="747"/>
      <c r="D53" s="738"/>
      <c r="E53" s="750" t="s">
        <v>518</v>
      </c>
      <c r="F53" s="2205"/>
      <c r="G53" s="2206"/>
      <c r="H53" s="737"/>
      <c r="I53" s="737"/>
      <c r="J53" s="747"/>
    </row>
    <row r="54" spans="1:11" ht="11.25" customHeight="1" x14ac:dyDescent="0.2">
      <c r="A54" s="753" t="s">
        <v>970</v>
      </c>
      <c r="B54" s="748" t="s">
        <v>1009</v>
      </c>
      <c r="C54" s="747"/>
      <c r="D54" s="738"/>
      <c r="E54" s="750" t="s">
        <v>519</v>
      </c>
      <c r="F54" s="2205"/>
      <c r="G54" s="220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8" sqref="A8"/>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0" t="s">
        <v>911</v>
      </c>
      <c r="B1" s="2231"/>
      <c r="C1" s="2231"/>
      <c r="D1" s="2231"/>
      <c r="E1" s="2231"/>
      <c r="F1" s="2231"/>
      <c r="G1" s="2232"/>
      <c r="H1" s="1552"/>
      <c r="I1" s="761"/>
      <c r="J1" s="433"/>
    </row>
    <row r="2" spans="1:11" ht="26.25" x14ac:dyDescent="0.2">
      <c r="A2" s="2249" t="s">
        <v>1776</v>
      </c>
      <c r="B2" s="2250"/>
      <c r="C2" s="2250"/>
      <c r="D2" s="2250"/>
      <c r="E2" s="2251"/>
      <c r="F2" s="762" t="s">
        <v>960</v>
      </c>
      <c r="G2" s="763" t="s">
        <v>1773</v>
      </c>
      <c r="H2" s="763" t="s">
        <v>430</v>
      </c>
      <c r="I2" s="763" t="s">
        <v>1220</v>
      </c>
      <c r="J2" s="763" t="s">
        <v>1918</v>
      </c>
      <c r="K2" s="763" t="s">
        <v>140</v>
      </c>
    </row>
    <row r="3" spans="1:11" x14ac:dyDescent="0.2">
      <c r="A3" s="2252" t="s">
        <v>1698</v>
      </c>
      <c r="B3" s="2253"/>
      <c r="C3" s="2253"/>
      <c r="D3" s="2253"/>
      <c r="E3" s="2254"/>
      <c r="F3" s="764"/>
      <c r="G3" s="765"/>
      <c r="H3" s="765"/>
      <c r="I3" s="765"/>
      <c r="J3" s="766"/>
      <c r="K3" s="766"/>
    </row>
    <row r="4" spans="1:11" x14ac:dyDescent="0.2">
      <c r="A4" s="2255" t="s">
        <v>387</v>
      </c>
      <c r="B4" s="2256"/>
      <c r="C4" s="2256"/>
      <c r="D4" s="2256"/>
      <c r="E4" s="2202"/>
      <c r="F4" s="767"/>
      <c r="G4" s="768"/>
      <c r="H4" s="769"/>
      <c r="I4" s="768"/>
      <c r="J4" s="770"/>
      <c r="K4" s="770"/>
    </row>
    <row r="5" spans="1:11" x14ac:dyDescent="0.2">
      <c r="A5" s="2233" t="s">
        <v>1129</v>
      </c>
      <c r="B5" s="2234"/>
      <c r="C5" s="2234"/>
      <c r="D5" s="2234"/>
      <c r="E5" s="2235"/>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3" t="s">
        <v>1919</v>
      </c>
      <c r="B10" s="2234"/>
      <c r="C10" s="2234"/>
      <c r="D10" s="2234"/>
      <c r="E10" s="2236"/>
      <c r="F10" s="784" t="s">
        <v>917</v>
      </c>
      <c r="G10" s="783"/>
      <c r="H10" s="785"/>
      <c r="I10" s="765"/>
      <c r="J10" s="766"/>
      <c r="K10" s="766"/>
    </row>
    <row r="11" spans="1:11" x14ac:dyDescent="0.2">
      <c r="A11" s="2233" t="s">
        <v>162</v>
      </c>
      <c r="B11" s="2234"/>
      <c r="C11" s="2234"/>
      <c r="D11" s="2234"/>
      <c r="E11" s="2235"/>
      <c r="F11" s="771" t="s">
        <v>907</v>
      </c>
      <c r="G11" s="772"/>
      <c r="H11" s="765"/>
      <c r="I11" s="765"/>
      <c r="J11" s="766"/>
      <c r="K11" s="774"/>
    </row>
    <row r="12" spans="1:11" ht="13.5" thickBot="1" x14ac:dyDescent="0.25">
      <c r="A12" s="2260" t="s">
        <v>961</v>
      </c>
      <c r="B12" s="2261"/>
      <c r="C12" s="2261"/>
      <c r="D12" s="2261"/>
      <c r="E12" s="2262"/>
      <c r="F12" s="1779"/>
      <c r="G12" s="1780">
        <f>SUM(G5:G11)</f>
        <v>0</v>
      </c>
      <c r="H12" s="1780">
        <f>SUM(H5:H11)</f>
        <v>0</v>
      </c>
      <c r="I12" s="1780">
        <f>SUM(I5:I11)</f>
        <v>0</v>
      </c>
      <c r="J12" s="1780">
        <f>SUM(J5:J11)</f>
        <v>0</v>
      </c>
      <c r="K12" s="1780">
        <f>SUM(K5:K11)</f>
        <v>0</v>
      </c>
    </row>
    <row r="13" spans="1:11" ht="13.5" thickTop="1" x14ac:dyDescent="0.2">
      <c r="A13" s="2257" t="s">
        <v>388</v>
      </c>
      <c r="B13" s="2258"/>
      <c r="C13" s="2258"/>
      <c r="D13" s="2258"/>
      <c r="E13" s="2259"/>
      <c r="F13" s="786"/>
      <c r="G13" s="787"/>
      <c r="H13" s="788"/>
      <c r="I13" s="789"/>
      <c r="J13" s="789"/>
      <c r="K13" s="789"/>
    </row>
    <row r="14" spans="1:11" x14ac:dyDescent="0.2">
      <c r="A14" s="2240" t="s">
        <v>476</v>
      </c>
      <c r="B14" s="2240"/>
      <c r="C14" s="2240"/>
      <c r="D14" s="2240"/>
      <c r="E14" s="2241"/>
      <c r="F14" s="790" t="s">
        <v>909</v>
      </c>
      <c r="G14" s="783"/>
      <c r="H14" s="765"/>
      <c r="I14" s="772"/>
      <c r="J14" s="774"/>
      <c r="K14" s="766"/>
    </row>
    <row r="15" spans="1:11" x14ac:dyDescent="0.2">
      <c r="A15" s="2234" t="s">
        <v>4</v>
      </c>
      <c r="B15" s="2234"/>
      <c r="C15" s="2234"/>
      <c r="D15" s="2234"/>
      <c r="E15" s="2235"/>
      <c r="F15" s="790" t="s">
        <v>910</v>
      </c>
      <c r="G15" s="772"/>
      <c r="H15" s="765"/>
      <c r="I15" s="765"/>
      <c r="J15" s="766"/>
      <c r="K15" s="766"/>
    </row>
    <row r="16" spans="1:11" x14ac:dyDescent="0.2">
      <c r="A16" s="2234" t="s">
        <v>316</v>
      </c>
      <c r="B16" s="2234"/>
      <c r="C16" s="2234"/>
      <c r="D16" s="2234"/>
      <c r="E16" s="2235"/>
      <c r="F16" s="790" t="s">
        <v>980</v>
      </c>
      <c r="G16" s="773"/>
      <c r="H16" s="768"/>
      <c r="I16" s="768"/>
      <c r="J16" s="770"/>
      <c r="K16" s="770"/>
    </row>
    <row r="17" spans="1:11" x14ac:dyDescent="0.2">
      <c r="A17" s="2265" t="s">
        <v>992</v>
      </c>
      <c r="B17" s="2265"/>
      <c r="C17" s="2265"/>
      <c r="D17" s="2265"/>
      <c r="E17" s="2266"/>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42" t="s">
        <v>1915</v>
      </c>
      <c r="B19" s="2242"/>
      <c r="C19" s="2242"/>
      <c r="D19" s="2242"/>
      <c r="E19" s="2243"/>
      <c r="F19" s="790" t="s">
        <v>990</v>
      </c>
      <c r="G19" s="783"/>
      <c r="H19" s="783"/>
      <c r="I19" s="783"/>
      <c r="J19" s="766"/>
      <c r="K19" s="796"/>
    </row>
    <row r="20" spans="1:11" x14ac:dyDescent="0.2">
      <c r="A20" s="2244" t="s">
        <v>1920</v>
      </c>
      <c r="B20" s="2245"/>
      <c r="C20" s="2245"/>
      <c r="D20" s="2245"/>
      <c r="E20" s="2246"/>
      <c r="F20" s="790" t="s">
        <v>991</v>
      </c>
      <c r="G20" s="783"/>
      <c r="H20" s="783"/>
      <c r="I20" s="783"/>
      <c r="J20" s="766"/>
      <c r="K20" s="796"/>
    </row>
    <row r="21" spans="1:11" ht="13.5" thickBot="1" x14ac:dyDescent="0.25">
      <c r="A21" s="2263" t="s">
        <v>659</v>
      </c>
      <c r="B21" s="2263"/>
      <c r="C21" s="2263"/>
      <c r="D21" s="2263"/>
      <c r="E21" s="2263"/>
      <c r="F21" s="1781"/>
      <c r="G21" s="793"/>
      <c r="H21" s="797"/>
      <c r="I21" s="797"/>
      <c r="J21" s="1782">
        <f>SUM(J18:J20)</f>
        <v>0</v>
      </c>
      <c r="K21" s="794"/>
    </row>
    <row r="22" spans="1:11" ht="13.5" thickTop="1" x14ac:dyDescent="0.2">
      <c r="A22" s="2234" t="s">
        <v>1921</v>
      </c>
      <c r="B22" s="2234"/>
      <c r="C22" s="2234"/>
      <c r="D22" s="2234"/>
      <c r="E22" s="2235"/>
      <c r="F22" s="790" t="s">
        <v>917</v>
      </c>
      <c r="G22" s="783"/>
      <c r="H22" s="765"/>
      <c r="I22" s="765"/>
      <c r="J22" s="798"/>
      <c r="K22" s="766"/>
    </row>
    <row r="23" spans="1:11" ht="13.5" thickBot="1" x14ac:dyDescent="0.25">
      <c r="A23" s="2264" t="s">
        <v>962</v>
      </c>
      <c r="B23" s="2263"/>
      <c r="C23" s="2263"/>
      <c r="D23" s="2263"/>
      <c r="E23" s="2263"/>
      <c r="F23" s="1783"/>
      <c r="G23" s="1780">
        <f>SUM(G14:G16,G21,G22)</f>
        <v>0</v>
      </c>
      <c r="H23" s="1780">
        <f>SUM(H14:H16,H21,H22)</f>
        <v>0</v>
      </c>
      <c r="I23" s="1780">
        <f>SUM(I14:I16,I21,I22)</f>
        <v>0</v>
      </c>
      <c r="J23" s="1780">
        <f>SUM(J14:J16,J21,J22)</f>
        <v>0</v>
      </c>
      <c r="K23" s="1780">
        <f>SUM(K14:K16,K21,K22)</f>
        <v>0</v>
      </c>
    </row>
    <row r="24" spans="1:11" ht="14.25" thickTop="1" thickBot="1" x14ac:dyDescent="0.25">
      <c r="A24" s="2264" t="s">
        <v>2023</v>
      </c>
      <c r="B24" s="2263"/>
      <c r="C24" s="2263"/>
      <c r="D24" s="2263"/>
      <c r="E24" s="2263"/>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2033</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7"/>
      <c r="I31" s="2238"/>
      <c r="J31" s="2238"/>
      <c r="K31" s="2238"/>
    </row>
    <row r="32" spans="1:11" x14ac:dyDescent="0.2">
      <c r="A32" s="810"/>
      <c r="B32" s="237"/>
      <c r="C32" s="237"/>
      <c r="D32" s="237"/>
      <c r="E32" s="806"/>
      <c r="F32" s="812" t="s">
        <v>561</v>
      </c>
      <c r="G32" s="765"/>
      <c r="H32" s="2239"/>
      <c r="I32" s="2238"/>
      <c r="J32" s="2238"/>
      <c r="K32" s="2238"/>
    </row>
    <row r="33" spans="1:11" ht="1.5" customHeight="1" x14ac:dyDescent="0.2">
      <c r="A33" s="813" t="s">
        <v>1231</v>
      </c>
      <c r="B33" s="364"/>
      <c r="C33" s="364"/>
      <c r="D33" s="364"/>
      <c r="E33" s="364"/>
      <c r="F33" s="364"/>
      <c r="G33" s="814"/>
      <c r="H33" s="2239"/>
      <c r="I33" s="2238"/>
      <c r="J33" s="2238"/>
      <c r="K33" s="2238"/>
    </row>
    <row r="34" spans="1:11" x14ac:dyDescent="0.2">
      <c r="A34" s="815" t="s">
        <v>1922</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4" t="s">
        <v>562</v>
      </c>
      <c r="B41" s="2247"/>
      <c r="C41" s="2247"/>
      <c r="D41" s="2247"/>
      <c r="E41" s="2247"/>
      <c r="F41" s="2248"/>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1916</v>
      </c>
      <c r="B46" s="408" t="s">
        <v>1774</v>
      </c>
    </row>
    <row r="47" spans="1:11" s="824" customFormat="1" ht="12.75" customHeight="1" x14ac:dyDescent="0.2">
      <c r="A47" s="822"/>
      <c r="B47" s="823" t="s">
        <v>1775</v>
      </c>
      <c r="E47" s="823"/>
      <c r="K47" s="825"/>
    </row>
    <row r="48" spans="1:11" ht="12.75" customHeight="1" x14ac:dyDescent="0.2">
      <c r="A48" s="1554" t="s">
        <v>1917</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C3" sqref="C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2032</v>
      </c>
      <c r="B1" s="2270"/>
      <c r="C1" s="2271"/>
      <c r="D1" s="827"/>
      <c r="E1" s="828"/>
      <c r="F1" s="828"/>
      <c r="G1" s="829"/>
      <c r="H1" s="830"/>
      <c r="I1" s="831"/>
      <c r="J1" s="2267"/>
      <c r="K1" s="2268"/>
      <c r="L1" s="2268"/>
    </row>
    <row r="2" spans="1:14" ht="69.75" customHeight="1" x14ac:dyDescent="0.2">
      <c r="A2" s="832" t="s">
        <v>1777</v>
      </c>
      <c r="B2" s="833" t="s">
        <v>396</v>
      </c>
      <c r="C2" s="834" t="s">
        <v>2027</v>
      </c>
      <c r="D2" s="834" t="s">
        <v>2024</v>
      </c>
      <c r="E2" s="834" t="s">
        <v>2025</v>
      </c>
      <c r="F2" s="834" t="s">
        <v>2026</v>
      </c>
      <c r="G2" s="834" t="s">
        <v>626</v>
      </c>
      <c r="H2" s="834" t="s">
        <v>2028</v>
      </c>
      <c r="I2" s="834" t="s">
        <v>2029</v>
      </c>
      <c r="J2" s="834" t="s">
        <v>2044</v>
      </c>
      <c r="K2" s="834" t="s">
        <v>2030</v>
      </c>
      <c r="L2" s="834" t="s">
        <v>2031</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51015</v>
      </c>
      <c r="D5" s="842"/>
      <c r="E5" s="842"/>
      <c r="F5" s="1782">
        <f>(C5+D5)-E5</f>
        <v>51015</v>
      </c>
      <c r="G5" s="838"/>
      <c r="H5" s="843"/>
      <c r="I5" s="843"/>
      <c r="J5" s="843"/>
      <c r="K5" s="794"/>
      <c r="L5" s="1791">
        <f>F5-K5</f>
        <v>51015</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724275</v>
      </c>
      <c r="D8" s="845">
        <v>17853</v>
      </c>
      <c r="E8" s="845"/>
      <c r="F8" s="1782">
        <f>(C8+D8)-E8</f>
        <v>742128</v>
      </c>
      <c r="G8" s="844">
        <v>50</v>
      </c>
      <c r="H8" s="766">
        <v>207169</v>
      </c>
      <c r="I8" s="766">
        <v>23649</v>
      </c>
      <c r="J8" s="766"/>
      <c r="K8" s="1791">
        <f>(H8+I8)-J8</f>
        <v>230818</v>
      </c>
      <c r="L8" s="1791">
        <f>F8-K8</f>
        <v>511310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41198</v>
      </c>
      <c r="D10" s="847"/>
      <c r="E10" s="847"/>
      <c r="F10" s="1786">
        <f>(C10+D10)-E10</f>
        <v>41198</v>
      </c>
      <c r="G10" s="844">
        <v>20</v>
      </c>
      <c r="H10" s="848">
        <v>4120</v>
      </c>
      <c r="I10" s="848">
        <v>2060</v>
      </c>
      <c r="J10" s="848"/>
      <c r="K10" s="1791">
        <f>(H10+I10)-J10</f>
        <v>6180</v>
      </c>
      <c r="L10" s="1791">
        <f>F10-K10</f>
        <v>35018</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544490</v>
      </c>
      <c r="D12" s="845">
        <v>21801</v>
      </c>
      <c r="E12" s="845"/>
      <c r="F12" s="1782">
        <f>(C12+D12)-E12</f>
        <v>566291</v>
      </c>
      <c r="G12" s="844">
        <v>10</v>
      </c>
      <c r="H12" s="766">
        <v>446916</v>
      </c>
      <c r="I12" s="766">
        <v>26835</v>
      </c>
      <c r="J12" s="766"/>
      <c r="K12" s="1791">
        <f>(H12+I12)-J12</f>
        <v>473751</v>
      </c>
      <c r="L12" s="1791">
        <f>F12-K12</f>
        <v>92540</v>
      </c>
    </row>
    <row r="13" spans="1:14" ht="14.25" thickTop="1" thickBot="1" x14ac:dyDescent="0.25">
      <c r="A13" s="849" t="s">
        <v>1184</v>
      </c>
      <c r="B13" s="841">
        <v>252</v>
      </c>
      <c r="C13" s="845">
        <v>24281</v>
      </c>
      <c r="D13" s="845"/>
      <c r="E13" s="845"/>
      <c r="F13" s="1782">
        <f>(C13+D13)-E13</f>
        <v>24281</v>
      </c>
      <c r="G13" s="844">
        <v>5</v>
      </c>
      <c r="H13" s="766">
        <v>9712</v>
      </c>
      <c r="I13" s="766">
        <v>4856</v>
      </c>
      <c r="J13" s="766"/>
      <c r="K13" s="1791">
        <f>(H13+I13)-J13</f>
        <v>14568</v>
      </c>
      <c r="L13" s="1791">
        <f>F13-K13</f>
        <v>9713</v>
      </c>
    </row>
    <row r="14" spans="1:14" ht="14.25" thickTop="1" thickBot="1" x14ac:dyDescent="0.25">
      <c r="A14" s="849" t="s">
        <v>1185</v>
      </c>
      <c r="B14" s="841">
        <v>253</v>
      </c>
      <c r="C14" s="766"/>
      <c r="D14" s="766">
        <v>11528</v>
      </c>
      <c r="E14" s="766"/>
      <c r="F14" s="1782">
        <f>(C14+D14)-E14</f>
        <v>11528</v>
      </c>
      <c r="G14" s="844">
        <v>3</v>
      </c>
      <c r="H14" s="766"/>
      <c r="I14" s="766">
        <v>1921</v>
      </c>
      <c r="J14" s="766"/>
      <c r="K14" s="1791">
        <f>(H14+I14)-J14</f>
        <v>1921</v>
      </c>
      <c r="L14" s="1791">
        <f>F14-K14</f>
        <v>9607</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1385259</v>
      </c>
      <c r="D16" s="1782">
        <f>SUM(D3,D5:D6,D8:D10,D12:D15)</f>
        <v>51182</v>
      </c>
      <c r="E16" s="1782">
        <f>SUM(E3,E5:E6,E8:E10,E12:E15)</f>
        <v>0</v>
      </c>
      <c r="F16" s="1782">
        <f>SUM(F3,F5:F6,F8:F10,F12:F15)</f>
        <v>1436441</v>
      </c>
      <c r="G16" s="844"/>
      <c r="H16" s="1782">
        <f>SUM(H3,H6,H8:H10,H12:H14,)</f>
        <v>667917</v>
      </c>
      <c r="I16" s="1782">
        <f>SUM(I3,I6,I8:I10,I12:I14,)</f>
        <v>59321</v>
      </c>
      <c r="J16" s="1782">
        <f>SUM(J3,J6,J8:J10,J12:J14,)</f>
        <v>0</v>
      </c>
      <c r="K16" s="1782">
        <f>(H16+I16)-J16</f>
        <v>727238</v>
      </c>
      <c r="L16" s="1782">
        <f>F16-K16</f>
        <v>709203</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21883</v>
      </c>
      <c r="G17" s="838">
        <v>10</v>
      </c>
      <c r="H17" s="770"/>
      <c r="I17" s="1791">
        <f>F17/G17</f>
        <v>2188.3000000000002</v>
      </c>
      <c r="J17" s="770"/>
      <c r="K17" s="796"/>
      <c r="L17" s="796"/>
    </row>
    <row r="18" spans="1:12" ht="14.25" thickTop="1" thickBot="1" x14ac:dyDescent="0.25">
      <c r="A18" s="1789" t="s">
        <v>706</v>
      </c>
      <c r="B18" s="1790"/>
      <c r="C18" s="772"/>
      <c r="D18" s="772"/>
      <c r="E18" s="772"/>
      <c r="F18" s="851"/>
      <c r="G18" s="852"/>
      <c r="H18" s="774"/>
      <c r="I18" s="1782">
        <f>SUM(I16,I17)</f>
        <v>61509.3</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8" sqref="A8"/>
      <selection pane="bottomLeft" activeCell="A8" sqref="A8"/>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5692473</v>
      </c>
      <c r="G8" s="866"/>
    </row>
    <row r="9" spans="1:7" x14ac:dyDescent="0.2">
      <c r="A9" s="870" t="s">
        <v>480</v>
      </c>
      <c r="B9" s="871" t="s">
        <v>1987</v>
      </c>
      <c r="C9" s="872"/>
      <c r="D9" s="870" t="s">
        <v>522</v>
      </c>
      <c r="E9" s="869"/>
      <c r="F9" s="1935">
        <f>'Expenditures 15-22'!K151</f>
        <v>0</v>
      </c>
      <c r="G9" s="873"/>
    </row>
    <row r="10" spans="1:7" x14ac:dyDescent="0.2">
      <c r="A10" s="870" t="s">
        <v>520</v>
      </c>
      <c r="B10" s="871" t="s">
        <v>1988</v>
      </c>
      <c r="C10" s="872"/>
      <c r="D10" s="870" t="s">
        <v>522</v>
      </c>
      <c r="E10" s="869"/>
      <c r="F10" s="1935">
        <f>'Expenditures 15-22'!K174</f>
        <v>0</v>
      </c>
      <c r="G10" s="873"/>
    </row>
    <row r="11" spans="1:7" x14ac:dyDescent="0.2">
      <c r="A11" s="870" t="s">
        <v>481</v>
      </c>
      <c r="B11" s="871" t="s">
        <v>1989</v>
      </c>
      <c r="C11" s="872"/>
      <c r="D11" s="870" t="s">
        <v>522</v>
      </c>
      <c r="E11" s="869"/>
      <c r="F11" s="1935">
        <f>'Expenditures 15-22'!K210</f>
        <v>0</v>
      </c>
      <c r="G11" s="873"/>
    </row>
    <row r="12" spans="1:7" x14ac:dyDescent="0.2">
      <c r="A12" s="870" t="s">
        <v>482</v>
      </c>
      <c r="B12" s="871" t="s">
        <v>1990</v>
      </c>
      <c r="C12" s="872"/>
      <c r="D12" s="870" t="s">
        <v>522</v>
      </c>
      <c r="E12" s="869"/>
      <c r="F12" s="1935">
        <f>'Expenditures 15-22'!K295</f>
        <v>0</v>
      </c>
      <c r="G12" s="873"/>
    </row>
    <row r="13" spans="1:7" x14ac:dyDescent="0.2">
      <c r="A13" s="870" t="s">
        <v>108</v>
      </c>
      <c r="B13" s="871" t="s">
        <v>1991</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5692473</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1218020</v>
      </c>
      <c r="G53" s="866"/>
    </row>
    <row r="54" spans="1:7" x14ac:dyDescent="0.2">
      <c r="A54" s="870" t="s">
        <v>479</v>
      </c>
      <c r="B54" s="870" t="s">
        <v>1552</v>
      </c>
      <c r="C54" s="890" t="s">
        <v>1039</v>
      </c>
      <c r="D54" s="886" t="s">
        <v>1157</v>
      </c>
      <c r="E54" s="869"/>
      <c r="F54" s="1939">
        <f>'Expenditures 15-22'!G114</f>
        <v>51182</v>
      </c>
      <c r="G54" s="866"/>
    </row>
    <row r="55" spans="1:7" x14ac:dyDescent="0.2">
      <c r="A55" s="870" t="s">
        <v>479</v>
      </c>
      <c r="B55" s="870" t="s">
        <v>1553</v>
      </c>
      <c r="C55" s="890" t="s">
        <v>1039</v>
      </c>
      <c r="D55" s="886" t="s">
        <v>309</v>
      </c>
      <c r="E55" s="869"/>
      <c r="F55" s="1939">
        <f>'Expenditures 15-22'!I114</f>
        <v>21883</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1992</v>
      </c>
      <c r="C57" s="890">
        <f>'Expenditures 15-22'!B139</f>
        <v>4000</v>
      </c>
      <c r="D57" s="888" t="str">
        <f>'Expenditures 15-22'!A139</f>
        <v>Total Payments to Other Govt Units</v>
      </c>
      <c r="E57" s="869"/>
      <c r="F57" s="1939">
        <f>'Expenditures 15-22'!K139</f>
        <v>0</v>
      </c>
      <c r="G57" s="866"/>
    </row>
    <row r="58" spans="1:7" x14ac:dyDescent="0.2">
      <c r="A58" s="870" t="s">
        <v>480</v>
      </c>
      <c r="B58" s="870" t="s">
        <v>1993</v>
      </c>
      <c r="C58" s="887" t="s">
        <v>1039</v>
      </c>
      <c r="D58" s="886" t="s">
        <v>1157</v>
      </c>
      <c r="E58" s="869"/>
      <c r="F58" s="1941">
        <f>'Expenditures 15-22'!G151</f>
        <v>0</v>
      </c>
      <c r="G58" s="866"/>
    </row>
    <row r="59" spans="1:7" x14ac:dyDescent="0.2">
      <c r="A59" s="894" t="s">
        <v>480</v>
      </c>
      <c r="B59" s="857" t="s">
        <v>1994</v>
      </c>
      <c r="C59" s="895" t="s">
        <v>1039</v>
      </c>
      <c r="D59" s="857" t="s">
        <v>309</v>
      </c>
      <c r="F59" s="1942">
        <f>'Expenditures 15-22'!I151</f>
        <v>0</v>
      </c>
      <c r="G59" s="866"/>
    </row>
    <row r="60" spans="1:7" x14ac:dyDescent="0.2">
      <c r="A60" s="894" t="s">
        <v>520</v>
      </c>
      <c r="B60" s="857" t="s">
        <v>1995</v>
      </c>
      <c r="C60" s="895">
        <v>4000</v>
      </c>
      <c r="D60" s="857" t="s">
        <v>330</v>
      </c>
      <c r="F60" s="1940">
        <f>'Expenditures 15-22'!K160</f>
        <v>0</v>
      </c>
      <c r="G60" s="866"/>
    </row>
    <row r="61" spans="1:7" x14ac:dyDescent="0.2">
      <c r="A61" s="896" t="s">
        <v>520</v>
      </c>
      <c r="B61" s="896" t="s">
        <v>1996</v>
      </c>
      <c r="C61" s="897" t="str">
        <f>'Expenditures 15-22'!B170</f>
        <v>5300</v>
      </c>
      <c r="D61" s="898" t="s">
        <v>329</v>
      </c>
      <c r="E61" s="880"/>
      <c r="F61" s="1939">
        <f>'Expenditures 15-22'!K170</f>
        <v>0</v>
      </c>
      <c r="G61" s="866"/>
    </row>
    <row r="62" spans="1:7" x14ac:dyDescent="0.2">
      <c r="A62" s="870" t="s">
        <v>481</v>
      </c>
      <c r="B62" s="870" t="s">
        <v>1997</v>
      </c>
      <c r="C62" s="887">
        <f>'Expenditures 15-22'!B185</f>
        <v>3000</v>
      </c>
      <c r="D62" s="877" t="s">
        <v>469</v>
      </c>
      <c r="E62" s="869"/>
      <c r="F62" s="1939">
        <f>'Expenditures 15-22'!K185-SUM('Expenditures 15-22'!G185,'Expenditures 15-22'!I185)</f>
        <v>0</v>
      </c>
      <c r="G62" s="866"/>
    </row>
    <row r="63" spans="1:7" x14ac:dyDescent="0.2">
      <c r="A63" s="870" t="s">
        <v>481</v>
      </c>
      <c r="B63" s="870" t="s">
        <v>1998</v>
      </c>
      <c r="C63" s="887" t="str">
        <f>'Expenditures 15-22'!B196</f>
        <v>4000</v>
      </c>
      <c r="D63" s="888" t="str">
        <f>'Expenditures 15-22'!A196</f>
        <v>Total Payments to Other Govt Units</v>
      </c>
      <c r="E63" s="869"/>
      <c r="F63" s="1939">
        <f>'Expenditures 15-22'!K196</f>
        <v>0</v>
      </c>
      <c r="G63" s="866"/>
    </row>
    <row r="64" spans="1:7" x14ac:dyDescent="0.2">
      <c r="A64" s="896" t="s">
        <v>481</v>
      </c>
      <c r="B64" s="896" t="s">
        <v>1999</v>
      </c>
      <c r="C64" s="897" t="str">
        <f>'Expenditures 15-22'!B206</f>
        <v>5300</v>
      </c>
      <c r="D64" s="893" t="s">
        <v>329</v>
      </c>
      <c r="E64" s="869"/>
      <c r="F64" s="1939">
        <f>'Expenditures 15-22'!K206</f>
        <v>0</v>
      </c>
      <c r="G64" s="866"/>
    </row>
    <row r="65" spans="1:8" x14ac:dyDescent="0.2">
      <c r="A65" s="870" t="s">
        <v>481</v>
      </c>
      <c r="B65" s="870" t="s">
        <v>2000</v>
      </c>
      <c r="C65" s="887" t="s">
        <v>1039</v>
      </c>
      <c r="D65" s="886" t="s">
        <v>1157</v>
      </c>
      <c r="E65" s="869"/>
      <c r="F65" s="1939">
        <f>'Expenditures 15-22'!G210</f>
        <v>0</v>
      </c>
      <c r="G65" s="866"/>
    </row>
    <row r="66" spans="1:8" x14ac:dyDescent="0.2">
      <c r="A66" s="870" t="s">
        <v>481</v>
      </c>
      <c r="B66" s="870" t="s">
        <v>2001</v>
      </c>
      <c r="C66" s="887" t="s">
        <v>1039</v>
      </c>
      <c r="D66" s="886" t="s">
        <v>309</v>
      </c>
      <c r="E66" s="869"/>
      <c r="F66" s="1939">
        <f>'Expenditures 15-22'!I210</f>
        <v>0</v>
      </c>
      <c r="G66" s="866"/>
    </row>
    <row r="67" spans="1:8" x14ac:dyDescent="0.2">
      <c r="A67" s="870" t="s">
        <v>482</v>
      </c>
      <c r="B67" s="870" t="s">
        <v>2002</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2003</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2004</v>
      </c>
      <c r="C70" s="887">
        <f>'Expenditures 15-22'!B221</f>
        <v>1300</v>
      </c>
      <c r="D70" s="888" t="str">
        <f>'Expenditures 15-22'!A221</f>
        <v>Adult/Continuing Education Programs</v>
      </c>
      <c r="E70" s="869"/>
      <c r="F70" s="1939">
        <f>'Expenditures 15-22'!K221</f>
        <v>0</v>
      </c>
      <c r="G70" s="866"/>
    </row>
    <row r="71" spans="1:8" x14ac:dyDescent="0.2">
      <c r="A71" s="870" t="s">
        <v>482</v>
      </c>
      <c r="B71" s="870" t="s">
        <v>2005</v>
      </c>
      <c r="C71" s="887">
        <f>'Expenditures 15-22'!B224</f>
        <v>1600</v>
      </c>
      <c r="D71" s="888" t="str">
        <f>'Expenditures 15-22'!A224</f>
        <v>Summer School Programs</v>
      </c>
      <c r="E71" s="869"/>
      <c r="F71" s="1939">
        <f>'Expenditures 15-22'!K224</f>
        <v>0</v>
      </c>
      <c r="G71" s="866"/>
    </row>
    <row r="72" spans="1:8" x14ac:dyDescent="0.2">
      <c r="A72" s="870" t="s">
        <v>482</v>
      </c>
      <c r="B72" s="870" t="s">
        <v>2006</v>
      </c>
      <c r="C72" s="887">
        <f>'Expenditures 15-22'!B280</f>
        <v>3000</v>
      </c>
      <c r="D72" s="877" t="s">
        <v>469</v>
      </c>
      <c r="E72" s="869"/>
      <c r="F72" s="1939">
        <f>'Expenditures 15-22'!K280</f>
        <v>0</v>
      </c>
      <c r="G72" s="866"/>
    </row>
    <row r="73" spans="1:8" x14ac:dyDescent="0.2">
      <c r="A73" s="870" t="s">
        <v>482</v>
      </c>
      <c r="B73" s="870" t="s">
        <v>2007</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2008</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2009</v>
      </c>
      <c r="E76" s="1796" t="s">
        <v>1015</v>
      </c>
      <c r="F76" s="1800">
        <f>SUM(F18:F74)</f>
        <v>1291085</v>
      </c>
      <c r="G76" s="866"/>
    </row>
    <row r="77" spans="1:8" s="894" customFormat="1" ht="12" customHeight="1" thickTop="1" thickBot="1" x14ac:dyDescent="0.25">
      <c r="A77" s="1801"/>
      <c r="B77" s="1798"/>
      <c r="C77" s="1794"/>
      <c r="D77" s="1799" t="s">
        <v>2010</v>
      </c>
      <c r="E77" s="1796"/>
      <c r="F77" s="1802">
        <f>(F14-F76)</f>
        <v>4401388</v>
      </c>
      <c r="G77" s="870"/>
    </row>
    <row r="78" spans="1:8" s="894" customFormat="1" ht="12" customHeight="1" thickTop="1" x14ac:dyDescent="0.2">
      <c r="A78" s="1803"/>
      <c r="B78" s="1798"/>
      <c r="C78" s="1794"/>
      <c r="D78" s="1799" t="s">
        <v>2056</v>
      </c>
      <c r="E78" s="1796"/>
      <c r="F78" s="899">
        <v>0</v>
      </c>
      <c r="G78" s="900"/>
      <c r="H78" s="870"/>
    </row>
    <row r="79" spans="1:8" s="894" customFormat="1" ht="12" customHeight="1" thickBot="1" x14ac:dyDescent="0.25">
      <c r="A79" s="1804"/>
      <c r="B79" s="1798"/>
      <c r="C79" s="1794"/>
      <c r="D79" s="1799" t="s">
        <v>2011</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4740</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320742</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1311115</v>
      </c>
      <c r="G103" s="913"/>
    </row>
    <row r="104" spans="1:7" x14ac:dyDescent="0.2">
      <c r="A104" s="909" t="s">
        <v>479</v>
      </c>
      <c r="B104" s="909" t="s">
        <v>841</v>
      </c>
      <c r="C104" s="911">
        <f>'Revenues 9-14'!B106</f>
        <v>1993</v>
      </c>
      <c r="D104" s="912" t="str">
        <f>'Revenues 9-14'!A106</f>
        <v>Other Local Fees (Describe &amp; Itemize)</v>
      </c>
      <c r="E104" s="907"/>
      <c r="F104" s="1811">
        <f>('Revenues 9-14'!C106)</f>
        <v>13000</v>
      </c>
      <c r="G104" s="913"/>
    </row>
    <row r="105" spans="1:7" x14ac:dyDescent="0.2">
      <c r="A105" s="909" t="s">
        <v>524</v>
      </c>
      <c r="B105" s="909" t="s">
        <v>842</v>
      </c>
      <c r="C105" s="914">
        <v>3100</v>
      </c>
      <c r="D105" s="920" t="str">
        <f>'Revenues 9-14'!A131</f>
        <v>Total Special Education</v>
      </c>
      <c r="E105" s="907"/>
      <c r="F105" s="1811">
        <f>SUM('Revenues 9-14'!C131:D131,'Revenues 9-14'!F131)</f>
        <v>203720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742</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41508</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1966484</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51380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407616</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25802</v>
      </c>
      <c r="G174" s="928"/>
    </row>
    <row r="175" spans="1:7" x14ac:dyDescent="0.2">
      <c r="A175" s="1944" t="s">
        <v>5</v>
      </c>
      <c r="B175" s="1945" t="s">
        <v>2055</v>
      </c>
      <c r="C175" s="1946">
        <v>3100</v>
      </c>
      <c r="D175" s="1947" t="s">
        <v>2058</v>
      </c>
      <c r="E175" s="907"/>
      <c r="F175" s="1931"/>
      <c r="G175" s="928"/>
    </row>
    <row r="176" spans="1:7" x14ac:dyDescent="0.2">
      <c r="A176" s="1944" t="s">
        <v>685</v>
      </c>
      <c r="B176" s="1945" t="s">
        <v>2055</v>
      </c>
      <c r="C176" s="1946">
        <v>3300</v>
      </c>
      <c r="D176" s="1947" t="s">
        <v>2059</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2012</v>
      </c>
      <c r="E178" s="1809" t="s">
        <v>1015</v>
      </c>
      <c r="F178" s="1810">
        <f>SUM(F84:F136,F161:F176)</f>
        <v>4346849</v>
      </c>
    </row>
    <row r="179" spans="1:7" ht="12" customHeight="1" x14ac:dyDescent="0.2">
      <c r="A179" s="1792"/>
      <c r="B179" s="1806"/>
      <c r="C179" s="1807"/>
      <c r="D179" s="1808" t="s">
        <v>2013</v>
      </c>
      <c r="E179" s="1809"/>
      <c r="F179" s="1811">
        <f>'PCTC-OEPP 27-28'!F77-F178</f>
        <v>54539</v>
      </c>
    </row>
    <row r="180" spans="1:7" ht="12" customHeight="1" x14ac:dyDescent="0.2">
      <c r="A180" s="1792"/>
      <c r="B180" s="1806"/>
      <c r="C180" s="1807"/>
      <c r="D180" s="1808" t="s">
        <v>1923</v>
      </c>
      <c r="E180" s="1809"/>
      <c r="F180" s="1811">
        <f>'Cap Outlay Deprec 26'!I18</f>
        <v>61509.3</v>
      </c>
    </row>
    <row r="181" spans="1:7" ht="12" customHeight="1" x14ac:dyDescent="0.2">
      <c r="A181" s="1792"/>
      <c r="B181" s="1806"/>
      <c r="C181" s="1807"/>
      <c r="D181" s="1808" t="s">
        <v>2014</v>
      </c>
      <c r="E181" s="1809"/>
      <c r="F181" s="1811">
        <f>F179+F180</f>
        <v>116048.3</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2015</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2057</v>
      </c>
      <c r="B185" s="931"/>
      <c r="C185" s="950"/>
      <c r="D185" s="931"/>
      <c r="E185" s="950"/>
      <c r="F185" s="931"/>
      <c r="G185" s="931"/>
    </row>
    <row r="186" spans="1:7" s="1948" customFormat="1" ht="12.2" customHeight="1" x14ac:dyDescent="0.2">
      <c r="A186" s="1948" t="s">
        <v>2062</v>
      </c>
      <c r="B186" s="1949"/>
      <c r="C186" s="1950"/>
      <c r="D186" s="1949"/>
      <c r="E186" s="1950"/>
      <c r="F186" s="1949"/>
      <c r="G186" s="1949"/>
    </row>
    <row r="187" spans="1:7" s="1948" customFormat="1" ht="12.2" customHeight="1" x14ac:dyDescent="0.2">
      <c r="A187" s="1951" t="s">
        <v>2063</v>
      </c>
      <c r="C187" s="1950"/>
      <c r="D187" s="1949"/>
      <c r="E187" s="1950"/>
      <c r="F187" s="1949"/>
      <c r="G187" s="1949"/>
    </row>
    <row r="188" spans="1:7" ht="12" customHeight="1" x14ac:dyDescent="0.2">
      <c r="C188" s="950"/>
      <c r="D188" s="931"/>
      <c r="E188" s="950"/>
      <c r="F188" s="931"/>
      <c r="G188" s="931"/>
    </row>
    <row r="189" spans="1:7" x14ac:dyDescent="0.2">
      <c r="A189" s="1952" t="s">
        <v>2061</v>
      </c>
      <c r="B189" s="1953" t="s">
        <v>2060</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A8" sqref="A8"/>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1939</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6" t="s">
        <v>1924</v>
      </c>
      <c r="B4" s="2287"/>
      <c r="C4" s="2287"/>
      <c r="D4" s="2287"/>
      <c r="E4" s="2287"/>
      <c r="F4" s="2287"/>
      <c r="G4" s="2288"/>
    </row>
    <row r="5" spans="1:7" x14ac:dyDescent="0.25">
      <c r="A5" s="2289"/>
      <c r="B5" s="2290"/>
      <c r="C5" s="2290"/>
      <c r="D5" s="2290"/>
      <c r="E5" s="2290"/>
      <c r="F5" s="2290"/>
      <c r="G5" s="2291"/>
    </row>
    <row r="6" spans="1:7" ht="18.75" x14ac:dyDescent="0.25">
      <c r="A6" s="1556" t="s">
        <v>1925</v>
      </c>
      <c r="B6" s="1557"/>
      <c r="C6" s="1557"/>
      <c r="D6" s="1557"/>
      <c r="E6" s="1557"/>
      <c r="F6" s="1557"/>
      <c r="G6" s="1558"/>
    </row>
    <row r="7" spans="1:7" ht="30.75" customHeight="1" x14ac:dyDescent="0.25">
      <c r="A7" s="2292" t="s">
        <v>2072</v>
      </c>
      <c r="B7" s="2293"/>
      <c r="C7" s="2293"/>
      <c r="D7" s="2293"/>
      <c r="E7" s="2293"/>
      <c r="F7" s="2293"/>
      <c r="G7" s="2294"/>
    </row>
    <row r="8" spans="1:7" ht="15.75" customHeight="1" x14ac:dyDescent="0.25">
      <c r="A8" s="2295" t="s">
        <v>2021</v>
      </c>
      <c r="B8" s="2296"/>
      <c r="C8" s="2296"/>
      <c r="D8" s="2296"/>
      <c r="E8" s="2296"/>
      <c r="F8" s="2296"/>
      <c r="G8" s="2297"/>
    </row>
    <row r="9" spans="1:7" ht="35.25" customHeight="1" x14ac:dyDescent="0.25">
      <c r="A9" s="2292" t="s">
        <v>2075</v>
      </c>
      <c r="B9" s="2293"/>
      <c r="C9" s="2293"/>
      <c r="D9" s="2293"/>
      <c r="E9" s="2293"/>
      <c r="F9" s="2293"/>
      <c r="G9" s="2294"/>
    </row>
    <row r="10" spans="1:7" ht="15" customHeight="1" x14ac:dyDescent="0.25">
      <c r="A10" s="1559" t="s">
        <v>1926</v>
      </c>
      <c r="B10" s="1560"/>
      <c r="C10" s="1560"/>
      <c r="D10" s="1560"/>
      <c r="E10" s="1560"/>
      <c r="F10" s="1560"/>
      <c r="G10" s="1561"/>
    </row>
    <row r="11" spans="1:7" ht="17.25" customHeight="1" x14ac:dyDescent="0.25">
      <c r="A11" s="2292" t="s">
        <v>2074</v>
      </c>
      <c r="B11" s="2293"/>
      <c r="C11" s="2293"/>
      <c r="D11" s="2293"/>
      <c r="E11" s="2293"/>
      <c r="F11" s="2293"/>
      <c r="G11" s="2294"/>
    </row>
    <row r="12" spans="1:7" ht="15" customHeight="1" x14ac:dyDescent="0.25">
      <c r="A12" s="1559" t="s">
        <v>1931</v>
      </c>
      <c r="B12" s="1560"/>
      <c r="C12" s="1560"/>
      <c r="D12" s="1560"/>
      <c r="E12" s="1560"/>
      <c r="F12" s="1560"/>
      <c r="G12" s="1561"/>
    </row>
    <row r="13" spans="1:7" ht="32.25" customHeight="1" x14ac:dyDescent="0.25">
      <c r="A13" s="2283" t="s">
        <v>1932</v>
      </c>
      <c r="B13" s="2284"/>
      <c r="C13" s="2284"/>
      <c r="D13" s="2284"/>
      <c r="E13" s="2284"/>
      <c r="F13" s="2284"/>
      <c r="G13" s="2285"/>
    </row>
    <row r="14" spans="1:7" x14ac:dyDescent="0.25">
      <c r="A14" s="1683" t="s">
        <v>1940</v>
      </c>
      <c r="B14" s="1684"/>
      <c r="C14" s="1684"/>
      <c r="D14" s="1684"/>
      <c r="E14" s="1684"/>
      <c r="F14" s="1684"/>
      <c r="G14" s="1685"/>
    </row>
    <row r="15" spans="1:7" ht="61.5" customHeight="1" x14ac:dyDescent="0.25">
      <c r="A15" s="1568" t="s">
        <v>1933</v>
      </c>
      <c r="B15" s="1568" t="s">
        <v>1934</v>
      </c>
      <c r="C15" s="1568" t="s">
        <v>1935</v>
      </c>
      <c r="D15" s="1569" t="s">
        <v>1936</v>
      </c>
      <c r="E15" s="1569" t="s">
        <v>1927</v>
      </c>
      <c r="F15" s="1569" t="s">
        <v>1937</v>
      </c>
      <c r="G15" s="1569" t="s">
        <v>1938</v>
      </c>
    </row>
    <row r="16" spans="1:7" x14ac:dyDescent="0.25">
      <c r="A16" s="1670" t="s">
        <v>1941</v>
      </c>
      <c r="B16" s="1671" t="s">
        <v>1930</v>
      </c>
      <c r="C16" s="1672" t="s">
        <v>1928</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2073</v>
      </c>
      <c r="B10" s="972"/>
      <c r="C10" s="977"/>
      <c r="D10" s="973"/>
      <c r="E10" s="974">
        <v>30350</v>
      </c>
      <c r="F10" s="975"/>
      <c r="G10" s="976"/>
      <c r="H10" s="162"/>
      <c r="I10" s="162"/>
    </row>
    <row r="11" spans="1:9" s="669" customFormat="1" ht="22.5" customHeight="1" x14ac:dyDescent="0.2">
      <c r="A11" s="2303" t="s">
        <v>1943</v>
      </c>
      <c r="B11" s="2304"/>
      <c r="C11" s="2304"/>
      <c r="D11" s="2305"/>
      <c r="E11" s="978">
        <v>3361</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1687088</v>
      </c>
      <c r="F19" s="1822"/>
      <c r="G19" s="1824">
        <f>'Expenditures 15-22'!K33-SUM('Expenditures 15-22'!G33,'Expenditures 15-22'!I33)+'Expenditures 15-22'!D229</f>
        <v>1687088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1693761</v>
      </c>
      <c r="F21" s="1825"/>
      <c r="G21" s="1828">
        <f>'Expenditures 15-22'!K42-SUM('Expenditures 15-22'!G42,'Expenditures 15-22'!I42)+'Expenditures 15-22'!K120-SUM('Expenditures 15-22'!G120,'Expenditures 15-22'!I120)+'Expenditures 15-22'!K180-SUM('Expenditures 15-22'!G180,'Expenditures 15-22'!I180)+'Expenditures 15-22'!D238</f>
        <v>1693761</v>
      </c>
      <c r="H21" s="988"/>
      <c r="I21" s="162"/>
    </row>
    <row r="22" spans="1:9" s="669" customFormat="1" ht="12" customHeight="1" x14ac:dyDescent="0.2">
      <c r="A22" s="995" t="s">
        <v>585</v>
      </c>
      <c r="B22" s="996"/>
      <c r="C22" s="994">
        <v>2200</v>
      </c>
      <c r="D22" s="1825"/>
      <c r="E22" s="1827">
        <f>'Expenditures 15-22'!K47-SUM('Expenditures 15-22'!G47,'Expenditures 15-22'!I47)+'Expenditures 15-22'!D243</f>
        <v>88093</v>
      </c>
      <c r="F22" s="1825"/>
      <c r="G22" s="1828">
        <f>'Expenditures 15-22'!K47-SUM('Expenditures 15-22'!G47,'Expenditures 15-22'!I47)+'Expenditures 15-22'!D243</f>
        <v>88093</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625138</v>
      </c>
      <c r="F23" s="1825"/>
      <c r="G23" s="1827">
        <f>'Expenditures 15-22'!K53-SUM('Expenditures 15-22'!G53,'Expenditures 15-22'!I53)+'Expenditures 15-22'!D257+'Expenditures 15-22'!K330-SUM('Expenditures 15-22'!G330,'Expenditures 15-22'!I330)</f>
        <v>625138</v>
      </c>
      <c r="H23" s="988"/>
      <c r="I23" s="162"/>
    </row>
    <row r="24" spans="1:9" s="669" customFormat="1" ht="12" customHeight="1" x14ac:dyDescent="0.2">
      <c r="A24" s="995" t="s">
        <v>587</v>
      </c>
      <c r="B24" s="996"/>
      <c r="C24" s="994">
        <v>2400</v>
      </c>
      <c r="D24" s="1825"/>
      <c r="E24" s="1827">
        <f>'Expenditures 15-22'!K57-SUM('Expenditures 15-22'!G57,'Expenditures 15-22'!I57)+'Expenditures 15-22'!D261</f>
        <v>0</v>
      </c>
      <c r="F24" s="1825"/>
      <c r="G24" s="1828">
        <f>'Expenditures 15-22'!K57-SUM('Expenditures 15-22'!G57,'Expenditures 15-22'!I57)+'Expenditures 15-22'!D261</f>
        <v>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71661</v>
      </c>
      <c r="E27" s="1827">
        <f>E8</f>
        <v>0</v>
      </c>
      <c r="F27" s="1827">
        <f>'Expenditures 15-22'!K60-SUM('Expenditures 15-22'!G60,'Expenditures 15-22'!I60)+'Expenditures 15-22'!D264-E8</f>
        <v>71661</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117104</v>
      </c>
      <c r="F28" s="1829">
        <f>'Expenditures 15-22'!K61-SUM('Expenditures 15-22'!G61,'Expenditures 15-22'!I61)+'Expenditures 15-22'!K124-SUM('Expenditures 15-22'!G124,'Expenditures 15-22'!I124)+'Expenditures 15-22'!D266-E9</f>
        <v>117104</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4124</v>
      </c>
      <c r="F29" s="1825"/>
      <c r="G29" s="1828">
        <f>'Expenditures 15-22'!K62-SUM('Expenditures 15-22'!G62,'Expenditures 15-22'!I62)+'Expenditures 15-22'!K125-SUM('Expenditures 15-22'!G125,'Expenditures 15-22'!I125)+'Expenditures 15-22'!K182-SUM('Expenditures 15-22'!G182,'Expenditures 15-22'!I182)+'Expenditures 15-22'!D267</f>
        <v>4124</v>
      </c>
      <c r="H29" s="986"/>
    </row>
    <row r="30" spans="1:9" ht="12" customHeight="1" x14ac:dyDescent="0.2">
      <c r="A30" s="995" t="s">
        <v>102</v>
      </c>
      <c r="B30" s="998"/>
      <c r="C30" s="994">
        <v>2560</v>
      </c>
      <c r="D30" s="1825"/>
      <c r="E30" s="1827">
        <f>'Expenditures 15-22'!K63-SUM('Expenditures 15-22'!G63,'Expenditures 15-22'!I63)+'Expenditures 15-22'!D268-E10</f>
        <v>71686</v>
      </c>
      <c r="F30" s="1825"/>
      <c r="G30" s="1827">
        <f>'Expenditures 15-22'!K63-SUM('Expenditures 15-22'!G63,'Expenditures 15-22'!I63)+'Expenditures 15-22'!D268-E10</f>
        <v>71686</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12383</v>
      </c>
      <c r="E36" s="1827">
        <f>E13</f>
        <v>0</v>
      </c>
      <c r="F36" s="1827">
        <f>'Expenditures 15-22'!K70-SUM('Expenditures 15-22'!G70,'Expenditures 15-22'!I70)+'Expenditures 15-22'!D275-E13</f>
        <v>12383</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1929</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84044</v>
      </c>
      <c r="E41" s="1829">
        <f>SUM(E19:E40)</f>
        <v>4286994</v>
      </c>
      <c r="F41" s="1829">
        <f>SUM(F19:F39)</f>
        <v>201148</v>
      </c>
      <c r="G41" s="1829">
        <f>SUM(G19:G40)</f>
        <v>4169890</v>
      </c>
    </row>
    <row r="42" spans="1:7" x14ac:dyDescent="0.2">
      <c r="A42" s="988"/>
      <c r="B42" s="162"/>
      <c r="C42" s="1002"/>
      <c r="D42" s="2301" t="s">
        <v>543</v>
      </c>
      <c r="E42" s="2302"/>
      <c r="F42" s="1003" t="s">
        <v>544</v>
      </c>
      <c r="G42" s="1004"/>
    </row>
    <row r="43" spans="1:7" ht="12" customHeight="1" x14ac:dyDescent="0.2">
      <c r="A43" s="988"/>
      <c r="B43" s="162"/>
      <c r="C43" s="1002"/>
      <c r="D43" s="1830" t="s">
        <v>493</v>
      </c>
      <c r="E43" s="1831">
        <f>D41</f>
        <v>84044</v>
      </c>
      <c r="F43" s="1830" t="s">
        <v>495</v>
      </c>
      <c r="G43" s="1831">
        <f>F41</f>
        <v>201148</v>
      </c>
    </row>
    <row r="44" spans="1:7" ht="12" customHeight="1" x14ac:dyDescent="0.2">
      <c r="A44" s="988"/>
      <c r="B44" s="162"/>
      <c r="C44" s="1002"/>
      <c r="D44" s="1830" t="s">
        <v>494</v>
      </c>
      <c r="E44" s="1831">
        <f>E41</f>
        <v>4286994</v>
      </c>
      <c r="F44" s="1830" t="s">
        <v>494</v>
      </c>
      <c r="G44" s="1831">
        <f>G41</f>
        <v>4169890</v>
      </c>
    </row>
    <row r="45" spans="1:7" ht="12" customHeight="1" x14ac:dyDescent="0.2">
      <c r="A45" s="988"/>
      <c r="B45" s="162"/>
      <c r="C45" s="162"/>
      <c r="D45" s="1832" t="s">
        <v>1063</v>
      </c>
      <c r="E45" s="1833">
        <f>(E43/E44)</f>
        <v>1.9604412789007868E-2</v>
      </c>
      <c r="F45" s="1832" t="s">
        <v>1063</v>
      </c>
      <c r="G45" s="1833">
        <f>(G43/G44)</f>
        <v>4.8238202926216278E-2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8" sqref="A8"/>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0" t="s">
        <v>1446</v>
      </c>
      <c r="B1" s="2320"/>
      <c r="C1" s="2320"/>
      <c r="D1" s="2320"/>
      <c r="E1" s="2320"/>
      <c r="F1" s="2320"/>
    </row>
    <row r="2" spans="1:10" x14ac:dyDescent="0.2">
      <c r="A2" s="1912" t="s">
        <v>2045</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1" t="s">
        <v>1627</v>
      </c>
      <c r="B5" s="2322"/>
      <c r="C5" s="2323"/>
      <c r="D5" s="2323"/>
      <c r="E5" s="2323"/>
      <c r="F5" s="2323"/>
    </row>
    <row r="6" spans="1:10" ht="12" customHeight="1" x14ac:dyDescent="0.25">
      <c r="A6" s="1875"/>
      <c r="B6" s="1876"/>
      <c r="C6" s="2324" t="str">
        <f>COVER!A17</f>
        <v>Perandoe SpEd District</v>
      </c>
      <c r="D6" s="2324"/>
      <c r="E6" s="2324"/>
      <c r="F6" s="1877"/>
    </row>
    <row r="7" spans="1:10" ht="11.25" customHeight="1" thickBot="1" x14ac:dyDescent="0.3">
      <c r="A7" s="1875"/>
      <c r="B7" s="1876"/>
      <c r="C7" s="2325">
        <f>COVER!A13</f>
        <v>45079132061</v>
      </c>
      <c r="D7" s="2325"/>
      <c r="E7" s="2325"/>
      <c r="F7" s="1877"/>
    </row>
    <row r="8" spans="1:10" ht="25.5" customHeight="1" thickBot="1" x14ac:dyDescent="0.25">
      <c r="A8" s="1918" t="s">
        <v>2022</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t="s">
        <v>2076</v>
      </c>
      <c r="D14" s="1890" t="s">
        <v>2076</v>
      </c>
      <c r="E14" s="1893"/>
      <c r="F14" s="1892" t="s">
        <v>2089</v>
      </c>
      <c r="H14" s="1903">
        <f t="shared" si="0"/>
        <v>5</v>
      </c>
      <c r="I14" s="1903">
        <f t="shared" si="1"/>
        <v>5</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t="s">
        <v>2076</v>
      </c>
      <c r="D19" s="1890" t="s">
        <v>2076</v>
      </c>
      <c r="E19" s="1893"/>
      <c r="F19" s="1892" t="s">
        <v>2090</v>
      </c>
      <c r="H19" s="1903">
        <f t="shared" si="0"/>
        <v>5</v>
      </c>
      <c r="I19" s="1903">
        <f t="shared" si="1"/>
        <v>5</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10</v>
      </c>
      <c r="I34" s="1903">
        <f>SUM(I11:I32)</f>
        <v>10</v>
      </c>
      <c r="J34" s="1903">
        <f>SUM(J11:J32)</f>
        <v>0</v>
      </c>
      <c r="K34" s="1903">
        <f>SUM(H34:J34)</f>
        <v>20</v>
      </c>
    </row>
    <row r="35" spans="1:11" ht="12" customHeight="1" x14ac:dyDescent="0.2">
      <c r="A35" s="1896" t="s">
        <v>1459</v>
      </c>
      <c r="B35" s="1897"/>
      <c r="C35" s="2326"/>
      <c r="D35" s="2326"/>
      <c r="E35" s="2326"/>
      <c r="F35" s="2327"/>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12"/>
      <c r="B38" s="2313"/>
      <c r="C38" s="2313"/>
      <c r="D38" s="2313"/>
      <c r="E38" s="2313"/>
      <c r="F38" s="2314"/>
    </row>
    <row r="39" spans="1:11" ht="4.5" hidden="1" customHeight="1" x14ac:dyDescent="0.2">
      <c r="A39" s="1898"/>
      <c r="B39" s="1898"/>
      <c r="C39" s="1898"/>
      <c r="D39" s="1898"/>
      <c r="E39" s="1898"/>
      <c r="F39" s="1898"/>
    </row>
    <row r="40" spans="1:11" s="1895" customFormat="1" ht="12" customHeight="1" x14ac:dyDescent="0.25">
      <c r="A40" s="1899" t="s">
        <v>1458</v>
      </c>
      <c r="B40" s="1900"/>
      <c r="C40" s="2315"/>
      <c r="D40" s="2315"/>
      <c r="E40" s="2315"/>
      <c r="F40" s="2316"/>
      <c r="H40" s="1904"/>
      <c r="I40" s="1904"/>
      <c r="J40" s="1904"/>
      <c r="K40" s="1904"/>
    </row>
    <row r="41" spans="1:11" s="1895" customFormat="1" ht="12" customHeight="1" x14ac:dyDescent="0.25">
      <c r="A41" s="2317"/>
      <c r="B41" s="2318"/>
      <c r="C41" s="2318"/>
      <c r="D41" s="2318"/>
      <c r="E41" s="2318"/>
      <c r="F41" s="2319"/>
      <c r="H41" s="1904"/>
      <c r="I41" s="1904"/>
      <c r="J41" s="1904"/>
      <c r="K41" s="1904"/>
    </row>
    <row r="42" spans="1:11" s="1895" customFormat="1" ht="12" customHeight="1" x14ac:dyDescent="0.25">
      <c r="A42" s="2317"/>
      <c r="B42" s="2318"/>
      <c r="C42" s="2318"/>
      <c r="D42" s="2318"/>
      <c r="E42" s="2318"/>
      <c r="F42" s="2319"/>
      <c r="H42" s="1904"/>
      <c r="I42" s="1904"/>
      <c r="J42" s="1904"/>
      <c r="K42" s="1904"/>
    </row>
    <row r="43" spans="1:11" s="1895" customFormat="1" ht="15" x14ac:dyDescent="0.25">
      <c r="A43" s="2306"/>
      <c r="B43" s="2307"/>
      <c r="C43" s="2307"/>
      <c r="D43" s="2307"/>
      <c r="E43" s="2307"/>
      <c r="F43" s="2308"/>
      <c r="H43" s="1904"/>
      <c r="I43" s="1904"/>
      <c r="J43" s="1904"/>
      <c r="K43" s="1904"/>
    </row>
    <row r="44" spans="1:11" s="1895" customFormat="1" ht="12" hidden="1" customHeight="1" x14ac:dyDescent="0.25">
      <c r="A44" s="2306"/>
      <c r="B44" s="2307"/>
      <c r="C44" s="2307"/>
      <c r="D44" s="2307"/>
      <c r="E44" s="2307"/>
      <c r="F44" s="2308"/>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A8" sqref="A8"/>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3" t="str">
        <f>COVER!A17</f>
        <v>Perandoe SpEd District</v>
      </c>
      <c r="J6" s="2334"/>
      <c r="Q6" s="1686"/>
    </row>
    <row r="7" spans="1:17" x14ac:dyDescent="0.2">
      <c r="A7" s="2335" t="s">
        <v>924</v>
      </c>
      <c r="B7" s="2336"/>
      <c r="C7" s="2336"/>
      <c r="D7" s="2336"/>
      <c r="E7" s="2337"/>
      <c r="F7" s="1018"/>
      <c r="G7" s="1010"/>
      <c r="H7" s="1017" t="s">
        <v>390</v>
      </c>
      <c r="I7" s="2338">
        <f>COVER!A13</f>
        <v>45079132061</v>
      </c>
      <c r="J7" s="2338"/>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641981</v>
      </c>
      <c r="F12" s="1040"/>
      <c r="G12" s="1834">
        <f t="shared" ref="G12:G18" si="0">SUM(E12:F12)</f>
        <v>641981</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2" t="s">
        <v>7</v>
      </c>
      <c r="C18" s="2343"/>
      <c r="D18" s="2344"/>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641981</v>
      </c>
      <c r="F19" s="1836">
        <f t="shared" si="2"/>
        <v>0</v>
      </c>
      <c r="G19" s="1836">
        <f t="shared" si="2"/>
        <v>641981</v>
      </c>
      <c r="H19" s="1836">
        <f t="shared" si="2"/>
        <v>0</v>
      </c>
      <c r="I19" s="1836">
        <f t="shared" si="2"/>
        <v>0</v>
      </c>
      <c r="J19" s="1836">
        <f t="shared" si="2"/>
        <v>0</v>
      </c>
    </row>
    <row r="20" spans="1:10" ht="13.5" thickTop="1" x14ac:dyDescent="0.2">
      <c r="A20" s="1036">
        <v>9</v>
      </c>
      <c r="B20" s="2345" t="s">
        <v>1703</v>
      </c>
      <c r="C20" s="2345"/>
      <c r="D20" s="2346"/>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1942</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8" sqref="B8"/>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2091</v>
      </c>
    </row>
    <row r="6" spans="1:2" x14ac:dyDescent="0.2">
      <c r="A6" s="1069">
        <v>2</v>
      </c>
      <c r="B6" s="329" t="s">
        <v>2092</v>
      </c>
    </row>
    <row r="7" spans="1:2" x14ac:dyDescent="0.2">
      <c r="A7" s="1069">
        <v>3</v>
      </c>
      <c r="B7" s="329" t="s">
        <v>2093</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Perandoe SpEd District</v>
      </c>
    </row>
    <row r="65" spans="2:2" x14ac:dyDescent="0.2">
      <c r="B65" s="1071">
        <f>COVER!A13</f>
        <v>45079132061</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19" zoomScale="110" zoomScaleNormal="110" workbookViewId="0">
      <selection activeCell="A8" sqref="A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1969</v>
      </c>
      <c r="C4" s="162" t="s">
        <v>1231</v>
      </c>
      <c r="D4" s="169" t="s">
        <v>10</v>
      </c>
      <c r="E4" s="170" t="s">
        <v>22</v>
      </c>
    </row>
    <row r="5" spans="1:5" x14ac:dyDescent="0.2">
      <c r="A5" s="168" t="s">
        <v>1971</v>
      </c>
      <c r="C5" s="162" t="s">
        <v>1231</v>
      </c>
      <c r="D5" s="169" t="s">
        <v>10</v>
      </c>
      <c r="E5" s="170" t="s">
        <v>22</v>
      </c>
    </row>
    <row r="6" spans="1:5" x14ac:dyDescent="0.2">
      <c r="A6" s="168" t="s">
        <v>1970</v>
      </c>
      <c r="C6" s="162" t="s">
        <v>1231</v>
      </c>
      <c r="D6" s="167" t="s">
        <v>11</v>
      </c>
      <c r="E6" s="170" t="s">
        <v>998</v>
      </c>
    </row>
    <row r="7" spans="1:5" x14ac:dyDescent="0.2">
      <c r="A7" s="168" t="s">
        <v>1972</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1973</v>
      </c>
      <c r="C11" s="162" t="s">
        <v>1231</v>
      </c>
      <c r="D11" s="169" t="s">
        <v>14</v>
      </c>
      <c r="E11" s="170" t="s">
        <v>1218</v>
      </c>
    </row>
    <row r="12" spans="1:5" x14ac:dyDescent="0.2">
      <c r="B12" s="169" t="s">
        <v>1974</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1975</v>
      </c>
      <c r="C15" s="162" t="s">
        <v>1231</v>
      </c>
      <c r="D15" s="169" t="s">
        <v>17</v>
      </c>
      <c r="E15" s="170" t="s">
        <v>657</v>
      </c>
    </row>
    <row r="16" spans="1:5" x14ac:dyDescent="0.2">
      <c r="A16" s="172"/>
      <c r="B16" s="162" t="s">
        <v>1976</v>
      </c>
      <c r="C16" s="162" t="s">
        <v>1231</v>
      </c>
      <c r="D16" s="169" t="s">
        <v>702</v>
      </c>
      <c r="E16" s="170" t="s">
        <v>1100</v>
      </c>
    </row>
    <row r="17" spans="1:5" x14ac:dyDescent="0.2">
      <c r="B17" s="167" t="s">
        <v>1045</v>
      </c>
      <c r="C17" s="162" t="s">
        <v>1231</v>
      </c>
    </row>
    <row r="18" spans="1:5" x14ac:dyDescent="0.2">
      <c r="B18" s="167" t="s">
        <v>1982</v>
      </c>
      <c r="D18" s="169" t="s">
        <v>18</v>
      </c>
      <c r="E18" s="170" t="s">
        <v>1101</v>
      </c>
    </row>
    <row r="19" spans="1:5" x14ac:dyDescent="0.2">
      <c r="A19" s="168" t="s">
        <v>1161</v>
      </c>
      <c r="C19" s="162" t="s">
        <v>1231</v>
      </c>
      <c r="D19" s="169"/>
      <c r="E19" s="171"/>
    </row>
    <row r="20" spans="1:5" x14ac:dyDescent="0.2">
      <c r="B20" s="167" t="s">
        <v>1977</v>
      </c>
      <c r="C20" s="162" t="s">
        <v>1231</v>
      </c>
      <c r="D20" s="169" t="s">
        <v>19</v>
      </c>
      <c r="E20" s="170" t="s">
        <v>53</v>
      </c>
    </row>
    <row r="21" spans="1:5" x14ac:dyDescent="0.2">
      <c r="B21" s="167" t="s">
        <v>1978</v>
      </c>
      <c r="C21" s="162" t="s">
        <v>1231</v>
      </c>
      <c r="D21" s="169" t="s">
        <v>20</v>
      </c>
      <c r="E21" s="170" t="s">
        <v>1708</v>
      </c>
    </row>
    <row r="22" spans="1:5" x14ac:dyDescent="0.2">
      <c r="A22" s="168"/>
      <c r="B22" s="162" t="s">
        <v>1966</v>
      </c>
      <c r="C22" s="162" t="s">
        <v>1231</v>
      </c>
      <c r="D22" s="167" t="s">
        <v>1968</v>
      </c>
      <c r="E22" s="1859" t="s">
        <v>1709</v>
      </c>
    </row>
    <row r="23" spans="1:5" x14ac:dyDescent="0.2">
      <c r="A23" s="168"/>
      <c r="B23" s="162" t="s">
        <v>1967</v>
      </c>
      <c r="D23" s="167" t="s">
        <v>658</v>
      </c>
      <c r="E23" s="1859" t="s">
        <v>1016</v>
      </c>
    </row>
    <row r="24" spans="1:5" x14ac:dyDescent="0.2">
      <c r="A24" s="168" t="s">
        <v>1707</v>
      </c>
      <c r="C24" s="162" t="s">
        <v>1231</v>
      </c>
      <c r="D24" s="167" t="s">
        <v>1460</v>
      </c>
      <c r="E24" s="170" t="s">
        <v>1017</v>
      </c>
    </row>
    <row r="25" spans="1:5" x14ac:dyDescent="0.2">
      <c r="A25" s="168" t="s">
        <v>1979</v>
      </c>
      <c r="C25" s="162" t="s">
        <v>1231</v>
      </c>
      <c r="D25" s="169" t="s">
        <v>21</v>
      </c>
      <c r="E25" s="170" t="s">
        <v>1102</v>
      </c>
    </row>
    <row r="26" spans="1:5" x14ac:dyDescent="0.2">
      <c r="A26" s="168" t="s">
        <v>1980</v>
      </c>
      <c r="C26" s="162" t="s">
        <v>1231</v>
      </c>
      <c r="D26" s="169" t="s">
        <v>584</v>
      </c>
      <c r="E26" s="170" t="s">
        <v>1103</v>
      </c>
    </row>
    <row r="27" spans="1:5" x14ac:dyDescent="0.2">
      <c r="A27" s="168" t="s">
        <v>1981</v>
      </c>
      <c r="C27" s="162" t="s">
        <v>1231</v>
      </c>
      <c r="D27" s="169" t="s">
        <v>578</v>
      </c>
      <c r="E27" s="170" t="s">
        <v>704</v>
      </c>
    </row>
    <row r="28" spans="1:5" x14ac:dyDescent="0.2">
      <c r="A28" s="168" t="s">
        <v>1983</v>
      </c>
      <c r="D28" s="169" t="s">
        <v>705</v>
      </c>
      <c r="E28" s="170" t="s">
        <v>1433</v>
      </c>
    </row>
    <row r="29" spans="1:5" x14ac:dyDescent="0.2">
      <c r="A29" s="168" t="s">
        <v>1984</v>
      </c>
      <c r="D29" s="169" t="s">
        <v>1461</v>
      </c>
      <c r="E29" s="170" t="s">
        <v>1442</v>
      </c>
    </row>
    <row r="30" spans="1:5" x14ac:dyDescent="0.2">
      <c r="A30" s="173" t="s">
        <v>1985</v>
      </c>
      <c r="C30" s="162" t="s">
        <v>1231</v>
      </c>
      <c r="D30" s="169" t="s">
        <v>42</v>
      </c>
      <c r="E30" s="170" t="s">
        <v>1039</v>
      </c>
    </row>
    <row r="31" spans="1:5" x14ac:dyDescent="0.2">
      <c r="A31" s="168" t="s">
        <v>1602</v>
      </c>
      <c r="C31" s="162" t="s">
        <v>1231</v>
      </c>
      <c r="D31" s="167"/>
      <c r="E31" s="171"/>
    </row>
    <row r="32" spans="1:5" x14ac:dyDescent="0.2">
      <c r="B32" s="167" t="s">
        <v>1986</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2016</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1873</v>
      </c>
    </row>
    <row r="52" spans="1:3" x14ac:dyDescent="0.2">
      <c r="A52" s="190"/>
      <c r="B52" s="188" t="s">
        <v>1893</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1874</v>
      </c>
    </row>
    <row r="57" spans="1:3" x14ac:dyDescent="0.2">
      <c r="A57" s="193"/>
      <c r="B57" s="190" t="s">
        <v>1876</v>
      </c>
    </row>
    <row r="58" spans="1:3" x14ac:dyDescent="0.2">
      <c r="A58" s="194"/>
      <c r="B58" s="190" t="s">
        <v>1877</v>
      </c>
    </row>
    <row r="59" spans="1:3" x14ac:dyDescent="0.2">
      <c r="A59" s="195"/>
      <c r="B59" s="1507" t="s">
        <v>1878</v>
      </c>
    </row>
    <row r="60" spans="1:3" x14ac:dyDescent="0.2">
      <c r="A60" s="196"/>
      <c r="B60" s="1507" t="s">
        <v>1879</v>
      </c>
    </row>
    <row r="61" spans="1:3" ht="6" customHeight="1" x14ac:dyDescent="0.2">
      <c r="A61" s="197"/>
      <c r="B61" s="189"/>
    </row>
    <row r="62" spans="1:3" x14ac:dyDescent="0.2">
      <c r="A62" s="169" t="s">
        <v>1714</v>
      </c>
      <c r="B62" s="198" t="s">
        <v>1875</v>
      </c>
    </row>
    <row r="63" spans="1:3" x14ac:dyDescent="0.2">
      <c r="A63" s="188"/>
      <c r="B63" s="169" t="s">
        <v>1890</v>
      </c>
    </row>
    <row r="64" spans="1:3" x14ac:dyDescent="0.2">
      <c r="A64" s="195"/>
      <c r="B64" s="1509" t="s">
        <v>1880</v>
      </c>
    </row>
    <row r="65" spans="1:9" x14ac:dyDescent="0.2">
      <c r="A65" s="188"/>
      <c r="B65" s="169" t="s">
        <v>1891</v>
      </c>
    </row>
    <row r="66" spans="1:9" x14ac:dyDescent="0.2">
      <c r="A66" s="190"/>
      <c r="B66" s="190" t="s">
        <v>1881</v>
      </c>
    </row>
    <row r="67" spans="1:9" ht="12" customHeight="1" x14ac:dyDescent="0.2">
      <c r="A67" s="188"/>
      <c r="B67" s="169" t="s">
        <v>1892</v>
      </c>
    </row>
    <row r="68" spans="1:9" x14ac:dyDescent="0.2">
      <c r="A68" s="189"/>
      <c r="B68" s="190" t="s">
        <v>1882</v>
      </c>
    </row>
    <row r="69" spans="1:9" x14ac:dyDescent="0.2">
      <c r="A69" s="190"/>
      <c r="B69" s="188" t="s">
        <v>1883</v>
      </c>
    </row>
    <row r="70" spans="1:9" ht="13.5" customHeight="1" x14ac:dyDescent="0.2">
      <c r="A70" s="190"/>
      <c r="B70" s="188" t="s">
        <v>1884</v>
      </c>
    </row>
    <row r="71" spans="1:9" ht="12" customHeight="1" x14ac:dyDescent="0.2">
      <c r="A71" s="192"/>
      <c r="B71" s="1508" t="s">
        <v>1717</v>
      </c>
    </row>
    <row r="72" spans="1:9" ht="9" customHeight="1" x14ac:dyDescent="0.2">
      <c r="A72" s="192"/>
      <c r="B72" s="199"/>
    </row>
    <row r="73" spans="1:9" x14ac:dyDescent="0.2">
      <c r="A73" s="189" t="s">
        <v>1718</v>
      </c>
      <c r="B73" s="169" t="s">
        <v>1886</v>
      </c>
    </row>
    <row r="74" spans="1:9" x14ac:dyDescent="0.2">
      <c r="A74" s="189"/>
      <c r="B74" s="169" t="s">
        <v>1885</v>
      </c>
    </row>
    <row r="75" spans="1:9" ht="8.25" customHeight="1" x14ac:dyDescent="0.2">
      <c r="A75" s="189"/>
      <c r="B75" s="189"/>
    </row>
    <row r="76" spans="1:9" ht="12.2" customHeight="1" x14ac:dyDescent="0.2">
      <c r="A76" s="189" t="s">
        <v>1719</v>
      </c>
      <c r="B76" s="198" t="s">
        <v>1887</v>
      </c>
    </row>
    <row r="77" spans="1:9" ht="12.2" customHeight="1" x14ac:dyDescent="0.2">
      <c r="A77" s="190"/>
      <c r="B77" s="169" t="s">
        <v>1720</v>
      </c>
      <c r="C77" s="179"/>
      <c r="D77" s="180"/>
      <c r="E77" s="181"/>
      <c r="F77" s="181"/>
      <c r="G77" s="181"/>
      <c r="H77" s="181"/>
      <c r="I77" s="181"/>
    </row>
    <row r="78" spans="1:9" ht="11.25" customHeight="1" x14ac:dyDescent="0.2">
      <c r="A78" s="190"/>
      <c r="B78" s="190" t="s">
        <v>1889</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1888</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A8" sqref="A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50177" r:id="rId4">
          <objectPr defaultSize="0" r:id="rId5">
            <anchor moveWithCells="1">
              <from>
                <xdr:col>1</xdr:col>
                <xdr:colOff>933450</xdr:colOff>
                <xdr:row>3</xdr:row>
                <xdr:rowOff>104775</xdr:rowOff>
              </from>
              <to>
                <xdr:col>1</xdr:col>
                <xdr:colOff>1847850</xdr:colOff>
                <xdr:row>7</xdr:row>
                <xdr:rowOff>142875</xdr:rowOff>
              </to>
            </anchor>
          </objectPr>
        </oleObject>
      </mc:Choice>
      <mc:Fallback>
        <oleObject progId="Document" dvAspect="DVASPECT_ICON" shapeId="50177"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A8" sqref="A8"/>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2053</v>
      </c>
      <c r="B4" s="2373"/>
      <c r="C4" s="2373"/>
      <c r="D4" s="2373"/>
      <c r="E4" s="2373"/>
      <c r="F4" s="2374"/>
      <c r="G4" s="1075"/>
      <c r="H4" s="1075"/>
    </row>
    <row r="5" spans="1:8" ht="14.25" customHeight="1" x14ac:dyDescent="0.2">
      <c r="A5" s="2375" t="s">
        <v>2054</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6366146</v>
      </c>
      <c r="C8" s="1838">
        <f>'Acct Summary 7-8'!D8</f>
        <v>0</v>
      </c>
      <c r="D8" s="1838">
        <f>'Acct Summary 7-8'!F8</f>
        <v>0</v>
      </c>
      <c r="E8" s="1838">
        <f>'Acct Summary 7-8'!I8</f>
        <v>0</v>
      </c>
      <c r="F8" s="1838">
        <f>SUM(B8:E8)</f>
        <v>6366146</v>
      </c>
    </row>
    <row r="9" spans="1:8" s="1080" customFormat="1" ht="14.25" customHeight="1" thickBot="1" x14ac:dyDescent="0.25">
      <c r="A9" s="1079" t="s">
        <v>1436</v>
      </c>
      <c r="B9" s="1839">
        <f>'Acct Summary 7-8'!C17</f>
        <v>5692473</v>
      </c>
      <c r="C9" s="1839">
        <f>'Acct Summary 7-8'!D17</f>
        <v>0</v>
      </c>
      <c r="D9" s="1839">
        <f>'Acct Summary 7-8'!F17</f>
        <v>0</v>
      </c>
      <c r="E9" s="1838"/>
      <c r="F9" s="1838">
        <f>SUM(B9:E9)</f>
        <v>5692473</v>
      </c>
    </row>
    <row r="10" spans="1:8" s="1080" customFormat="1" ht="14.25" thickTop="1" thickBot="1" x14ac:dyDescent="0.25">
      <c r="A10" s="1081" t="s">
        <v>1437</v>
      </c>
      <c r="B10" s="1840">
        <f>(B8-B9)</f>
        <v>673673</v>
      </c>
      <c r="C10" s="1840">
        <f>(C8-C9)</f>
        <v>0</v>
      </c>
      <c r="D10" s="1840">
        <f>(D8-D9)</f>
        <v>0</v>
      </c>
      <c r="E10" s="1839">
        <f>(E8-E9)</f>
        <v>0</v>
      </c>
      <c r="F10" s="1841">
        <f>SUM(F8-F9)</f>
        <v>673673</v>
      </c>
    </row>
    <row r="11" spans="1:8" s="1080" customFormat="1" ht="14.25" thickTop="1" thickBot="1" x14ac:dyDescent="0.25">
      <c r="A11" s="1082" t="s">
        <v>1785</v>
      </c>
      <c r="B11" s="1842">
        <f>'Acct Summary 7-8'!C81</f>
        <v>2492211</v>
      </c>
      <c r="C11" s="1842">
        <f>'Acct Summary 7-8'!D81</f>
        <v>0</v>
      </c>
      <c r="D11" s="1842">
        <f>'Acct Summary 7-8'!F81</f>
        <v>0</v>
      </c>
      <c r="E11" s="1842">
        <f>'Acct Summary 7-8'!I81</f>
        <v>0</v>
      </c>
      <c r="F11" s="1843">
        <f>SUM(B11:E11)</f>
        <v>2492211</v>
      </c>
    </row>
    <row r="12" spans="1:8" ht="16.5" customHeight="1" thickTop="1" x14ac:dyDescent="0.2">
      <c r="A12" s="1083"/>
      <c r="B12" s="1084"/>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57"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1944</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2046</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2047</v>
      </c>
      <c r="D66" s="1126"/>
    </row>
    <row r="67" spans="1:4" x14ac:dyDescent="0.2">
      <c r="A67" s="1120"/>
      <c r="B67" s="1141"/>
      <c r="C67" s="1148" t="s">
        <v>1079</v>
      </c>
      <c r="D67" s="1126"/>
    </row>
    <row r="68" spans="1:4" x14ac:dyDescent="0.2">
      <c r="A68" s="1101"/>
      <c r="B68" s="1111"/>
      <c r="C68" s="1103" t="s">
        <v>2048</v>
      </c>
      <c r="D68" s="1125" t="str">
        <f>IF('Short-Term Long-Term Debt 24'!F49=SUM(,'Acct Summary 7-8'!C33:K33),"OK","ERROR!")</f>
        <v>OK</v>
      </c>
    </row>
    <row r="69" spans="1:4" x14ac:dyDescent="0.2">
      <c r="A69" s="1101"/>
      <c r="B69" s="1111"/>
      <c r="C69" s="1103" t="s">
        <v>2049</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2050</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2051</v>
      </c>
      <c r="D78" s="1125" t="str">
        <f>IF(ISNUMBER('Acct Summary 7-8'!C9),"OK","ENTRY IS REQUIRED!")</f>
        <v>OK</v>
      </c>
    </row>
    <row r="79" spans="1:4" x14ac:dyDescent="0.2">
      <c r="A79" s="1120"/>
      <c r="B79" s="1121">
        <f>B74+1+1</f>
        <v>12</v>
      </c>
      <c r="C79" s="1131" t="s">
        <v>2017</v>
      </c>
      <c r="D79" s="1132" t="str">
        <f>IF(OR(COVER!$B$6="X",'PCTC-OEPP 27-28'!F78&gt;0),"OK","PLEASE ENTER 9 MO ADA.")</f>
        <v>OK</v>
      </c>
    </row>
    <row r="80" spans="1:4" x14ac:dyDescent="0.2">
      <c r="A80" s="1099"/>
      <c r="B80" s="1121">
        <v>13</v>
      </c>
      <c r="C80" s="1131" t="s">
        <v>2052</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45079132061</v>
      </c>
    </row>
    <row r="3" spans="1:2" x14ac:dyDescent="0.2">
      <c r="A3" t="s">
        <v>1013</v>
      </c>
      <c r="B3" s="138" t="str">
        <f>COVER!A15</f>
        <v>Randolph</v>
      </c>
    </row>
    <row r="4" spans="1:2" x14ac:dyDescent="0.2">
      <c r="A4" t="s">
        <v>1064</v>
      </c>
      <c r="B4" s="138" t="str">
        <f>COVER!A17</f>
        <v>Perandoe SpEd District</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066-005248</v>
      </c>
    </row>
    <row r="16" spans="1:2" x14ac:dyDescent="0.2">
      <c r="A16" t="s">
        <v>442</v>
      </c>
      <c r="B16" s="138" t="str">
        <f>COVER!T13</f>
        <v>Moore &amp; Simonin, PC</v>
      </c>
    </row>
    <row r="17" spans="1:2" x14ac:dyDescent="0.2">
      <c r="A17" t="s">
        <v>939</v>
      </c>
      <c r="B17" s="138" t="str">
        <f>COVER!T15</f>
        <v>Robert E. Moore, CPA</v>
      </c>
    </row>
    <row r="18" spans="1:2" x14ac:dyDescent="0.2">
      <c r="A18" t="s">
        <v>1212</v>
      </c>
      <c r="B18" s="138" t="str">
        <f>COVER!T17</f>
        <v>3636 North Belt West</v>
      </c>
    </row>
    <row r="19" spans="1:2" x14ac:dyDescent="0.2">
      <c r="A19" t="s">
        <v>941</v>
      </c>
      <c r="B19" s="138" t="str">
        <f>COVER!T25</f>
        <v>mooresimonin@mrsaccountants.com</v>
      </c>
    </row>
    <row r="20" spans="1:2" x14ac:dyDescent="0.2">
      <c r="A20" t="s">
        <v>942</v>
      </c>
      <c r="B20" s="138" t="str">
        <f>COVER!T19</f>
        <v>Belleville</v>
      </c>
    </row>
    <row r="21" spans="1:2" x14ac:dyDescent="0.2">
      <c r="A21" t="s">
        <v>500</v>
      </c>
      <c r="B21" s="138" t="str">
        <f>COVER!X19</f>
        <v>IL</v>
      </c>
    </row>
    <row r="22" spans="1:2" x14ac:dyDescent="0.2">
      <c r="A22" t="s">
        <v>943</v>
      </c>
      <c r="B22" s="138">
        <f>COVER!Z19</f>
        <v>62226</v>
      </c>
    </row>
    <row r="23" spans="1:2" x14ac:dyDescent="0.2">
      <c r="A23" t="s">
        <v>1214</v>
      </c>
      <c r="B23" s="138" t="str">
        <f>COVER!T21</f>
        <v>618-233-5049</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2492211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2492211</v>
      </c>
      <c r="D92" s="2" t="str">
        <f t="shared" si="0"/>
        <v>Error?</v>
      </c>
    </row>
    <row r="93" spans="1:4" x14ac:dyDescent="0.2">
      <c r="A93" s="5">
        <v>32</v>
      </c>
      <c r="B93" s="138">
        <f>'Assets-Liab 5-6'!C41</f>
        <v>2492211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51015</v>
      </c>
      <c r="D273" s="2" t="str">
        <f t="shared" si="3"/>
        <v>Error?</v>
      </c>
    </row>
    <row r="274" spans="1:4" x14ac:dyDescent="0.2">
      <c r="A274" s="5">
        <v>213</v>
      </c>
      <c r="B274" s="138">
        <f>'Assets-Liab 5-6'!M17</f>
        <v>742128</v>
      </c>
      <c r="D274" s="2" t="str">
        <f t="shared" si="3"/>
        <v>Error?</v>
      </c>
    </row>
    <row r="275" spans="1:4" x14ac:dyDescent="0.2">
      <c r="A275" s="5">
        <v>214</v>
      </c>
      <c r="B275" s="138">
        <f>'Assets-Liab 5-6'!M18</f>
        <v>41198</v>
      </c>
      <c r="D275" s="2" t="str">
        <f t="shared" si="3"/>
        <v>Error?</v>
      </c>
    </row>
    <row r="276" spans="1:4" x14ac:dyDescent="0.2">
      <c r="A276" s="5">
        <v>215</v>
      </c>
      <c r="B276" s="138">
        <f>'Assets-Liab 5-6'!M19</f>
        <v>602100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1436441</v>
      </c>
      <c r="C279" s="2" t="s">
        <v>594</v>
      </c>
      <c r="D279" s="2" t="str">
        <f t="shared" si="3"/>
        <v>Error?</v>
      </c>
    </row>
    <row r="280" spans="1:4" x14ac:dyDescent="0.2">
      <c r="A280" s="5">
        <v>219</v>
      </c>
      <c r="B280" s="138">
        <f>'Assets-Liab 5-6'!M40</f>
        <v>1436441</v>
      </c>
      <c r="D280" s="2" t="str">
        <f t="shared" si="3"/>
        <v>Error?</v>
      </c>
    </row>
    <row r="281" spans="1:4" x14ac:dyDescent="0.2">
      <c r="A281" s="5">
        <v>220</v>
      </c>
      <c r="B281" s="138">
        <f>'Assets-Liab 5-6'!M41</f>
        <v>1436441</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1214659</v>
      </c>
      <c r="C720" s="2" t="s">
        <v>594</v>
      </c>
      <c r="D720" s="2" t="str">
        <f t="shared" si="10"/>
        <v>Error?</v>
      </c>
    </row>
    <row r="721" spans="1:4" x14ac:dyDescent="0.2">
      <c r="A721" s="5">
        <v>660</v>
      </c>
      <c r="B721" s="138">
        <f>'Expenditures 15-22'!C36</f>
        <v>591322</v>
      </c>
      <c r="D721" s="2" t="str">
        <f t="shared" si="10"/>
        <v>Error?</v>
      </c>
    </row>
    <row r="722" spans="1:4" x14ac:dyDescent="0.2">
      <c r="A722" s="5">
        <v>661</v>
      </c>
      <c r="B722" s="138">
        <f>'Expenditures 15-22'!C37</f>
        <v>0</v>
      </c>
      <c r="D722" s="2" t="str">
        <f t="shared" si="10"/>
        <v>Error?</v>
      </c>
    </row>
    <row r="723" spans="1:4" x14ac:dyDescent="0.2">
      <c r="A723" s="5">
        <v>662</v>
      </c>
      <c r="B723" s="138">
        <f>'Expenditures 15-22'!C38</f>
        <v>216000</v>
      </c>
      <c r="D723" s="2" t="str">
        <f t="shared" si="10"/>
        <v>Error?</v>
      </c>
    </row>
    <row r="724" spans="1:4" x14ac:dyDescent="0.2">
      <c r="A724" s="5">
        <v>663</v>
      </c>
      <c r="B724" s="138">
        <f>'Expenditures 15-22'!C39</f>
        <v>432161</v>
      </c>
      <c r="D724" s="2" t="str">
        <f t="shared" si="10"/>
        <v>Error?</v>
      </c>
    </row>
    <row r="725" spans="1:4" x14ac:dyDescent="0.2">
      <c r="A725" s="5">
        <v>664</v>
      </c>
      <c r="B725" s="138">
        <f>'Expenditures 15-22'!C40</f>
        <v>41806</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1281289</v>
      </c>
      <c r="C727" s="2" t="s">
        <v>594</v>
      </c>
      <c r="D727" s="2" t="str">
        <f t="shared" si="10"/>
        <v>Error?</v>
      </c>
    </row>
    <row r="728" spans="1:4" x14ac:dyDescent="0.2">
      <c r="A728" s="5">
        <v>667</v>
      </c>
      <c r="B728" s="138">
        <f>'Expenditures 15-22'!C44</f>
        <v>22617</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22617</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360768</v>
      </c>
      <c r="D733" s="2" t="str">
        <f t="shared" si="10"/>
        <v>Error?</v>
      </c>
    </row>
    <row r="734" spans="1:4" x14ac:dyDescent="0.2">
      <c r="A734" s="5">
        <v>673</v>
      </c>
      <c r="B734" s="138">
        <f>'Expenditures 15-22'!C53</f>
        <v>360768</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56100</v>
      </c>
      <c r="D739" s="2" t="str">
        <f t="shared" si="10"/>
        <v>Error?</v>
      </c>
    </row>
    <row r="740" spans="1:4" x14ac:dyDescent="0.2">
      <c r="A740" s="5">
        <v>679</v>
      </c>
      <c r="B740" s="138">
        <f>'Expenditures 15-22'!C61</f>
        <v>33415</v>
      </c>
      <c r="D740" s="2" t="str">
        <f t="shared" si="10"/>
        <v>Error?</v>
      </c>
    </row>
    <row r="741" spans="1:4" x14ac:dyDescent="0.2">
      <c r="A741" s="5">
        <v>680</v>
      </c>
      <c r="B741" s="138">
        <f>'Expenditures 15-22'!C62</f>
        <v>0</v>
      </c>
      <c r="D741" s="2" t="str">
        <f t="shared" si="10"/>
        <v>Error?</v>
      </c>
    </row>
    <row r="742" spans="1:4" x14ac:dyDescent="0.2">
      <c r="A742" s="5">
        <v>681</v>
      </c>
      <c r="B742" s="138">
        <f>'Expenditures 15-22'!C63</f>
        <v>49777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139292</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1803966</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3018625</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426280</v>
      </c>
      <c r="C778" s="2" t="s">
        <v>594</v>
      </c>
      <c r="D778" s="2" t="str">
        <f t="shared" si="11"/>
        <v>Error?</v>
      </c>
    </row>
    <row r="779" spans="1:4" x14ac:dyDescent="0.2">
      <c r="A779" s="5">
        <v>718</v>
      </c>
      <c r="B779" s="138">
        <f>'Expenditures 15-22'!D36</f>
        <v>166202</v>
      </c>
      <c r="D779" s="2" t="str">
        <f t="shared" si="11"/>
        <v>Error?</v>
      </c>
    </row>
    <row r="780" spans="1:4" x14ac:dyDescent="0.2">
      <c r="A780" s="5">
        <v>719</v>
      </c>
      <c r="B780" s="138">
        <f>'Expenditures 15-22'!D37</f>
        <v>0</v>
      </c>
      <c r="D780" s="2" t="str">
        <f t="shared" si="11"/>
        <v>Error?</v>
      </c>
    </row>
    <row r="781" spans="1:4" x14ac:dyDescent="0.2">
      <c r="A781" s="5">
        <v>720</v>
      </c>
      <c r="B781" s="138">
        <f>'Expenditures 15-22'!D38</f>
        <v>64662</v>
      </c>
      <c r="D781" s="2" t="str">
        <f t="shared" si="11"/>
        <v>Error?</v>
      </c>
    </row>
    <row r="782" spans="1:4" x14ac:dyDescent="0.2">
      <c r="A782" s="5">
        <v>721</v>
      </c>
      <c r="B782" s="138">
        <f>'Expenditures 15-22'!D39</f>
        <v>126771</v>
      </c>
      <c r="D782" s="2" t="str">
        <f t="shared" si="11"/>
        <v>Error?</v>
      </c>
    </row>
    <row r="783" spans="1:4" x14ac:dyDescent="0.2">
      <c r="A783" s="5">
        <v>722</v>
      </c>
      <c r="B783" s="138">
        <f>'Expenditures 15-22'!D40</f>
        <v>13495</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371130</v>
      </c>
      <c r="C785" s="2" t="s">
        <v>594</v>
      </c>
      <c r="D785" s="2" t="str">
        <f t="shared" si="11"/>
        <v>Error?</v>
      </c>
    </row>
    <row r="786" spans="1:4" x14ac:dyDescent="0.2">
      <c r="A786" s="5">
        <v>725</v>
      </c>
      <c r="B786" s="138">
        <f>'Expenditures 15-22'!D44</f>
        <v>10490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10490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90323</v>
      </c>
      <c r="D791" s="2" t="str">
        <f t="shared" si="11"/>
        <v>Error?</v>
      </c>
    </row>
    <row r="792" spans="1:4" x14ac:dyDescent="0.2">
      <c r="A792" s="5">
        <v>731</v>
      </c>
      <c r="B792" s="138">
        <f>'Expenditures 15-22'!D53</f>
        <v>90323</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15561</v>
      </c>
      <c r="D797" s="2" t="str">
        <f t="shared" si="11"/>
        <v>Error?</v>
      </c>
    </row>
    <row r="798" spans="1:4" x14ac:dyDescent="0.2">
      <c r="A798" s="5">
        <v>737</v>
      </c>
      <c r="B798" s="138">
        <f>'Expenditures 15-22'!D61</f>
        <v>14285</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21909</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51755</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523698</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949978</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25186</v>
      </c>
      <c r="C836" s="2" t="s">
        <v>594</v>
      </c>
      <c r="D836" s="2" t="str">
        <f t="shared" si="12"/>
        <v>Error?</v>
      </c>
    </row>
    <row r="837" spans="1:4" x14ac:dyDescent="0.2">
      <c r="A837" s="5">
        <v>776</v>
      </c>
      <c r="B837" s="138">
        <f>'Expenditures 15-22'!E36</f>
        <v>5264</v>
      </c>
      <c r="D837" s="2" t="str">
        <f t="shared" si="12"/>
        <v>Error?</v>
      </c>
    </row>
    <row r="838" spans="1:4" x14ac:dyDescent="0.2">
      <c r="A838" s="5">
        <v>777</v>
      </c>
      <c r="B838" s="138">
        <f>'Expenditures 15-22'!E37</f>
        <v>0</v>
      </c>
      <c r="D838" s="2" t="str">
        <f t="shared" si="12"/>
        <v>Error?</v>
      </c>
    </row>
    <row r="839" spans="1:4" x14ac:dyDescent="0.2">
      <c r="A839" s="5">
        <v>778</v>
      </c>
      <c r="B839" s="138">
        <f>'Expenditures 15-22'!E38</f>
        <v>9021</v>
      </c>
      <c r="D839" s="2" t="str">
        <f t="shared" si="12"/>
        <v>Error?</v>
      </c>
    </row>
    <row r="840" spans="1:4" x14ac:dyDescent="0.2">
      <c r="A840" s="5">
        <v>779</v>
      </c>
      <c r="B840" s="138">
        <f>'Expenditures 15-22'!E39</f>
        <v>4861</v>
      </c>
      <c r="D840" s="2" t="str">
        <f t="shared" si="12"/>
        <v>Error?</v>
      </c>
    </row>
    <row r="841" spans="1:4" x14ac:dyDescent="0.2">
      <c r="A841" s="5">
        <v>780</v>
      </c>
      <c r="B841" s="138">
        <f>'Expenditures 15-22'!E40</f>
        <v>3991</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23137</v>
      </c>
      <c r="C843" s="2" t="s">
        <v>594</v>
      </c>
      <c r="D843" s="2" t="str">
        <f t="shared" si="12"/>
        <v>Error?</v>
      </c>
    </row>
    <row r="844" spans="1:4" x14ac:dyDescent="0.2">
      <c r="A844" s="5">
        <v>783</v>
      </c>
      <c r="B844" s="138">
        <f>'Expenditures 15-22'!E44</f>
        <v>50802</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50802</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138521</v>
      </c>
      <c r="D849" s="2" t="str">
        <f t="shared" si="12"/>
        <v>Error?</v>
      </c>
    </row>
    <row r="850" spans="1:4" x14ac:dyDescent="0.2">
      <c r="A850" s="5">
        <v>789</v>
      </c>
      <c r="B850" s="138">
        <f>'Expenditures 15-22'!E53</f>
        <v>138521</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20486</v>
      </c>
      <c r="D856" s="2" t="str">
        <f t="shared" si="12"/>
        <v>Error?</v>
      </c>
    </row>
    <row r="857" spans="1:4" x14ac:dyDescent="0.2">
      <c r="A857" s="5">
        <v>796</v>
      </c>
      <c r="B857" s="138">
        <f>'Expenditures 15-22'!E62</f>
        <v>3410</v>
      </c>
      <c r="D857" s="2" t="str">
        <f t="shared" si="12"/>
        <v>Error?</v>
      </c>
    </row>
    <row r="858" spans="1:4" x14ac:dyDescent="0.2">
      <c r="A858" s="5">
        <v>797</v>
      </c>
      <c r="B858" s="138">
        <f>'Expenditures 15-22'!E63</f>
        <v>495</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24391</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12383</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12383</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249234</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274420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20963</v>
      </c>
      <c r="C894" s="2" t="s">
        <v>594</v>
      </c>
      <c r="D894" s="2" t="str">
        <f t="shared" si="12"/>
        <v>Error?</v>
      </c>
    </row>
    <row r="895" spans="1:4" x14ac:dyDescent="0.2">
      <c r="A895" s="5">
        <v>834</v>
      </c>
      <c r="B895" s="138">
        <f>'Expenditures 15-22'!F36</f>
        <v>3438</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4380</v>
      </c>
      <c r="D897" s="2" t="str">
        <f t="shared" si="13"/>
        <v>Error?</v>
      </c>
    </row>
    <row r="898" spans="1:4" x14ac:dyDescent="0.2">
      <c r="A898" s="5">
        <v>837</v>
      </c>
      <c r="B898" s="138">
        <f>'Expenditures 15-22'!F39</f>
        <v>9867</v>
      </c>
      <c r="D898" s="2" t="str">
        <f t="shared" si="13"/>
        <v>Error?</v>
      </c>
    </row>
    <row r="899" spans="1:4" x14ac:dyDescent="0.2">
      <c r="A899" s="5">
        <v>838</v>
      </c>
      <c r="B899" s="138">
        <f>'Expenditures 15-22'!F40</f>
        <v>520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18205</v>
      </c>
      <c r="C901" s="2" t="s">
        <v>594</v>
      </c>
      <c r="D901" s="2" t="str">
        <f t="shared" si="13"/>
        <v>Error?</v>
      </c>
    </row>
    <row r="902" spans="1:4" x14ac:dyDescent="0.2">
      <c r="A902" s="5">
        <v>841</v>
      </c>
      <c r="B902" s="138">
        <f>'Expenditures 15-22'!F44</f>
        <v>4184</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4184</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35526</v>
      </c>
      <c r="D907" s="2" t="str">
        <f t="shared" si="13"/>
        <v>Error?</v>
      </c>
    </row>
    <row r="908" spans="1:4" x14ac:dyDescent="0.2">
      <c r="A908" s="5">
        <v>847</v>
      </c>
      <c r="B908" s="138">
        <f>'Expenditures 15-22'!F53</f>
        <v>35526</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48918</v>
      </c>
      <c r="D914" s="2" t="str">
        <f t="shared" si="13"/>
        <v>Error?</v>
      </c>
    </row>
    <row r="915" spans="1:4" x14ac:dyDescent="0.2">
      <c r="A915" s="5">
        <v>854</v>
      </c>
      <c r="B915" s="138">
        <f>'Expenditures 15-22'!F62</f>
        <v>714</v>
      </c>
      <c r="D915" s="2" t="str">
        <f t="shared" si="13"/>
        <v>Error?</v>
      </c>
    </row>
    <row r="916" spans="1:4" x14ac:dyDescent="0.2">
      <c r="A916" s="5">
        <v>855</v>
      </c>
      <c r="B916" s="138">
        <f>'Expenditures 15-22'!F63</f>
        <v>29855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79487</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137402</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158365</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51182</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51182</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51182</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51182</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1218020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1218020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1687088</v>
      </c>
      <c r="C1108" s="2" t="s">
        <v>594</v>
      </c>
      <c r="D1108" s="2" t="str">
        <f t="shared" si="16"/>
        <v>Error?</v>
      </c>
    </row>
    <row r="1109" spans="1:4" x14ac:dyDescent="0.2">
      <c r="A1109" s="5">
        <v>1048</v>
      </c>
      <c r="B1109" s="138">
        <f>'Expenditures 15-22'!K36</f>
        <v>766226</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294063</v>
      </c>
      <c r="C1111" s="2" t="s">
        <v>594</v>
      </c>
      <c r="D1111" s="2" t="str">
        <f t="shared" si="16"/>
        <v>Error?</v>
      </c>
    </row>
    <row r="1112" spans="1:4" x14ac:dyDescent="0.2">
      <c r="A1112" s="5">
        <v>1051</v>
      </c>
      <c r="B1112" s="138">
        <f>'Expenditures 15-22'!K39</f>
        <v>573660</v>
      </c>
      <c r="C1112" s="2" t="s">
        <v>594</v>
      </c>
      <c r="D1112" s="2" t="str">
        <f t="shared" si="16"/>
        <v>Error?</v>
      </c>
    </row>
    <row r="1113" spans="1:4" x14ac:dyDescent="0.2">
      <c r="A1113" s="5">
        <v>1052</v>
      </c>
      <c r="B1113" s="138">
        <f>'Expenditures 15-22'!K40</f>
        <v>64852</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1698801</v>
      </c>
      <c r="C1115" s="2" t="s">
        <v>594</v>
      </c>
      <c r="D1115" s="2" t="str">
        <f t="shared" si="16"/>
        <v>Error?</v>
      </c>
    </row>
    <row r="1116" spans="1:4" x14ac:dyDescent="0.2">
      <c r="A1116" s="5">
        <v>1055</v>
      </c>
      <c r="B1116" s="138">
        <f>'Expenditures 15-22'!K44</f>
        <v>88093</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88093</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641981</v>
      </c>
      <c r="C1121" s="2" t="s">
        <v>594</v>
      </c>
      <c r="D1121" s="2" t="str">
        <f t="shared" si="16"/>
        <v>Error?</v>
      </c>
    </row>
    <row r="1122" spans="1:4" x14ac:dyDescent="0.2">
      <c r="A1122" s="5">
        <v>1061</v>
      </c>
      <c r="B1122" s="138">
        <f>'Expenditures 15-22'!K53</f>
        <v>641981</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71661</v>
      </c>
      <c r="C1127" s="2" t="s">
        <v>594</v>
      </c>
      <c r="D1127" s="2" t="str">
        <f t="shared" si="16"/>
        <v>Error?</v>
      </c>
    </row>
    <row r="1128" spans="1:4" x14ac:dyDescent="0.2">
      <c r="A1128" s="5">
        <v>1067</v>
      </c>
      <c r="B1128" s="138">
        <f>'Expenditures 15-22'!K61</f>
        <v>168286</v>
      </c>
      <c r="C1128" s="2" t="s">
        <v>594</v>
      </c>
      <c r="D1128" s="2" t="str">
        <f t="shared" si="16"/>
        <v>Error?</v>
      </c>
    </row>
    <row r="1129" spans="1:4" x14ac:dyDescent="0.2">
      <c r="A1129" s="5">
        <v>1068</v>
      </c>
      <c r="B1129" s="138">
        <f>'Expenditures 15-22'!K62</f>
        <v>4124</v>
      </c>
      <c r="C1129" s="2" t="s">
        <v>594</v>
      </c>
      <c r="D1129" s="2" t="str">
        <f t="shared" si="16"/>
        <v>Error?</v>
      </c>
    </row>
    <row r="1130" spans="1:4" x14ac:dyDescent="0.2">
      <c r="A1130" s="5">
        <v>1069</v>
      </c>
      <c r="B1130" s="138">
        <f>'Expenditures 15-22'!K63</f>
        <v>102036</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346107</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12383</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12383</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2787365</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1218020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5692473</v>
      </c>
      <c r="C1152" s="2" t="s">
        <v>594</v>
      </c>
      <c r="D1152" s="2" t="str">
        <f t="shared" si="17"/>
        <v>Error?</v>
      </c>
    </row>
    <row r="1153" spans="1:4" x14ac:dyDescent="0.2">
      <c r="A1153" s="5">
        <v>1092</v>
      </c>
      <c r="B1153" s="138">
        <f>'Expenditures 15-22'!K115</f>
        <v>673673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1818538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2492211</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51015</v>
      </c>
      <c r="D2008" s="2" t="str">
        <f t="shared" si="30"/>
        <v>Error?</v>
      </c>
    </row>
    <row r="2009" spans="1:4" x14ac:dyDescent="0.2">
      <c r="A2009" s="5">
        <v>1948</v>
      </c>
      <c r="B2009" s="138">
        <f>'Cap Outlay Deprec 26'!C8</f>
        <v>724275</v>
      </c>
      <c r="D2009" s="2" t="str">
        <f t="shared" si="30"/>
        <v>Error?</v>
      </c>
    </row>
    <row r="2010" spans="1:4" x14ac:dyDescent="0.2">
      <c r="A2010" s="5">
        <v>1949</v>
      </c>
      <c r="B2010" s="138">
        <f>'Cap Outlay Deprec 26'!C10</f>
        <v>41198</v>
      </c>
      <c r="D2010" s="2" t="str">
        <f t="shared" si="30"/>
        <v>Error?</v>
      </c>
    </row>
    <row r="2011" spans="1:4" x14ac:dyDescent="0.2">
      <c r="A2011" s="5">
        <v>1950</v>
      </c>
      <c r="B2011" s="138">
        <f>'Cap Outlay Deprec 26'!C12</f>
        <v>544490</v>
      </c>
      <c r="D2011" s="2" t="str">
        <f t="shared" si="30"/>
        <v>Error?</v>
      </c>
    </row>
    <row r="2012" spans="1:4" x14ac:dyDescent="0.2">
      <c r="A2012" s="5">
        <v>1951</v>
      </c>
      <c r="B2012" s="138">
        <f>'Cap Outlay Deprec 26'!C13</f>
        <v>24281</v>
      </c>
      <c r="D2012" s="2" t="str">
        <f t="shared" si="30"/>
        <v>Error?</v>
      </c>
    </row>
    <row r="2013" spans="1:4" x14ac:dyDescent="0.2">
      <c r="A2013" s="5">
        <v>1952</v>
      </c>
      <c r="B2013" s="138">
        <f>'Cap Outlay Deprec 26'!C16</f>
        <v>1385259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17853</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21801</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51182</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51015</v>
      </c>
      <c r="C2026" s="2" t="s">
        <v>594</v>
      </c>
      <c r="D2026" s="2" t="str">
        <f t="shared" si="30"/>
        <v>Error?</v>
      </c>
    </row>
    <row r="2027" spans="1:4" x14ac:dyDescent="0.2">
      <c r="A2027" s="5">
        <v>1966</v>
      </c>
      <c r="B2027" s="138">
        <f>'Cap Outlay Deprec 26'!F8</f>
        <v>742128</v>
      </c>
      <c r="C2027" s="2" t="s">
        <v>594</v>
      </c>
      <c r="D2027" s="2" t="str">
        <f t="shared" si="30"/>
        <v>Error?</v>
      </c>
    </row>
    <row r="2028" spans="1:4" x14ac:dyDescent="0.2">
      <c r="A2028" s="5">
        <v>1967</v>
      </c>
      <c r="B2028" s="138">
        <f>'Cap Outlay Deprec 26'!F10</f>
        <v>41198</v>
      </c>
      <c r="C2028" s="2" t="s">
        <v>594</v>
      </c>
      <c r="D2028" s="2" t="str">
        <f t="shared" si="30"/>
        <v>Error?</v>
      </c>
    </row>
    <row r="2029" spans="1:4" x14ac:dyDescent="0.2">
      <c r="A2029" s="5">
        <v>1968</v>
      </c>
      <c r="B2029" s="138">
        <f>'Cap Outlay Deprec 26'!F12</f>
        <v>566291</v>
      </c>
      <c r="C2029" s="2" t="s">
        <v>594</v>
      </c>
      <c r="D2029" s="2" t="str">
        <f t="shared" si="30"/>
        <v>Error?</v>
      </c>
    </row>
    <row r="2030" spans="1:4" x14ac:dyDescent="0.2">
      <c r="A2030" s="5">
        <v>1969</v>
      </c>
      <c r="B2030" s="138">
        <f>'Cap Outlay Deprec 26'!F13</f>
        <v>24281</v>
      </c>
      <c r="C2030" s="2" t="s">
        <v>594</v>
      </c>
      <c r="D2030" s="2" t="str">
        <f t="shared" si="30"/>
        <v>Error?</v>
      </c>
    </row>
    <row r="2031" spans="1:4" x14ac:dyDescent="0.2">
      <c r="A2031" s="5">
        <v>1970</v>
      </c>
      <c r="B2031" s="138">
        <f>'Cap Outlay Deprec 26'!F16</f>
        <v>1436441</v>
      </c>
      <c r="C2031" s="2" t="s">
        <v>594</v>
      </c>
      <c r="D2031" s="2" t="str">
        <f t="shared" si="30"/>
        <v>Error?</v>
      </c>
    </row>
    <row r="2032" spans="1:4" x14ac:dyDescent="0.2">
      <c r="A2032" s="10">
        <v>1971</v>
      </c>
      <c r="D2032" s="2" t="str">
        <f t="shared" si="30"/>
        <v>OK</v>
      </c>
    </row>
    <row r="2033" spans="1:4" x14ac:dyDescent="0.2">
      <c r="A2033" s="5">
        <v>1972</v>
      </c>
      <c r="B2033" s="138">
        <f>'Cap Outlay Deprec 26'!H8</f>
        <v>207169</v>
      </c>
      <c r="D2033" s="2" t="str">
        <f t="shared" si="30"/>
        <v>Error?</v>
      </c>
    </row>
    <row r="2034" spans="1:4" x14ac:dyDescent="0.2">
      <c r="A2034" s="5">
        <v>1973</v>
      </c>
      <c r="B2034" s="138">
        <f>'Cap Outlay Deprec 26'!H10</f>
        <v>4120</v>
      </c>
      <c r="D2034" s="2" t="str">
        <f t="shared" si="30"/>
        <v>Error?</v>
      </c>
    </row>
    <row r="2035" spans="1:4" x14ac:dyDescent="0.2">
      <c r="A2035" s="5">
        <v>1974</v>
      </c>
      <c r="B2035" s="138">
        <f>'Cap Outlay Deprec 26'!H12</f>
        <v>446916</v>
      </c>
      <c r="D2035" s="2" t="str">
        <f t="shared" si="30"/>
        <v>Error?</v>
      </c>
    </row>
    <row r="2036" spans="1:4" x14ac:dyDescent="0.2">
      <c r="A2036" s="5">
        <v>1975</v>
      </c>
      <c r="B2036" s="138">
        <f>'Cap Outlay Deprec 26'!H13</f>
        <v>9712</v>
      </c>
      <c r="D2036" s="2" t="str">
        <f t="shared" si="30"/>
        <v>Error?</v>
      </c>
    </row>
    <row r="2037" spans="1:4" x14ac:dyDescent="0.2">
      <c r="A2037" s="5">
        <v>1976</v>
      </c>
      <c r="B2037" s="138">
        <f>'Cap Outlay Deprec 26'!H16</f>
        <v>667917</v>
      </c>
      <c r="C2037" s="2" t="s">
        <v>594</v>
      </c>
      <c r="D2037" s="2" t="str">
        <f t="shared" si="30"/>
        <v>Error?</v>
      </c>
    </row>
    <row r="2038" spans="1:4" x14ac:dyDescent="0.2">
      <c r="A2038" s="10">
        <v>1977</v>
      </c>
      <c r="D2038" s="2" t="str">
        <f t="shared" si="30"/>
        <v>OK</v>
      </c>
    </row>
    <row r="2039" spans="1:4" x14ac:dyDescent="0.2">
      <c r="A2039" s="5">
        <v>1978</v>
      </c>
      <c r="B2039" s="138">
        <f>'Cap Outlay Deprec 26'!I8</f>
        <v>23649</v>
      </c>
      <c r="D2039" s="2" t="str">
        <f t="shared" si="30"/>
        <v>Error?</v>
      </c>
    </row>
    <row r="2040" spans="1:4" x14ac:dyDescent="0.2">
      <c r="A2040" s="5">
        <v>1979</v>
      </c>
      <c r="B2040" s="138">
        <f>'Cap Outlay Deprec 26'!I10</f>
        <v>2060</v>
      </c>
      <c r="D2040" s="2" t="str">
        <f t="shared" si="30"/>
        <v>Error?</v>
      </c>
    </row>
    <row r="2041" spans="1:4" x14ac:dyDescent="0.2">
      <c r="A2041" s="5">
        <v>1980</v>
      </c>
      <c r="B2041" s="138">
        <f>'Cap Outlay Deprec 26'!I12</f>
        <v>26835</v>
      </c>
      <c r="D2041" s="2" t="str">
        <f t="shared" si="30"/>
        <v>Error?</v>
      </c>
    </row>
    <row r="2042" spans="1:4" x14ac:dyDescent="0.2">
      <c r="A2042" s="5">
        <v>1981</v>
      </c>
      <c r="B2042" s="138">
        <f>'Cap Outlay Deprec 26'!I13</f>
        <v>4856</v>
      </c>
      <c r="D2042" s="2" t="str">
        <f t="shared" si="30"/>
        <v>Error?</v>
      </c>
    </row>
    <row r="2043" spans="1:4" x14ac:dyDescent="0.2">
      <c r="A2043" s="5">
        <v>1982</v>
      </c>
      <c r="B2043" s="138">
        <f>'Cap Outlay Deprec 26'!I16</f>
        <v>59321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230818</v>
      </c>
      <c r="C2051" s="2" t="s">
        <v>594</v>
      </c>
      <c r="D2051" s="2" t="str">
        <f t="shared" si="31"/>
        <v>Error?</v>
      </c>
    </row>
    <row r="2052" spans="1:4" x14ac:dyDescent="0.2">
      <c r="A2052" s="5">
        <v>1991</v>
      </c>
      <c r="B2052" s="138">
        <f>'Cap Outlay Deprec 26'!K10</f>
        <v>6180</v>
      </c>
      <c r="C2052" s="2" t="s">
        <v>594</v>
      </c>
      <c r="D2052" s="2" t="str">
        <f t="shared" si="31"/>
        <v>Error?</v>
      </c>
    </row>
    <row r="2053" spans="1:4" x14ac:dyDescent="0.2">
      <c r="A2053" s="5">
        <v>1992</v>
      </c>
      <c r="B2053" s="138">
        <f>'Cap Outlay Deprec 26'!K12</f>
        <v>473751</v>
      </c>
      <c r="C2053" s="2" t="s">
        <v>594</v>
      </c>
      <c r="D2053" s="2" t="str">
        <f t="shared" si="31"/>
        <v>Error?</v>
      </c>
    </row>
    <row r="2054" spans="1:4" x14ac:dyDescent="0.2">
      <c r="A2054" s="5">
        <v>1993</v>
      </c>
      <c r="B2054" s="138">
        <f>'Cap Outlay Deprec 26'!K13</f>
        <v>14568</v>
      </c>
      <c r="C2054" s="2" t="s">
        <v>594</v>
      </c>
      <c r="D2054" s="2" t="str">
        <f t="shared" si="31"/>
        <v>Error?</v>
      </c>
    </row>
    <row r="2055" spans="1:4" x14ac:dyDescent="0.2">
      <c r="A2055" s="5">
        <v>1994</v>
      </c>
      <c r="B2055" s="138">
        <f>'Cap Outlay Deprec 26'!K16</f>
        <v>727238</v>
      </c>
      <c r="C2055" s="2" t="s">
        <v>594</v>
      </c>
      <c r="D2055" s="2" t="str">
        <f t="shared" si="31"/>
        <v>Error?</v>
      </c>
    </row>
    <row r="2056" spans="1:4" x14ac:dyDescent="0.2">
      <c r="A2056" s="5">
        <v>1995</v>
      </c>
      <c r="B2056" s="138">
        <f>'Cap Outlay Deprec 26'!L5</f>
        <v>51015</v>
      </c>
      <c r="C2056" s="2" t="s">
        <v>594</v>
      </c>
      <c r="D2056" s="2" t="str">
        <f t="shared" si="31"/>
        <v>Error?</v>
      </c>
    </row>
    <row r="2057" spans="1:4" x14ac:dyDescent="0.2">
      <c r="A2057" s="5">
        <v>1996</v>
      </c>
      <c r="B2057" s="138">
        <f>'Cap Outlay Deprec 26'!L8</f>
        <v>511310</v>
      </c>
      <c r="C2057" s="2" t="s">
        <v>594</v>
      </c>
      <c r="D2057" s="2" t="str">
        <f t="shared" si="31"/>
        <v>Error?</v>
      </c>
    </row>
    <row r="2058" spans="1:4" x14ac:dyDescent="0.2">
      <c r="A2058" s="5">
        <v>1997</v>
      </c>
      <c r="B2058" s="138">
        <f>'Cap Outlay Deprec 26'!L10</f>
        <v>35018</v>
      </c>
      <c r="C2058" s="2" t="s">
        <v>594</v>
      </c>
      <c r="D2058" s="2" t="str">
        <f t="shared" si="31"/>
        <v>Error?</v>
      </c>
    </row>
    <row r="2059" spans="1:4" x14ac:dyDescent="0.2">
      <c r="A2059" s="5">
        <v>1998</v>
      </c>
      <c r="B2059" s="138">
        <f>'Cap Outlay Deprec 26'!L12</f>
        <v>92540</v>
      </c>
      <c r="C2059" s="2" t="s">
        <v>594</v>
      </c>
      <c r="D2059" s="2" t="str">
        <f t="shared" si="31"/>
        <v>Error?</v>
      </c>
    </row>
    <row r="2060" spans="1:4" x14ac:dyDescent="0.2">
      <c r="A2060" s="5">
        <v>1999</v>
      </c>
      <c r="B2060" s="138">
        <f>'Cap Outlay Deprec 26'!L13</f>
        <v>9713</v>
      </c>
      <c r="C2060" s="2" t="s">
        <v>594</v>
      </c>
      <c r="D2060" s="2" t="str">
        <f t="shared" si="31"/>
        <v>Error?</v>
      </c>
    </row>
    <row r="2061" spans="1:4" x14ac:dyDescent="0.2">
      <c r="A2061" s="5">
        <v>2000</v>
      </c>
      <c r="B2061" s="138">
        <f>'Cap Outlay Deprec 26'!L16</f>
        <v>709203</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1218020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1218020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3207819</v>
      </c>
      <c r="C2551" s="2" t="s">
        <v>594</v>
      </c>
      <c r="D2551" s="2" t="str">
        <f t="shared" si="38"/>
        <v>Error?</v>
      </c>
    </row>
    <row r="2552" spans="1:4" x14ac:dyDescent="0.2">
      <c r="A2552" s="10">
        <v>2491</v>
      </c>
      <c r="D2552" s="2" t="str">
        <f t="shared" si="38"/>
        <v>OK</v>
      </c>
    </row>
    <row r="2553" spans="1:4" x14ac:dyDescent="0.2">
      <c r="A2553" s="5">
        <v>2492</v>
      </c>
      <c r="B2553" s="138">
        <f>'Acct Summary 7-8'!C6</f>
        <v>611904</v>
      </c>
      <c r="C2553" s="2" t="s">
        <v>594</v>
      </c>
      <c r="D2553" s="2" t="str">
        <f t="shared" si="38"/>
        <v>Error?</v>
      </c>
    </row>
    <row r="2554" spans="1:4" x14ac:dyDescent="0.2">
      <c r="A2554" s="5">
        <v>2493</v>
      </c>
      <c r="B2554" s="138">
        <f>'Acct Summary 7-8'!C7</f>
        <v>2546423</v>
      </c>
      <c r="C2554" s="2" t="s">
        <v>594</v>
      </c>
      <c r="D2554" s="2" t="str">
        <f t="shared" si="38"/>
        <v>Error?</v>
      </c>
    </row>
    <row r="2555" spans="1:4" x14ac:dyDescent="0.2">
      <c r="A2555" s="5">
        <v>2494</v>
      </c>
      <c r="B2555" s="138">
        <f>'Acct Summary 7-8'!C8</f>
        <v>6366146</v>
      </c>
      <c r="C2555" s="2" t="s">
        <v>594</v>
      </c>
      <c r="D2555" s="2" t="str">
        <f t="shared" si="38"/>
        <v>Error?</v>
      </c>
    </row>
    <row r="2556" spans="1:4" x14ac:dyDescent="0.2">
      <c r="A2556" s="5">
        <v>2495</v>
      </c>
      <c r="B2556" s="138">
        <f>'Acct Summary 7-8'!C12</f>
        <v>1687088</v>
      </c>
      <c r="C2556" s="2" t="s">
        <v>594</v>
      </c>
      <c r="D2556" s="2" t="str">
        <f t="shared" si="38"/>
        <v>Error?</v>
      </c>
    </row>
    <row r="2557" spans="1:4" x14ac:dyDescent="0.2">
      <c r="A2557" s="5">
        <v>2496</v>
      </c>
      <c r="B2557" s="138">
        <f>'Acct Summary 7-8'!C13</f>
        <v>2787365</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1218020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5692473</v>
      </c>
      <c r="C2561" s="2" t="s">
        <v>594</v>
      </c>
      <c r="D2561" s="2" t="str">
        <f t="shared" si="39"/>
        <v>Error?</v>
      </c>
    </row>
    <row r="2562" spans="1:4" x14ac:dyDescent="0.2">
      <c r="A2562" s="5">
        <v>2501</v>
      </c>
      <c r="B2562" s="138">
        <f>'Acct Summary 7-8'!C20</f>
        <v>673673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1218020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1218020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673673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1214659</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426280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25186</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20963</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1687088</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2492211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30350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1828134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8194280</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1828134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7520607</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2492211</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51380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407616</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1311115</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25802</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1555286</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1555286</v>
      </c>
      <c r="C5087" s="2" t="s">
        <v>594</v>
      </c>
      <c r="D5087" s="2" t="str">
        <f t="shared" si="78"/>
        <v>Error?</v>
      </c>
    </row>
    <row r="5088" spans="1:4" x14ac:dyDescent="0.2">
      <c r="A5088" s="5">
        <v>5027</v>
      </c>
      <c r="B5088" s="138">
        <f>'Revenues 9-14'!C65</f>
        <v>2146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2146</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4715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4740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320742</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13000</v>
      </c>
      <c r="D5118" s="2" t="str">
        <f t="shared" si="78"/>
        <v>Error?</v>
      </c>
    </row>
    <row r="5119" spans="1:4" x14ac:dyDescent="0.2">
      <c r="A5119" s="5">
        <v>5058</v>
      </c>
      <c r="B5119" s="138">
        <f>'Revenues 9-14'!C107</f>
        <v>790</v>
      </c>
      <c r="D5119" s="2" t="str">
        <f t="shared" ref="D5119:D5182" si="79">IF(ISBLANK(B5119),"OK",IF(A5119-B5119=0,"OK","Error?"))</f>
        <v>Error?</v>
      </c>
    </row>
    <row r="5120" spans="1:4" x14ac:dyDescent="0.2">
      <c r="A5120" s="5">
        <v>5059</v>
      </c>
      <c r="B5120" s="138">
        <f>'Revenues 9-14'!C108</f>
        <v>1645647</v>
      </c>
      <c r="C5120" s="2" t="s">
        <v>594</v>
      </c>
      <c r="D5120" s="2" t="str">
        <f t="shared" si="79"/>
        <v>Error?</v>
      </c>
    </row>
    <row r="5121" spans="1:4" x14ac:dyDescent="0.2">
      <c r="A5121" s="5">
        <v>5060</v>
      </c>
      <c r="B5121" s="138">
        <f>'Revenues 9-14'!C109</f>
        <v>3207819</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407442</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407442</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203720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203720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742</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204462</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611904</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26249</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15259</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41508</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53633</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1966484</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2020117</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2546423</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2546423</v>
      </c>
      <c r="C5326" s="2" t="s">
        <v>594</v>
      </c>
      <c r="D5326" s="2" t="str">
        <f t="shared" si="82"/>
        <v>Error?</v>
      </c>
    </row>
    <row r="5327" spans="1:4" x14ac:dyDescent="0.2">
      <c r="A5327" s="5">
        <v>5266</v>
      </c>
      <c r="B5327" s="138">
        <f>'Revenues 9-14'!C275</f>
        <v>6366146</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25</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3361</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673673</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0.27031138214220224</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5040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5040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16843</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16843</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21883</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21883</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11528</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11528</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1921</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1921</v>
      </c>
      <c r="D7622" s="2" t="str">
        <f t="shared" si="124"/>
        <v>Error?</v>
      </c>
      <c r="E7622" s="2" t="s">
        <v>19</v>
      </c>
    </row>
    <row r="7623" spans="1:5" x14ac:dyDescent="0.2">
      <c r="A7623">
        <f t="shared" si="123"/>
        <v>7562</v>
      </c>
      <c r="B7623" s="138">
        <f>'Cap Outlay Deprec 26'!L14</f>
        <v>9607</v>
      </c>
      <c r="D7623" s="2" t="str">
        <f t="shared" si="124"/>
        <v>Error?</v>
      </c>
      <c r="E7623" s="2" t="s">
        <v>19</v>
      </c>
    </row>
    <row r="7624" spans="1:5" x14ac:dyDescent="0.2">
      <c r="A7624">
        <f t="shared" si="123"/>
        <v>7563</v>
      </c>
      <c r="B7624" s="138">
        <f>'Cap Outlay Deprec 26'!F17</f>
        <v>21883</v>
      </c>
      <c r="D7624" s="2" t="str">
        <f t="shared" si="124"/>
        <v>Error?</v>
      </c>
      <c r="E7624" s="2" t="s">
        <v>19</v>
      </c>
    </row>
    <row r="7625" spans="1:5" x14ac:dyDescent="0.2">
      <c r="A7625">
        <f t="shared" si="123"/>
        <v>7564</v>
      </c>
      <c r="B7625" s="138">
        <f>'Cap Outlay Deprec 26'!I17</f>
        <v>2188.3000000000002</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61509.3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1965</v>
      </c>
    </row>
    <row r="7775" spans="1:5" x14ac:dyDescent="0.2">
      <c r="A7775">
        <v>7714</v>
      </c>
      <c r="B7775" s="138">
        <f>'Expenditures 15-22'!H133</f>
        <v>0</v>
      </c>
      <c r="D7775" s="2" t="str">
        <f t="shared" si="127"/>
        <v>Error?</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f>'Expenditures 15-22'!H158</f>
        <v>0</v>
      </c>
      <c r="D7779" s="2" t="str">
        <f t="shared" si="127"/>
        <v>Error?</v>
      </c>
      <c r="E7779" s="4" t="s">
        <v>1965</v>
      </c>
    </row>
    <row r="7780" spans="1:5" x14ac:dyDescent="0.2">
      <c r="A7780">
        <v>7719</v>
      </c>
      <c r="B7780" s="138">
        <f>'Expenditures 15-22'!K158</f>
        <v>0</v>
      </c>
      <c r="D7780" s="2" t="str">
        <f t="shared" si="127"/>
        <v>Error?</v>
      </c>
      <c r="E7780" s="4" t="s">
        <v>1965</v>
      </c>
    </row>
    <row r="7781" spans="1:5" x14ac:dyDescent="0.2">
      <c r="A7781">
        <v>7720</v>
      </c>
      <c r="B7781" s="138">
        <f>'Expenditures 15-22'!H159</f>
        <v>0</v>
      </c>
      <c r="D7781" s="2" t="str">
        <f t="shared" si="127"/>
        <v>Error?</v>
      </c>
      <c r="E7781" s="4" t="s">
        <v>1965</v>
      </c>
    </row>
    <row r="7782" spans="1:5" x14ac:dyDescent="0.2">
      <c r="A7782">
        <v>7721</v>
      </c>
      <c r="B7782" s="138">
        <f>'Expenditures 15-22'!K159</f>
        <v>0</v>
      </c>
      <c r="D7782" s="2" t="str">
        <f t="shared" si="127"/>
        <v>Error?</v>
      </c>
      <c r="E7782" s="4" t="s">
        <v>1965</v>
      </c>
    </row>
    <row r="7783" spans="1:5" x14ac:dyDescent="0.2">
      <c r="A7783">
        <v>7722</v>
      </c>
      <c r="B7783" s="138">
        <f>'Expenditures 15-22'!D282</f>
        <v>0</v>
      </c>
      <c r="D7783" s="2" t="str">
        <f t="shared" si="127"/>
        <v>Error?</v>
      </c>
      <c r="E7783" s="4" t="s">
        <v>1965</v>
      </c>
    </row>
    <row r="7784" spans="1:5" x14ac:dyDescent="0.2">
      <c r="A7784">
        <v>7723</v>
      </c>
      <c r="B7784" s="138">
        <f>'Expenditures 15-22'!K282</f>
        <v>0</v>
      </c>
      <c r="D7784" s="2" t="str">
        <f t="shared" si="127"/>
        <v>Error?</v>
      </c>
      <c r="E7784" s="4" t="s">
        <v>1965</v>
      </c>
    </row>
    <row r="7785" spans="1:5" x14ac:dyDescent="0.2">
      <c r="A7785">
        <v>7724</v>
      </c>
      <c r="B7785" s="138">
        <f>'Expenditures 15-22'!H332</f>
        <v>0</v>
      </c>
      <c r="D7785" s="2" t="str">
        <f t="shared" si="127"/>
        <v>Error?</v>
      </c>
      <c r="E7785" s="4" t="s">
        <v>1965</v>
      </c>
    </row>
    <row r="7786" spans="1:5" x14ac:dyDescent="0.2">
      <c r="A7786">
        <v>7725</v>
      </c>
      <c r="B7786" s="138">
        <f>'Expenditures 15-22'!K332</f>
        <v>0</v>
      </c>
      <c r="D7786" s="2" t="str">
        <f t="shared" si="127"/>
        <v>Error?</v>
      </c>
      <c r="E7786" s="4" t="s">
        <v>1965</v>
      </c>
    </row>
    <row r="7787" spans="1:5" x14ac:dyDescent="0.2">
      <c r="A7787">
        <v>7726</v>
      </c>
      <c r="B7787" s="138">
        <f>'Expenditures 15-22'!H333</f>
        <v>0</v>
      </c>
      <c r="D7787" s="2" t="str">
        <f t="shared" si="127"/>
        <v>Error?</v>
      </c>
      <c r="E7787" s="4" t="s">
        <v>1965</v>
      </c>
    </row>
    <row r="7788" spans="1:5" x14ac:dyDescent="0.2">
      <c r="A7788">
        <v>7727</v>
      </c>
      <c r="B7788" s="138">
        <f>'Expenditures 15-22'!K333</f>
        <v>0</v>
      </c>
      <c r="D7788" s="2" t="str">
        <f t="shared" si="127"/>
        <v>Error?</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f>'Expenditures 15-22'!H354</f>
        <v>0</v>
      </c>
      <c r="D7791" s="2" t="str">
        <f t="shared" si="127"/>
        <v>Error?</v>
      </c>
      <c r="E7791" s="4" t="s">
        <v>1965</v>
      </c>
    </row>
    <row r="7792" spans="1:5" x14ac:dyDescent="0.2">
      <c r="A7792">
        <v>7731</v>
      </c>
      <c r="B7792" s="138">
        <f>'Expenditures 15-22'!K354</f>
        <v>0</v>
      </c>
      <c r="D7792" s="2" t="str">
        <f t="shared" si="127"/>
        <v>Error?</v>
      </c>
      <c r="E7792" s="4" t="s">
        <v>1965</v>
      </c>
    </row>
    <row r="7793" spans="1:5" x14ac:dyDescent="0.2">
      <c r="A7793">
        <v>7732</v>
      </c>
      <c r="B7793" s="138">
        <f>'Expenditures 15-22'!H355</f>
        <v>0</v>
      </c>
      <c r="D7793" s="2" t="str">
        <f t="shared" si="127"/>
        <v>Error?</v>
      </c>
      <c r="E7793" s="4" t="s">
        <v>1965</v>
      </c>
    </row>
    <row r="7794" spans="1:5" x14ac:dyDescent="0.2">
      <c r="A7794">
        <v>7733</v>
      </c>
      <c r="B7794" s="138">
        <f>'Expenditures 15-22'!K355</f>
        <v>0</v>
      </c>
      <c r="D7794" s="2" t="str">
        <f t="shared" si="127"/>
        <v>Error?</v>
      </c>
      <c r="E7794" s="4" t="s">
        <v>1965</v>
      </c>
    </row>
    <row r="7795" spans="1:5" x14ac:dyDescent="0.2">
      <c r="A7795">
        <v>7734</v>
      </c>
      <c r="B7795" s="138">
        <f>'Expenditures 15-22'!E138</f>
        <v>0</v>
      </c>
      <c r="D7795" s="2" t="str">
        <f t="shared" si="127"/>
        <v>Error?</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0</v>
      </c>
      <c r="D7797" s="2" t="str">
        <f t="shared" si="127"/>
        <v>Error?</v>
      </c>
      <c r="E7797" s="4" t="s">
        <v>2018</v>
      </c>
    </row>
    <row r="7798" spans="1:5" x14ac:dyDescent="0.2">
      <c r="A7798">
        <v>7737</v>
      </c>
      <c r="B7798" s="138">
        <f>'Contracts Paid in CY 29'!F141</f>
        <v>0</v>
      </c>
      <c r="D7798" s="2" t="str">
        <f t="shared" si="127"/>
        <v>Error?</v>
      </c>
      <c r="E7798" s="4" t="s">
        <v>2018</v>
      </c>
    </row>
    <row r="7799" spans="1:5" x14ac:dyDescent="0.2">
      <c r="A7799">
        <v>7738</v>
      </c>
      <c r="B7799" s="138">
        <f>'Contracts Paid in CY 29'!G141</f>
        <v>0</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A13" sqref="A13:F13"/>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0" t="s">
        <v>1253</v>
      </c>
      <c r="B2" s="2420"/>
      <c r="C2" s="2420"/>
      <c r="D2" s="2420"/>
      <c r="E2" s="2420"/>
      <c r="F2" s="2420"/>
      <c r="G2" s="2420"/>
      <c r="H2" s="2420"/>
      <c r="I2" s="2420"/>
      <c r="J2" s="2420"/>
      <c r="K2" s="2420"/>
      <c r="L2" s="2420"/>
    </row>
    <row r="3" spans="1:29" ht="13.5" customHeight="1" x14ac:dyDescent="0.2">
      <c r="A3" s="2406" t="s">
        <v>1252</v>
      </c>
      <c r="B3" s="2406"/>
      <c r="C3" s="2406"/>
      <c r="D3" s="2406"/>
      <c r="E3" s="2406"/>
      <c r="F3" s="2406"/>
      <c r="G3" s="2406"/>
      <c r="H3" s="2406"/>
      <c r="I3" s="2406"/>
      <c r="J3" s="2406"/>
      <c r="K3" s="2406"/>
      <c r="L3" s="2406"/>
    </row>
    <row r="4" spans="1:29" ht="13.5" customHeight="1" x14ac:dyDescent="0.2">
      <c r="A4" s="2420" t="s">
        <v>1799</v>
      </c>
      <c r="B4" s="2437"/>
      <c r="C4" s="2437"/>
      <c r="D4" s="2437"/>
      <c r="E4" s="2437"/>
      <c r="F4" s="2437"/>
      <c r="G4" s="2437"/>
      <c r="H4" s="2437"/>
      <c r="I4" s="2437"/>
      <c r="J4" s="2437"/>
      <c r="K4" s="2437"/>
      <c r="L4" s="2437"/>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0" t="str">
        <f>COVER!A17</f>
        <v>Perandoe SpEd District</v>
      </c>
      <c r="B7" s="2401"/>
      <c r="C7" s="2401"/>
      <c r="D7" s="2438"/>
      <c r="E7" s="2439">
        <f>COVER!A13</f>
        <v>45079132061</v>
      </c>
      <c r="F7" s="2440"/>
      <c r="G7" s="2407" t="str">
        <f>COVER!T23</f>
        <v>066-005248</v>
      </c>
      <c r="H7" s="2408"/>
      <c r="I7" s="2408"/>
      <c r="J7" s="2408"/>
      <c r="K7" s="2408"/>
      <c r="L7" s="2409"/>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0" t="s">
        <v>2094</v>
      </c>
      <c r="B9" s="2411"/>
      <c r="C9" s="2411"/>
      <c r="D9" s="2411"/>
      <c r="E9" s="2411"/>
      <c r="F9" s="2412"/>
      <c r="G9" s="2413" t="str">
        <f>COVER!T13</f>
        <v>Moore &amp; Simonin, PC</v>
      </c>
      <c r="H9" s="2414"/>
      <c r="I9" s="2414"/>
      <c r="J9" s="2414"/>
      <c r="K9" s="2414"/>
      <c r="L9" s="2415"/>
    </row>
    <row r="10" spans="1:29" ht="13.5" customHeight="1" x14ac:dyDescent="0.2">
      <c r="A10" s="2397">
        <f>COVER!A38</f>
        <v>0</v>
      </c>
      <c r="B10" s="2398"/>
      <c r="C10" s="2398"/>
      <c r="D10" s="2398"/>
      <c r="E10" s="2398"/>
      <c r="F10" s="2399"/>
      <c r="G10" s="2413" t="str">
        <f>COVER!T17</f>
        <v>3636 North Belt West</v>
      </c>
      <c r="H10" s="2426"/>
      <c r="I10" s="2426"/>
      <c r="J10" s="2426"/>
      <c r="K10" s="2426"/>
      <c r="L10" s="2427"/>
    </row>
    <row r="11" spans="1:29" ht="13.5" customHeight="1" x14ac:dyDescent="0.2">
      <c r="A11" s="1185" t="s">
        <v>1599</v>
      </c>
      <c r="B11" s="1186"/>
      <c r="C11" s="1187"/>
      <c r="D11" s="1192"/>
      <c r="E11" s="1187"/>
      <c r="F11" s="1191"/>
      <c r="G11" s="2413" t="str">
        <f>COVER!T19</f>
        <v>Belleville</v>
      </c>
      <c r="H11" s="2426"/>
      <c r="I11" s="2426"/>
      <c r="J11" s="2426"/>
      <c r="K11" s="2426"/>
      <c r="L11" s="2427"/>
    </row>
    <row r="12" spans="1:29" ht="13.5" customHeight="1" x14ac:dyDescent="0.2">
      <c r="A12" s="2431" t="s">
        <v>1598</v>
      </c>
      <c r="B12" s="2432"/>
      <c r="C12" s="2432"/>
      <c r="D12" s="2432"/>
      <c r="E12" s="2432"/>
      <c r="F12" s="2433"/>
      <c r="G12" s="2428"/>
      <c r="H12" s="2429"/>
      <c r="I12" s="2429"/>
      <c r="J12" s="2429"/>
      <c r="K12" s="2429"/>
      <c r="L12" s="2430"/>
    </row>
    <row r="13" spans="1:29" ht="13.5" customHeight="1" x14ac:dyDescent="0.2">
      <c r="A13" s="2413"/>
      <c r="B13" s="2426"/>
      <c r="C13" s="2426"/>
      <c r="D13" s="2426"/>
      <c r="E13" s="2426"/>
      <c r="F13" s="2427"/>
      <c r="G13" s="2421" t="s">
        <v>1600</v>
      </c>
      <c r="H13" s="2422"/>
      <c r="I13" s="2434" t="str">
        <f>COVER!T25</f>
        <v>mooresimonin@mrsaccountants.com</v>
      </c>
      <c r="J13" s="2435"/>
      <c r="K13" s="2435"/>
      <c r="L13" s="2436"/>
    </row>
    <row r="14" spans="1:29" ht="13.5" customHeight="1" x14ac:dyDescent="0.2">
      <c r="A14" s="2413" t="str">
        <f>COVER!A19</f>
        <v>1525 Locust St.</v>
      </c>
      <c r="B14" s="2426"/>
      <c r="C14" s="2426"/>
      <c r="D14" s="2426"/>
      <c r="E14" s="2426"/>
      <c r="F14" s="2427"/>
      <c r="G14" s="1196" t="s">
        <v>1247</v>
      </c>
      <c r="H14" s="1194"/>
      <c r="I14" s="1194"/>
      <c r="J14" s="1194"/>
      <c r="K14" s="1194"/>
      <c r="L14" s="1195"/>
    </row>
    <row r="15" spans="1:29" ht="13.5" customHeight="1" x14ac:dyDescent="0.2">
      <c r="A15" s="2413" t="str">
        <f>COVER!A21</f>
        <v>Red Bud</v>
      </c>
      <c r="B15" s="2426"/>
      <c r="C15" s="2426"/>
      <c r="D15" s="2426"/>
      <c r="E15" s="2426"/>
      <c r="F15" s="2427"/>
      <c r="G15" s="2423" t="str">
        <f>COVER!T15</f>
        <v>Robert E. Moore, CPA</v>
      </c>
      <c r="H15" s="2424"/>
      <c r="I15" s="2424"/>
      <c r="J15" s="2424"/>
      <c r="K15" s="2424"/>
      <c r="L15" s="2425"/>
    </row>
    <row r="16" spans="1:29" ht="12.2" customHeight="1" x14ac:dyDescent="0.2">
      <c r="A16" s="2403">
        <f>COVER!A25</f>
        <v>62278</v>
      </c>
      <c r="B16" s="2404"/>
      <c r="C16" s="2404"/>
      <c r="D16" s="2404"/>
      <c r="E16" s="2404"/>
      <c r="F16" s="2405"/>
      <c r="G16" s="2416"/>
      <c r="H16" s="2417"/>
      <c r="I16" s="2417"/>
      <c r="J16" s="2417"/>
      <c r="K16" s="2417"/>
      <c r="L16" s="2418"/>
    </row>
    <row r="17" spans="1:13" ht="12.2" customHeight="1" x14ac:dyDescent="0.2">
      <c r="A17" s="2419"/>
      <c r="B17" s="2404"/>
      <c r="C17" s="2404"/>
      <c r="D17" s="2404"/>
      <c r="E17" s="2404"/>
      <c r="F17" s="2405"/>
      <c r="G17" s="1196" t="s">
        <v>1246</v>
      </c>
      <c r="H17" s="1194"/>
      <c r="I17" s="1194"/>
      <c r="J17" s="1194"/>
      <c r="K17" s="1198" t="s">
        <v>1245</v>
      </c>
      <c r="L17" s="1191"/>
      <c r="M17" s="1184"/>
    </row>
    <row r="18" spans="1:13" ht="12.2" customHeight="1" x14ac:dyDescent="0.2">
      <c r="A18" s="2397"/>
      <c r="B18" s="2398"/>
      <c r="C18" s="2398"/>
      <c r="D18" s="2398"/>
      <c r="E18" s="2398"/>
      <c r="F18" s="2399"/>
      <c r="G18" s="2400" t="str">
        <f>COVER!T21</f>
        <v>618-233-5049</v>
      </c>
      <c r="H18" s="2401"/>
      <c r="I18" s="2401"/>
      <c r="J18" s="2401"/>
      <c r="K18" s="2400" t="str">
        <f>COVER!X21</f>
        <v>618-233-1061</v>
      </c>
      <c r="L18" s="2402"/>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1945</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Perandoe SpEd District</v>
      </c>
      <c r="B1" s="2437"/>
      <c r="C1" s="2437"/>
      <c r="D1" s="2437"/>
    </row>
    <row r="2" spans="1:11" s="1215" customFormat="1" ht="12.75" x14ac:dyDescent="0.2">
      <c r="A2" s="2442">
        <f>'Single Audit Cover'!E7</f>
        <v>45079132061</v>
      </c>
      <c r="B2" s="2443"/>
      <c r="C2" s="2443"/>
      <c r="D2" s="2443"/>
    </row>
    <row r="3" spans="1:11" s="1215" customFormat="1" ht="12.75" x14ac:dyDescent="0.2">
      <c r="A3" s="2441" t="s">
        <v>1593</v>
      </c>
      <c r="B3" s="2437"/>
      <c r="C3" s="2437"/>
      <c r="D3" s="2437"/>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1946</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7"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Perandoe SpEd District</v>
      </c>
      <c r="B1" s="2445"/>
      <c r="C1" s="2445"/>
      <c r="D1" s="2445"/>
      <c r="E1" s="2445"/>
    </row>
    <row r="2" spans="1:5" x14ac:dyDescent="0.2">
      <c r="A2" s="2446">
        <f>'Single Audit Cover'!E7</f>
        <v>45079132061</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2546423</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3361</v>
      </c>
    </row>
    <row r="15" spans="1:5" x14ac:dyDescent="0.2">
      <c r="A15" s="1261"/>
      <c r="B15" s="1262"/>
      <c r="C15" s="1262"/>
    </row>
    <row r="16" spans="1:5" x14ac:dyDescent="0.2">
      <c r="A16" s="1261" t="s">
        <v>1954</v>
      </c>
      <c r="B16" s="1262"/>
      <c r="C16" s="1262"/>
    </row>
    <row r="17" spans="1:4" x14ac:dyDescent="0.2">
      <c r="A17" s="1261" t="s">
        <v>1601</v>
      </c>
      <c r="B17" s="1262" t="s">
        <v>1298</v>
      </c>
      <c r="C17" s="1262"/>
      <c r="D17" s="1264">
        <f>-SUM('Revenues 9-14'!C271:D271,'Revenues 9-14'!F271:G271)</f>
        <v>-407616</v>
      </c>
    </row>
    <row r="19" spans="1:4" ht="13.5" thickBot="1" x14ac:dyDescent="0.25">
      <c r="A19" s="1265" t="s">
        <v>1297</v>
      </c>
      <c r="D19" s="1266">
        <f>SUM(D10:D17)</f>
        <v>2142168</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2142168</v>
      </c>
    </row>
    <row r="33" spans="1:4" x14ac:dyDescent="0.2">
      <c r="D33" s="1269"/>
    </row>
    <row r="34" spans="1:4" x14ac:dyDescent="0.2">
      <c r="A34" s="317" t="s">
        <v>1294</v>
      </c>
    </row>
    <row r="35" spans="1:4" x14ac:dyDescent="0.2">
      <c r="A35" s="317" t="s">
        <v>1293</v>
      </c>
      <c r="B35" s="1258" t="s">
        <v>1292</v>
      </c>
      <c r="D35" s="1270">
        <v>2142168</v>
      </c>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2142168</v>
      </c>
    </row>
    <row r="49" spans="2:4" x14ac:dyDescent="0.2">
      <c r="B49" s="1272" t="s">
        <v>1288</v>
      </c>
      <c r="C49" s="1272"/>
      <c r="D49" s="1273">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B11" sqref="B1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Perandoe SpEd District</v>
      </c>
      <c r="C1" s="2449"/>
      <c r="D1" s="2449"/>
      <c r="E1" s="2449"/>
      <c r="F1" s="2449"/>
      <c r="G1" s="2449"/>
      <c r="H1" s="2449"/>
      <c r="I1" s="2449"/>
      <c r="J1" s="2449"/>
      <c r="K1" s="2449"/>
      <c r="L1" s="2449"/>
      <c r="M1" s="2449"/>
    </row>
    <row r="2" spans="2:14" ht="15" x14ac:dyDescent="0.2">
      <c r="B2" s="2450">
        <f>'Single Audit Cover'!E7</f>
        <v>45079132061</v>
      </c>
      <c r="C2" s="2450"/>
      <c r="D2" s="2450"/>
      <c r="E2" s="2450"/>
      <c r="F2" s="2450"/>
      <c r="G2" s="2450"/>
      <c r="H2" s="2450"/>
      <c r="I2" s="2450"/>
      <c r="J2" s="2450"/>
      <c r="K2" s="2450"/>
      <c r="L2" s="2450"/>
      <c r="M2" s="2450"/>
      <c r="N2" s="1302"/>
    </row>
    <row r="3" spans="2:14" ht="15" x14ac:dyDescent="0.2">
      <c r="B3" s="2451" t="s">
        <v>1281</v>
      </c>
      <c r="C3" s="2451"/>
      <c r="D3" s="2451"/>
      <c r="E3" s="2451"/>
      <c r="F3" s="2451"/>
      <c r="G3" s="2451"/>
      <c r="H3" s="2451"/>
      <c r="I3" s="2451"/>
      <c r="J3" s="2451"/>
      <c r="K3" s="2451"/>
      <c r="L3" s="2451"/>
      <c r="M3" s="2451"/>
      <c r="N3" s="1302"/>
    </row>
    <row r="4" spans="2:14" ht="15" x14ac:dyDescent="0.2">
      <c r="B4" s="2452" t="str">
        <f>'Single Audit Cover'!A4</f>
        <v>Year Ending June 30, 2018</v>
      </c>
      <c r="C4" s="2452"/>
      <c r="D4" s="2452"/>
      <c r="E4" s="2452"/>
      <c r="F4" s="2452"/>
      <c r="G4" s="2452"/>
      <c r="H4" s="2452"/>
      <c r="I4" s="2452"/>
      <c r="J4" s="2452"/>
      <c r="K4" s="2452"/>
      <c r="L4" s="2452"/>
      <c r="M4" s="2452"/>
      <c r="N4" s="1302"/>
    </row>
    <row r="6" spans="2:14" x14ac:dyDescent="0.2">
      <c r="B6" s="1303"/>
      <c r="C6" s="1304"/>
      <c r="D6" s="1305" t="s">
        <v>1327</v>
      </c>
      <c r="E6" s="1306" t="s">
        <v>548</v>
      </c>
      <c r="F6" s="1307"/>
      <c r="G6" s="1308" t="s">
        <v>1836</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1837</v>
      </c>
      <c r="D9" s="1314" t="s">
        <v>1838</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2095</v>
      </c>
      <c r="C11" s="1338"/>
      <c r="D11" s="1339"/>
      <c r="E11" s="1340"/>
      <c r="F11" s="1340"/>
      <c r="G11" s="1340"/>
      <c r="H11" s="1340"/>
      <c r="I11" s="1340"/>
      <c r="J11" s="1340"/>
      <c r="K11" s="1340"/>
      <c r="L11" s="1340">
        <f>+G11+I11+K11</f>
        <v>0</v>
      </c>
      <c r="M11" s="1340"/>
    </row>
    <row r="12" spans="2:14" ht="20.100000000000001" customHeight="1" x14ac:dyDescent="0.2">
      <c r="B12" s="1337" t="s">
        <v>2096</v>
      </c>
      <c r="C12" s="1341"/>
      <c r="D12" s="1342"/>
      <c r="E12" s="1343"/>
      <c r="F12" s="1343"/>
      <c r="G12" s="1343"/>
      <c r="H12" s="1343"/>
      <c r="I12" s="1343"/>
      <c r="J12" s="1343"/>
      <c r="K12" s="1343"/>
      <c r="L12" s="1340">
        <f t="shared" ref="L12:L27" si="0">+G12+I12+K12</f>
        <v>0</v>
      </c>
      <c r="M12" s="1343"/>
    </row>
    <row r="13" spans="2:14" ht="20.100000000000001" customHeight="1" x14ac:dyDescent="0.2">
      <c r="B13" s="1337" t="s">
        <v>2097</v>
      </c>
      <c r="C13" s="1341">
        <v>10.555</v>
      </c>
      <c r="D13" s="1342"/>
      <c r="E13" s="1343"/>
      <c r="F13" s="1343">
        <v>3111</v>
      </c>
      <c r="G13" s="1343"/>
      <c r="H13" s="1343"/>
      <c r="I13" s="1343">
        <v>3111</v>
      </c>
      <c r="J13" s="1343"/>
      <c r="K13" s="1343"/>
      <c r="L13" s="1340">
        <f t="shared" si="0"/>
        <v>3111</v>
      </c>
      <c r="M13" s="1343"/>
    </row>
    <row r="14" spans="2:14" ht="20.100000000000001" customHeight="1" x14ac:dyDescent="0.2">
      <c r="B14" s="1337" t="s">
        <v>2098</v>
      </c>
      <c r="C14" s="1341">
        <v>10.555</v>
      </c>
      <c r="D14" s="1342"/>
      <c r="E14" s="1343"/>
      <c r="F14" s="1343">
        <v>250</v>
      </c>
      <c r="G14" s="1343"/>
      <c r="H14" s="1343"/>
      <c r="I14" s="1343">
        <v>250</v>
      </c>
      <c r="J14" s="1343"/>
      <c r="K14" s="1343"/>
      <c r="L14" s="1340">
        <f t="shared" si="0"/>
        <v>250</v>
      </c>
      <c r="M14" s="1343"/>
    </row>
    <row r="15" spans="2:14" ht="20.100000000000001" customHeight="1" x14ac:dyDescent="0.2">
      <c r="B15" s="1337" t="s">
        <v>2099</v>
      </c>
      <c r="C15" s="1341">
        <v>10.555</v>
      </c>
      <c r="D15" s="1342" t="s">
        <v>2100</v>
      </c>
      <c r="E15" s="1343">
        <v>20338</v>
      </c>
      <c r="F15" s="1343">
        <v>594</v>
      </c>
      <c r="G15" s="1343">
        <v>20338</v>
      </c>
      <c r="H15" s="1343"/>
      <c r="I15" s="1343">
        <v>5694</v>
      </c>
      <c r="J15" s="1343"/>
      <c r="K15" s="1343"/>
      <c r="L15" s="1340">
        <f t="shared" si="0"/>
        <v>26032</v>
      </c>
      <c r="M15" s="1343"/>
    </row>
    <row r="16" spans="2:14" ht="20.100000000000001" customHeight="1" x14ac:dyDescent="0.2">
      <c r="B16" s="1337"/>
      <c r="C16" s="1341"/>
      <c r="D16" s="1342" t="s">
        <v>2101</v>
      </c>
      <c r="E16" s="1343"/>
      <c r="F16" s="1343">
        <v>20555</v>
      </c>
      <c r="G16" s="1343"/>
      <c r="H16" s="1343"/>
      <c r="I16" s="1343">
        <v>20555</v>
      </c>
      <c r="J16" s="1343"/>
      <c r="K16" s="1343"/>
      <c r="L16" s="1340">
        <f t="shared" si="0"/>
        <v>20555</v>
      </c>
      <c r="M16" s="1343"/>
    </row>
    <row r="17" spans="2:14" ht="20.100000000000001" customHeight="1" x14ac:dyDescent="0.2">
      <c r="B17" s="1337" t="s">
        <v>2102</v>
      </c>
      <c r="C17" s="1341">
        <v>10.553000000000001</v>
      </c>
      <c r="D17" s="1342" t="s">
        <v>2103</v>
      </c>
      <c r="E17" s="1343">
        <v>11672</v>
      </c>
      <c r="F17" s="1343">
        <v>3218</v>
      </c>
      <c r="G17" s="1343">
        <v>11672</v>
      </c>
      <c r="H17" s="1343"/>
      <c r="I17" s="1343">
        <v>3218</v>
      </c>
      <c r="J17" s="1343"/>
      <c r="K17" s="1343"/>
      <c r="L17" s="1340">
        <f t="shared" si="0"/>
        <v>14890</v>
      </c>
      <c r="M17" s="1343"/>
    </row>
    <row r="18" spans="2:14" ht="20.100000000000001" customHeight="1" x14ac:dyDescent="0.2">
      <c r="B18" s="1337"/>
      <c r="C18" s="1341"/>
      <c r="D18" s="1342" t="s">
        <v>2104</v>
      </c>
      <c r="E18" s="1343"/>
      <c r="F18" s="1343">
        <v>12041</v>
      </c>
      <c r="G18" s="1343"/>
      <c r="H18" s="1343"/>
      <c r="I18" s="1343">
        <v>12041</v>
      </c>
      <c r="J18" s="1343"/>
      <c r="K18" s="1343"/>
      <c r="L18" s="1340">
        <f t="shared" si="0"/>
        <v>12041</v>
      </c>
      <c r="M18" s="1343"/>
    </row>
    <row r="19" spans="2:14" ht="20.100000000000001" customHeight="1" x14ac:dyDescent="0.2">
      <c r="B19" s="1337" t="s">
        <v>2105</v>
      </c>
      <c r="C19" s="1341"/>
      <c r="D19" s="1342"/>
      <c r="E19" s="1343">
        <v>32010</v>
      </c>
      <c r="F19" s="1343">
        <v>44869</v>
      </c>
      <c r="G19" s="1343">
        <v>32010</v>
      </c>
      <c r="H19" s="1343"/>
      <c r="I19" s="1343">
        <v>44869</v>
      </c>
      <c r="J19" s="1343"/>
      <c r="K19" s="1343"/>
      <c r="L19" s="1340">
        <f t="shared" si="0"/>
        <v>76879</v>
      </c>
      <c r="M19" s="1343"/>
    </row>
    <row r="20" spans="2:14" ht="20.100000000000001" customHeight="1" x14ac:dyDescent="0.2">
      <c r="B20" s="1337" t="s">
        <v>2106</v>
      </c>
      <c r="C20" s="1341"/>
      <c r="D20" s="1342"/>
      <c r="E20" s="1343"/>
      <c r="F20" s="1343"/>
      <c r="G20" s="1343"/>
      <c r="H20" s="1343"/>
      <c r="I20" s="1343"/>
      <c r="J20" s="1343"/>
      <c r="K20" s="1343"/>
      <c r="L20" s="1340">
        <f t="shared" si="0"/>
        <v>0</v>
      </c>
      <c r="M20" s="1343"/>
    </row>
    <row r="21" spans="2:14" ht="20.100000000000001" customHeight="1" x14ac:dyDescent="0.2">
      <c r="B21" s="1337" t="s">
        <v>2096</v>
      </c>
      <c r="C21" s="1341"/>
      <c r="D21" s="1342"/>
      <c r="E21" s="1343"/>
      <c r="F21" s="1343"/>
      <c r="G21" s="1343"/>
      <c r="H21" s="1343"/>
      <c r="I21" s="1343"/>
      <c r="J21" s="1343"/>
      <c r="K21" s="1343"/>
      <c r="L21" s="1340">
        <f t="shared" si="0"/>
        <v>0</v>
      </c>
      <c r="M21" s="1343"/>
    </row>
    <row r="22" spans="2:14" ht="20.100000000000001" customHeight="1" x14ac:dyDescent="0.2">
      <c r="B22" s="1337" t="s">
        <v>2107</v>
      </c>
      <c r="C22" s="1341" t="s">
        <v>2108</v>
      </c>
      <c r="D22" s="1342" t="s">
        <v>2109</v>
      </c>
      <c r="E22" s="1343">
        <v>72243</v>
      </c>
      <c r="F22" s="1343">
        <v>18690</v>
      </c>
      <c r="G22" s="1343">
        <v>82015</v>
      </c>
      <c r="H22" s="1343"/>
      <c r="I22" s="1343">
        <v>8918</v>
      </c>
      <c r="J22" s="1343"/>
      <c r="K22" s="1343"/>
      <c r="L22" s="1340">
        <f t="shared" si="0"/>
        <v>90933</v>
      </c>
      <c r="M22" s="1343">
        <v>94981</v>
      </c>
    </row>
    <row r="23" spans="2:14" ht="20.100000000000001" customHeight="1" x14ac:dyDescent="0.2">
      <c r="B23" s="1337"/>
      <c r="C23" s="1341"/>
      <c r="D23" s="1342" t="s">
        <v>2110</v>
      </c>
      <c r="E23" s="1343"/>
      <c r="F23" s="1343">
        <v>34943</v>
      </c>
      <c r="G23" s="1343"/>
      <c r="H23" s="1343"/>
      <c r="I23" s="1343">
        <v>38041</v>
      </c>
      <c r="J23" s="1343"/>
      <c r="K23" s="1343">
        <v>3423</v>
      </c>
      <c r="L23" s="1340">
        <f t="shared" si="0"/>
        <v>41464</v>
      </c>
      <c r="M23" s="1343">
        <v>44137</v>
      </c>
    </row>
    <row r="24" spans="2:14" ht="20.100000000000001" customHeight="1" x14ac:dyDescent="0.2">
      <c r="B24" s="1337" t="s">
        <v>2111</v>
      </c>
      <c r="C24" s="1341" t="s">
        <v>2112</v>
      </c>
      <c r="D24" s="1342" t="s">
        <v>2113</v>
      </c>
      <c r="E24" s="1343">
        <v>1132055</v>
      </c>
      <c r="F24" s="1343">
        <v>577348</v>
      </c>
      <c r="G24" s="1343">
        <v>1686172</v>
      </c>
      <c r="H24" s="1343">
        <v>1225660</v>
      </c>
      <c r="I24" s="1343">
        <v>23231</v>
      </c>
      <c r="J24" s="1343"/>
      <c r="K24" s="1343"/>
      <c r="L24" s="1340">
        <f t="shared" si="0"/>
        <v>1709403</v>
      </c>
      <c r="M24" s="1343">
        <v>1761319</v>
      </c>
    </row>
    <row r="25" spans="2:14" ht="20.100000000000001" customHeight="1" x14ac:dyDescent="0.2">
      <c r="B25" s="1337"/>
      <c r="C25" s="1341"/>
      <c r="D25" s="1342" t="s">
        <v>2114</v>
      </c>
      <c r="E25" s="1343"/>
      <c r="F25" s="1343">
        <v>1389136</v>
      </c>
      <c r="G25" s="1343"/>
      <c r="H25" s="1343"/>
      <c r="I25" s="1343">
        <v>1681375</v>
      </c>
      <c r="J25" s="1343">
        <v>1185760</v>
      </c>
      <c r="K25" s="1343">
        <v>37440</v>
      </c>
      <c r="L25" s="1340">
        <f t="shared" si="0"/>
        <v>1718815</v>
      </c>
      <c r="M25" s="1343">
        <v>1761712</v>
      </c>
    </row>
    <row r="26" spans="2:14" ht="20.100000000000001" customHeight="1" x14ac:dyDescent="0.2">
      <c r="B26" s="1337" t="s">
        <v>2115</v>
      </c>
      <c r="C26" s="1341"/>
      <c r="D26" s="1342"/>
      <c r="E26" s="1343">
        <v>1204298</v>
      </c>
      <c r="F26" s="1343">
        <v>2020117</v>
      </c>
      <c r="G26" s="1343">
        <v>1768187</v>
      </c>
      <c r="H26" s="1343">
        <v>1225660</v>
      </c>
      <c r="I26" s="1343">
        <v>1751565</v>
      </c>
      <c r="J26" s="1343">
        <v>1185760</v>
      </c>
      <c r="K26" s="1343">
        <v>40863</v>
      </c>
      <c r="L26" s="1340">
        <f t="shared" si="0"/>
        <v>3560615</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1839</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1840</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1841</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1842</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1843</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B21" sqref="B2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Perandoe SpEd District</v>
      </c>
      <c r="C1" s="2449"/>
      <c r="D1" s="2449"/>
      <c r="E1" s="2449"/>
      <c r="F1" s="2449"/>
      <c r="G1" s="2449"/>
      <c r="H1" s="2449"/>
      <c r="I1" s="2449"/>
      <c r="J1" s="2449"/>
      <c r="K1" s="2449"/>
      <c r="L1" s="2449"/>
      <c r="M1" s="2449"/>
    </row>
    <row r="2" spans="2:14" ht="15" x14ac:dyDescent="0.2">
      <c r="B2" s="2450">
        <f>'Single Audit Cover'!E7</f>
        <v>45079132061</v>
      </c>
      <c r="C2" s="2450"/>
      <c r="D2" s="2450"/>
      <c r="E2" s="2450"/>
      <c r="F2" s="2450"/>
      <c r="G2" s="2450"/>
      <c r="H2" s="2450"/>
      <c r="I2" s="2450"/>
      <c r="J2" s="2450"/>
      <c r="K2" s="2450"/>
      <c r="L2" s="2450"/>
      <c r="M2" s="2450"/>
      <c r="N2" s="1302"/>
    </row>
    <row r="3" spans="2:14" ht="15" x14ac:dyDescent="0.2">
      <c r="B3" s="2451" t="s">
        <v>1281</v>
      </c>
      <c r="C3" s="2451"/>
      <c r="D3" s="2451"/>
      <c r="E3" s="2451"/>
      <c r="F3" s="2451"/>
      <c r="G3" s="2451"/>
      <c r="H3" s="2451"/>
      <c r="I3" s="2451"/>
      <c r="J3" s="2451"/>
      <c r="K3" s="2451"/>
      <c r="L3" s="2451"/>
      <c r="M3" s="2451"/>
      <c r="N3" s="1302"/>
    </row>
    <row r="4" spans="2:14" ht="15" x14ac:dyDescent="0.2">
      <c r="B4" s="2452" t="str">
        <f>'Single Audit Cover'!A4</f>
        <v>Year Ending June 30, 2018</v>
      </c>
      <c r="C4" s="2452"/>
      <c r="D4" s="2452"/>
      <c r="E4" s="2452"/>
      <c r="F4" s="2452"/>
      <c r="G4" s="2452"/>
      <c r="H4" s="2452"/>
      <c r="I4" s="2452"/>
      <c r="J4" s="2452"/>
      <c r="K4" s="2452"/>
      <c r="L4" s="2452"/>
      <c r="M4" s="2452"/>
      <c r="N4" s="1302"/>
    </row>
    <row r="6" spans="2:14" x14ac:dyDescent="0.2">
      <c r="B6" s="1303"/>
      <c r="C6" s="1304"/>
      <c r="D6" s="1305" t="s">
        <v>1327</v>
      </c>
      <c r="E6" s="1306" t="s">
        <v>548</v>
      </c>
      <c r="F6" s="1307"/>
      <c r="G6" s="1308" t="s">
        <v>1836</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1837</v>
      </c>
      <c r="D9" s="1314" t="s">
        <v>1838</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2116</v>
      </c>
      <c r="C11" s="1338"/>
      <c r="D11" s="1339"/>
      <c r="E11" s="1340"/>
      <c r="F11" s="1340"/>
      <c r="G11" s="1340"/>
      <c r="H11" s="1340"/>
      <c r="I11" s="1340"/>
      <c r="J11" s="1340"/>
      <c r="K11" s="1340"/>
      <c r="L11" s="1340">
        <f>+G11+I11+K11</f>
        <v>0</v>
      </c>
      <c r="M11" s="1340"/>
    </row>
    <row r="12" spans="2:14" ht="20.100000000000001" customHeight="1" x14ac:dyDescent="0.2">
      <c r="B12" s="1337" t="s">
        <v>2117</v>
      </c>
      <c r="C12" s="1341" t="s">
        <v>2118</v>
      </c>
      <c r="D12" s="1342" t="s">
        <v>2119</v>
      </c>
      <c r="E12" s="1343"/>
      <c r="F12" s="1343">
        <v>25802</v>
      </c>
      <c r="G12" s="1343"/>
      <c r="H12" s="1343"/>
      <c r="I12" s="1343">
        <v>24264</v>
      </c>
      <c r="J12" s="1343"/>
      <c r="K12" s="1343"/>
      <c r="L12" s="1340">
        <f t="shared" ref="L12:L27" si="0">+G12+I12+K12</f>
        <v>24264</v>
      </c>
      <c r="M12" s="1343"/>
    </row>
    <row r="13" spans="2:14" ht="20.100000000000001" customHeight="1" x14ac:dyDescent="0.2">
      <c r="B13" s="1337" t="s">
        <v>2120</v>
      </c>
      <c r="C13" s="1341"/>
      <c r="D13" s="1342"/>
      <c r="E13" s="1343">
        <v>1204298</v>
      </c>
      <c r="F13" s="1343">
        <v>2045919</v>
      </c>
      <c r="G13" s="1343">
        <v>1768187</v>
      </c>
      <c r="H13" s="1343">
        <v>1225660</v>
      </c>
      <c r="I13" s="1343">
        <v>1775829</v>
      </c>
      <c r="J13" s="1343">
        <v>1185760</v>
      </c>
      <c r="K13" s="1343">
        <v>40863</v>
      </c>
      <c r="L13" s="1340">
        <f t="shared" si="0"/>
        <v>3584879</v>
      </c>
      <c r="M13" s="1343"/>
    </row>
    <row r="14" spans="2:14" ht="20.100000000000001" customHeight="1" x14ac:dyDescent="0.2">
      <c r="B14" s="1337" t="s">
        <v>2126</v>
      </c>
      <c r="C14" s="1341"/>
      <c r="D14" s="1342"/>
      <c r="E14" s="1343"/>
      <c r="F14" s="1343"/>
      <c r="G14" s="1343"/>
      <c r="H14" s="1343"/>
      <c r="I14" s="1343"/>
      <c r="J14" s="1343"/>
      <c r="K14" s="1343"/>
      <c r="L14" s="1340">
        <f t="shared" si="0"/>
        <v>0</v>
      </c>
      <c r="M14" s="1343"/>
    </row>
    <row r="15" spans="2:14" ht="20.100000000000001" customHeight="1" x14ac:dyDescent="0.2">
      <c r="B15" s="1337" t="s">
        <v>2121</v>
      </c>
      <c r="C15" s="1341"/>
      <c r="D15" s="1342"/>
      <c r="E15" s="1343"/>
      <c r="F15" s="1343"/>
      <c r="G15" s="1343"/>
      <c r="H15" s="1343"/>
      <c r="I15" s="1343"/>
      <c r="J15" s="1343"/>
      <c r="K15" s="1343"/>
      <c r="L15" s="1340">
        <f t="shared" si="0"/>
        <v>0</v>
      </c>
      <c r="M15" s="1343"/>
    </row>
    <row r="16" spans="2:14" ht="20.100000000000001" customHeight="1" x14ac:dyDescent="0.2">
      <c r="B16" s="1337" t="s">
        <v>2122</v>
      </c>
      <c r="C16" s="1341">
        <v>93.778000000000006</v>
      </c>
      <c r="D16" s="1342" t="s">
        <v>2123</v>
      </c>
      <c r="E16" s="1343">
        <v>43289</v>
      </c>
      <c r="F16" s="1343">
        <v>12785</v>
      </c>
      <c r="G16" s="1343">
        <v>43289</v>
      </c>
      <c r="H16" s="1343"/>
      <c r="I16" s="1343">
        <v>12785</v>
      </c>
      <c r="J16" s="1343"/>
      <c r="K16" s="1343"/>
      <c r="L16" s="1340">
        <f t="shared" si="0"/>
        <v>56074</v>
      </c>
      <c r="M16" s="1343"/>
    </row>
    <row r="17" spans="2:14" ht="20.100000000000001" customHeight="1" x14ac:dyDescent="0.2">
      <c r="B17" s="1337"/>
      <c r="C17" s="1341"/>
      <c r="D17" s="1342" t="s">
        <v>2124</v>
      </c>
      <c r="E17" s="1343"/>
      <c r="F17" s="1343">
        <v>38595</v>
      </c>
      <c r="G17" s="1343"/>
      <c r="H17" s="1343"/>
      <c r="I17" s="1343">
        <v>38595</v>
      </c>
      <c r="J17" s="1343"/>
      <c r="K17" s="1343"/>
      <c r="L17" s="1340">
        <f t="shared" si="0"/>
        <v>38595</v>
      </c>
      <c r="M17" s="1343"/>
    </row>
    <row r="18" spans="2:14" ht="20.100000000000001" customHeight="1" x14ac:dyDescent="0.2">
      <c r="B18" s="1337" t="s">
        <v>2125</v>
      </c>
      <c r="C18" s="1341"/>
      <c r="D18" s="1342"/>
      <c r="E18" s="1343">
        <v>43289</v>
      </c>
      <c r="F18" s="1343">
        <v>51380</v>
      </c>
      <c r="G18" s="1343">
        <v>43289</v>
      </c>
      <c r="H18" s="1343"/>
      <c r="I18" s="1343">
        <v>51380</v>
      </c>
      <c r="J18" s="1343"/>
      <c r="K18" s="1343"/>
      <c r="L18" s="1340">
        <f t="shared" si="0"/>
        <v>94669</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t="s">
        <v>2127</v>
      </c>
      <c r="C20" s="1341"/>
      <c r="D20" s="1342"/>
      <c r="E20" s="1343">
        <v>1279597</v>
      </c>
      <c r="F20" s="1343">
        <v>2142168</v>
      </c>
      <c r="G20" s="1343">
        <v>1843486</v>
      </c>
      <c r="H20" s="1343">
        <v>1225660</v>
      </c>
      <c r="I20" s="1343">
        <v>1872078</v>
      </c>
      <c r="J20" s="1343">
        <v>1185760</v>
      </c>
      <c r="K20" s="1343">
        <v>40863</v>
      </c>
      <c r="L20" s="1340">
        <f t="shared" si="0"/>
        <v>3756427</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1839</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1840</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1841</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1842</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1843</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1895</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1894</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2068</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2019</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2066</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2067</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2077</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2020</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B5" sqref="B5"/>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4" t="str">
        <f>'Single Audit Cover'!A7</f>
        <v>Perandoe SpEd District</v>
      </c>
      <c r="B1" s="2454"/>
      <c r="C1" s="2454"/>
      <c r="D1" s="2454"/>
      <c r="E1" s="2454"/>
      <c r="F1" s="2454"/>
    </row>
    <row r="2" spans="1:7" ht="13.5" customHeight="1" x14ac:dyDescent="0.2">
      <c r="A2" s="2450">
        <f>'Single Audit Cover'!E7</f>
        <v>45079132061</v>
      </c>
      <c r="B2" s="2450"/>
      <c r="C2" s="2450"/>
      <c r="D2" s="2450"/>
      <c r="E2" s="2450"/>
      <c r="F2" s="2450"/>
      <c r="G2" s="1275"/>
    </row>
    <row r="3" spans="1:7" ht="15.75" customHeight="1" x14ac:dyDescent="0.2">
      <c r="A3" s="2455" t="s">
        <v>1333</v>
      </c>
      <c r="B3" s="2455"/>
      <c r="C3" s="2455"/>
      <c r="D3" s="2455"/>
      <c r="E3" s="2455"/>
      <c r="F3" s="2455"/>
    </row>
    <row r="4" spans="1:7" ht="13.5" customHeight="1" x14ac:dyDescent="0.2">
      <c r="A4" s="2456" t="str">
        <f>'Single Audit Cover'!A4</f>
        <v>Year Ending June 30, 2018</v>
      </c>
      <c r="B4" s="2456"/>
      <c r="C4" s="2456"/>
      <c r="D4" s="2456"/>
      <c r="E4" s="2456"/>
      <c r="F4" s="2456"/>
    </row>
    <row r="5" spans="1:7" ht="8.25" customHeight="1" x14ac:dyDescent="0.2">
      <c r="C5" s="317"/>
      <c r="D5" s="317"/>
    </row>
    <row r="6" spans="1:7" ht="13.5" customHeight="1" x14ac:dyDescent="0.2">
      <c r="A6" s="1276" t="s">
        <v>1831</v>
      </c>
      <c r="C6" s="317"/>
      <c r="D6" s="317"/>
    </row>
    <row r="7" spans="1:7" ht="60.95" customHeight="1" x14ac:dyDescent="0.2">
      <c r="A7" s="2453" t="s">
        <v>2128</v>
      </c>
      <c r="B7" s="2453"/>
      <c r="C7" s="2453"/>
      <c r="D7" s="2453"/>
      <c r="E7" s="2453"/>
      <c r="F7" s="2453"/>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2076</v>
      </c>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3" t="s">
        <v>1833</v>
      </c>
      <c r="B13" s="2453"/>
      <c r="C13" s="2453"/>
      <c r="D13" s="2453"/>
      <c r="E13" s="2453"/>
      <c r="F13" s="2453"/>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t="s">
        <v>2129</v>
      </c>
      <c r="C17" s="1285" t="s">
        <v>2130</v>
      </c>
      <c r="D17" s="2457"/>
      <c r="E17" s="2457"/>
      <c r="F17" s="2457"/>
    </row>
    <row r="18" spans="1:6" ht="20.65" customHeight="1" x14ac:dyDescent="0.2">
      <c r="A18" s="1283"/>
      <c r="B18" s="1284" t="s">
        <v>2131</v>
      </c>
      <c r="C18" s="1285"/>
      <c r="D18" s="2457">
        <v>163994</v>
      </c>
      <c r="E18" s="2457"/>
      <c r="F18" s="2457"/>
    </row>
    <row r="19" spans="1:6" ht="20.65" customHeight="1" x14ac:dyDescent="0.2">
      <c r="A19" s="1283"/>
      <c r="B19" s="1284" t="s">
        <v>2132</v>
      </c>
      <c r="C19" s="1285"/>
      <c r="D19" s="2457">
        <v>254860</v>
      </c>
      <c r="E19" s="2457"/>
      <c r="F19" s="2457"/>
    </row>
    <row r="20" spans="1:6" ht="20.65" customHeight="1" x14ac:dyDescent="0.2">
      <c r="A20" s="1283"/>
      <c r="B20" s="1284" t="s">
        <v>2133</v>
      </c>
      <c r="C20" s="1285"/>
      <c r="D20" s="2457">
        <v>193908</v>
      </c>
      <c r="E20" s="2457"/>
      <c r="F20" s="2457"/>
    </row>
    <row r="21" spans="1:6" ht="20.65" customHeight="1" x14ac:dyDescent="0.2">
      <c r="A21" s="1283"/>
      <c r="B21" s="1284" t="s">
        <v>2134</v>
      </c>
      <c r="C21" s="1285"/>
      <c r="D21" s="2457">
        <v>38120</v>
      </c>
      <c r="E21" s="2457"/>
      <c r="F21" s="2457"/>
    </row>
    <row r="22" spans="1:6" ht="20.65" customHeight="1" x14ac:dyDescent="0.2">
      <c r="A22" s="1283"/>
      <c r="B22" s="1284" t="s">
        <v>2135</v>
      </c>
      <c r="C22" s="1285"/>
      <c r="D22" s="2457">
        <v>29346</v>
      </c>
      <c r="E22" s="2457"/>
      <c r="F22" s="2457"/>
    </row>
    <row r="23" spans="1:6" ht="20.65" customHeight="1" x14ac:dyDescent="0.2">
      <c r="A23" s="1283"/>
      <c r="B23" s="1284" t="s">
        <v>2136</v>
      </c>
      <c r="C23" s="1285"/>
      <c r="D23" s="2457">
        <v>70421</v>
      </c>
      <c r="E23" s="2457"/>
      <c r="F23" s="2457"/>
    </row>
    <row r="24" spans="1:6" ht="20.65" customHeight="1" x14ac:dyDescent="0.2">
      <c r="A24" s="1283"/>
      <c r="B24" s="1284" t="s">
        <v>2137</v>
      </c>
      <c r="C24" s="1285"/>
      <c r="D24" s="2457">
        <v>60160</v>
      </c>
      <c r="E24" s="2457"/>
      <c r="F24" s="2457"/>
    </row>
    <row r="25" spans="1:6" ht="20.65" customHeight="1" x14ac:dyDescent="0.2">
      <c r="A25" s="1283"/>
      <c r="B25" s="1284" t="s">
        <v>2138</v>
      </c>
      <c r="C25" s="1285"/>
      <c r="D25" s="2457">
        <v>374951</v>
      </c>
      <c r="E25" s="2457"/>
      <c r="F25" s="2457"/>
    </row>
    <row r="26" spans="1:6" ht="20.65" customHeight="1" x14ac:dyDescent="0.2">
      <c r="A26" s="1283"/>
      <c r="B26" s="1284"/>
      <c r="C26" s="1285"/>
      <c r="D26" s="2457">
        <v>1185760</v>
      </c>
      <c r="E26" s="2457"/>
      <c r="F26" s="2457"/>
    </row>
    <row r="27" spans="1:6" ht="20.65" customHeight="1" x14ac:dyDescent="0.2">
      <c r="A27" s="1283"/>
      <c r="B27" s="1284"/>
      <c r="C27" s="1285"/>
      <c r="D27" s="2457"/>
      <c r="E27" s="2457"/>
      <c r="F27" s="2457"/>
    </row>
    <row r="28" spans="1:6" ht="20.65" customHeight="1" x14ac:dyDescent="0.2">
      <c r="A28" s="1283"/>
      <c r="B28" s="1284"/>
      <c r="C28" s="1285"/>
      <c r="D28" s="2457"/>
      <c r="E28" s="2457"/>
      <c r="F28" s="2457"/>
    </row>
    <row r="29" spans="1:6" ht="20.65" customHeight="1" x14ac:dyDescent="0.2">
      <c r="A29" s="1283"/>
      <c r="B29" s="1284"/>
      <c r="C29" s="1285"/>
      <c r="D29" s="2457"/>
      <c r="E29" s="2457"/>
      <c r="F29" s="2457"/>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61" t="s">
        <v>1834</v>
      </c>
      <c r="B32" s="2461"/>
      <c r="C32" s="2461"/>
      <c r="D32" s="2461"/>
      <c r="E32" s="2461"/>
      <c r="F32" s="2461"/>
    </row>
    <row r="33" spans="1:6" ht="13.5" customHeight="1" x14ac:dyDescent="0.2">
      <c r="A33" s="328" t="s">
        <v>1509</v>
      </c>
      <c r="B33" s="328"/>
      <c r="C33" s="1288">
        <v>3111</v>
      </c>
      <c r="D33" s="1928"/>
      <c r="E33" s="1286"/>
    </row>
    <row r="34" spans="1:6" ht="13.5" customHeight="1" x14ac:dyDescent="0.2">
      <c r="A34" s="328" t="s">
        <v>1947</v>
      </c>
      <c r="B34" s="328"/>
      <c r="C34" s="1289">
        <v>250</v>
      </c>
      <c r="D34" s="1928" t="s">
        <v>1671</v>
      </c>
      <c r="E34" s="2462">
        <f>+C33+C34</f>
        <v>3361</v>
      </c>
      <c r="F34" s="2463"/>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v>0</v>
      </c>
      <c r="D38" s="1928"/>
      <c r="E38" s="1286"/>
    </row>
    <row r="39" spans="1:6" ht="14.25" customHeight="1" x14ac:dyDescent="0.2">
      <c r="A39" s="328"/>
      <c r="B39" s="328" t="s">
        <v>1511</v>
      </c>
      <c r="C39" s="1292">
        <v>0</v>
      </c>
      <c r="D39" s="1928"/>
      <c r="E39" s="1286"/>
    </row>
    <row r="40" spans="1:6" ht="14.25" customHeight="1" x14ac:dyDescent="0.2">
      <c r="A40" s="328"/>
      <c r="B40" s="328" t="s">
        <v>1512</v>
      </c>
      <c r="C40" s="1292">
        <v>0</v>
      </c>
      <c r="D40" s="1928"/>
      <c r="E40" s="1286"/>
    </row>
    <row r="41" spans="1:6" ht="14.25" customHeight="1" x14ac:dyDescent="0.2">
      <c r="A41" s="328"/>
      <c r="B41" s="328" t="s">
        <v>1513</v>
      </c>
      <c r="C41" s="1292">
        <v>0</v>
      </c>
      <c r="D41" s="1928"/>
      <c r="E41" s="1286"/>
    </row>
    <row r="42" spans="1:6" ht="14.25" customHeight="1" x14ac:dyDescent="0.2">
      <c r="A42" s="328" t="s">
        <v>1514</v>
      </c>
      <c r="B42" s="328"/>
      <c r="C42" s="1926">
        <v>0</v>
      </c>
      <c r="D42" s="1928"/>
      <c r="E42" s="1286"/>
    </row>
    <row r="43" spans="1:6" ht="14.25" customHeight="1" x14ac:dyDescent="0.2">
      <c r="A43" s="328" t="s">
        <v>1515</v>
      </c>
      <c r="B43" s="328"/>
      <c r="C43" s="1293" t="s">
        <v>401</v>
      </c>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1835</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4" t="s">
        <v>1672</v>
      </c>
      <c r="C49" s="2464"/>
      <c r="D49" s="2464"/>
      <c r="E49" s="1399"/>
    </row>
    <row r="50" spans="1:5" s="1300" customFormat="1" ht="3.75" customHeight="1" x14ac:dyDescent="0.2">
      <c r="A50" s="1299"/>
      <c r="B50" s="1870"/>
      <c r="C50" s="1870"/>
      <c r="D50" s="1870"/>
      <c r="E50" s="1399"/>
    </row>
    <row r="51" spans="1:5" s="1300" customFormat="1" ht="20.25" customHeight="1" x14ac:dyDescent="0.2">
      <c r="A51" s="1301">
        <v>6</v>
      </c>
      <c r="B51" s="2460" t="s">
        <v>1632</v>
      </c>
      <c r="C51" s="2460"/>
      <c r="D51" s="2460"/>
    </row>
    <row r="52" spans="1:5" ht="14.25" customHeight="1" x14ac:dyDescent="0.2">
      <c r="A52" s="1301"/>
      <c r="B52" s="2460"/>
      <c r="C52" s="2460"/>
      <c r="D52" s="2460"/>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election activeCell="C11" sqref="C11:D11"/>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9" t="str">
        <f>'Single Audit Cover'!A7</f>
        <v>Perandoe SpEd District</v>
      </c>
      <c r="C1" s="2470"/>
      <c r="D1" s="2470"/>
      <c r="E1" s="2470"/>
      <c r="F1" s="2470"/>
      <c r="G1" s="2470"/>
      <c r="H1" s="2470"/>
      <c r="I1" s="2470"/>
      <c r="J1" s="1422"/>
    </row>
    <row r="2" spans="2:10" s="317" customFormat="1" ht="12.75" customHeight="1" x14ac:dyDescent="0.2">
      <c r="B2" s="2471">
        <f>'Single Audit Cover'!E7</f>
        <v>45079132061</v>
      </c>
      <c r="C2" s="2472"/>
      <c r="D2" s="2472"/>
      <c r="E2" s="2472"/>
      <c r="F2" s="2472"/>
      <c r="G2" s="2472"/>
      <c r="H2" s="2472"/>
      <c r="I2" s="2472"/>
      <c r="J2" s="1422"/>
    </row>
    <row r="3" spans="2:10" s="317" customFormat="1" ht="12.75" customHeight="1" x14ac:dyDescent="0.2">
      <c r="B3" s="2473" t="s">
        <v>1347</v>
      </c>
      <c r="C3" s="2474"/>
      <c r="D3" s="2474"/>
      <c r="E3" s="2474"/>
      <c r="F3" s="2474"/>
      <c r="G3" s="2474"/>
      <c r="H3" s="2474"/>
      <c r="I3" s="2474"/>
      <c r="J3" s="1423"/>
    </row>
    <row r="4" spans="2:10" s="317" customFormat="1" ht="12.75" customHeight="1" x14ac:dyDescent="0.2">
      <c r="B4" s="2473" t="str">
        <f>'Single Audit Cover'!A4</f>
        <v>Year Ending June 30, 2018</v>
      </c>
      <c r="C4" s="2474"/>
      <c r="D4" s="2474"/>
      <c r="E4" s="2474"/>
      <c r="F4" s="2474"/>
      <c r="G4" s="2474"/>
      <c r="H4" s="2474"/>
      <c r="I4" s="247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3" t="s">
        <v>1346</v>
      </c>
      <c r="C7" s="2474"/>
      <c r="D7" s="2474"/>
      <c r="E7" s="2474"/>
      <c r="F7" s="2474"/>
      <c r="G7" s="2474"/>
      <c r="H7" s="2474"/>
      <c r="I7" s="247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5" t="s">
        <v>1226</v>
      </c>
      <c r="D11" s="247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2076</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2076</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2076</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2076</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2076</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6"/>
      <c r="E29" s="2476"/>
      <c r="F29" s="2476"/>
      <c r="G29" s="2476"/>
      <c r="H29" s="2476"/>
      <c r="I29" s="2476"/>
    </row>
    <row r="30" spans="2:9" s="317" customFormat="1" x14ac:dyDescent="0.2">
      <c r="B30" s="1368"/>
      <c r="C30" s="322"/>
      <c r="D30" s="1433" t="s">
        <v>1850</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2076</v>
      </c>
      <c r="H33" s="1300" t="s">
        <v>101</v>
      </c>
    </row>
    <row r="35" spans="2:9" x14ac:dyDescent="0.2">
      <c r="B35" s="1441" t="s">
        <v>1851</v>
      </c>
      <c r="C35" s="1442"/>
      <c r="D35" s="1267"/>
    </row>
    <row r="36" spans="2:9" ht="6" customHeight="1" x14ac:dyDescent="0.2">
      <c r="B36" s="1441"/>
      <c r="C36" s="1442"/>
      <c r="D36" s="1267"/>
    </row>
    <row r="37" spans="2:9" ht="17.25" customHeight="1" x14ac:dyDescent="0.2">
      <c r="B37" s="1443" t="s">
        <v>1852</v>
      </c>
      <c r="C37" s="2477" t="s">
        <v>1853</v>
      </c>
      <c r="D37" s="2478"/>
      <c r="E37" s="2478"/>
      <c r="F37" s="2479"/>
      <c r="G37" s="2477" t="s">
        <v>1674</v>
      </c>
      <c r="H37" s="2478"/>
      <c r="I37" s="2479"/>
    </row>
    <row r="38" spans="2:9" ht="16.5" customHeight="1" x14ac:dyDescent="0.2">
      <c r="B38" s="1444">
        <v>84.027000000000001</v>
      </c>
      <c r="C38" s="2465" t="s">
        <v>2139</v>
      </c>
      <c r="D38" s="2466"/>
      <c r="E38" s="2466"/>
      <c r="F38" s="2467"/>
      <c r="G38" s="2480">
        <v>1751565</v>
      </c>
      <c r="H38" s="2481"/>
      <c r="I38" s="2482"/>
    </row>
    <row r="39" spans="2:9" ht="16.5" customHeight="1" x14ac:dyDescent="0.2">
      <c r="B39" s="1444"/>
      <c r="C39" s="2465"/>
      <c r="D39" s="2466"/>
      <c r="E39" s="2466"/>
      <c r="F39" s="2467"/>
      <c r="G39" s="2468"/>
      <c r="H39" s="2468"/>
      <c r="I39" s="2468"/>
    </row>
    <row r="40" spans="2:9" ht="16.5" customHeight="1" x14ac:dyDescent="0.2">
      <c r="B40" s="1444"/>
      <c r="C40" s="2465"/>
      <c r="D40" s="2466"/>
      <c r="E40" s="2466"/>
      <c r="F40" s="2467"/>
      <c r="G40" s="2468"/>
      <c r="H40" s="2468"/>
      <c r="I40" s="2468"/>
    </row>
    <row r="41" spans="2:9" ht="16.5" customHeight="1" x14ac:dyDescent="0.2">
      <c r="B41" s="1444"/>
      <c r="C41" s="2465"/>
      <c r="D41" s="2466"/>
      <c r="E41" s="2466"/>
      <c r="F41" s="2467"/>
      <c r="G41" s="2468"/>
      <c r="H41" s="2468"/>
      <c r="I41" s="2468"/>
    </row>
    <row r="42" spans="2:9" ht="16.5" customHeight="1" x14ac:dyDescent="0.2">
      <c r="B42" s="1444"/>
      <c r="C42" s="2465"/>
      <c r="D42" s="2466"/>
      <c r="E42" s="2466"/>
      <c r="F42" s="2467"/>
      <c r="G42" s="2468"/>
      <c r="H42" s="2468"/>
      <c r="I42" s="2468"/>
    </row>
    <row r="43" spans="2:9" ht="16.5" customHeight="1" x14ac:dyDescent="0.2">
      <c r="B43" s="1444"/>
      <c r="C43" s="2483" t="s">
        <v>1675</v>
      </c>
      <c r="D43" s="2484"/>
      <c r="E43" s="2484"/>
      <c r="F43" s="2485"/>
      <c r="G43" s="2486">
        <f>SUM(G38:I42)</f>
        <v>1751565</v>
      </c>
      <c r="H43" s="2486"/>
      <c r="I43" s="2486"/>
    </row>
    <row r="44" spans="2:9" ht="12.75" customHeight="1" x14ac:dyDescent="0.2"/>
    <row r="45" spans="2:9" ht="12.75" customHeight="1" x14ac:dyDescent="0.2">
      <c r="B45" s="1435" t="s">
        <v>1950</v>
      </c>
      <c r="D45" s="2487">
        <v>1872078</v>
      </c>
      <c r="E45" s="2488"/>
    </row>
    <row r="46" spans="2:9" ht="5.25" customHeight="1" x14ac:dyDescent="0.2">
      <c r="B46" s="1445"/>
      <c r="D46" s="1446"/>
      <c r="E46" s="1447"/>
    </row>
    <row r="47" spans="2:9" ht="12.75" customHeight="1" x14ac:dyDescent="0.2">
      <c r="B47" s="1300" t="s">
        <v>1676</v>
      </c>
      <c r="C47" s="1300"/>
      <c r="D47" s="1448">
        <f>+G43/D45</f>
        <v>0.93562607968257738</v>
      </c>
      <c r="E47" s="1449"/>
      <c r="F47" s="1450"/>
      <c r="I47" s="1451"/>
    </row>
    <row r="48" spans="2:9" ht="9.9499999999999993" customHeight="1" x14ac:dyDescent="0.2"/>
    <row r="49" spans="1:9" x14ac:dyDescent="0.2">
      <c r="B49" s="1368" t="s">
        <v>1335</v>
      </c>
      <c r="C49" s="1282"/>
      <c r="D49" s="1282"/>
      <c r="E49" s="2489">
        <v>750000</v>
      </c>
      <c r="F49" s="2489"/>
      <c r="G49" s="2489"/>
      <c r="H49" s="322"/>
    </row>
    <row r="51" spans="1:9" ht="13.5" customHeight="1" x14ac:dyDescent="0.2">
      <c r="B51" s="1368" t="s">
        <v>1334</v>
      </c>
      <c r="C51" s="1282"/>
      <c r="E51" s="1438"/>
      <c r="F51" s="1300" t="s">
        <v>940</v>
      </c>
      <c r="G51" s="1438" t="s">
        <v>2076</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1854</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1855</v>
      </c>
      <c r="C58" s="1464"/>
      <c r="D58" s="1464"/>
    </row>
    <row r="59" spans="1:9" s="1461" customFormat="1" ht="3.95" customHeight="1" x14ac:dyDescent="0.2">
      <c r="A59" s="1458"/>
      <c r="B59" s="1463"/>
      <c r="C59" s="1464"/>
      <c r="D59" s="1464"/>
    </row>
    <row r="60" spans="1:9" s="1461" customFormat="1" ht="13.5" customHeight="1" x14ac:dyDescent="0.2">
      <c r="A60" s="1458"/>
      <c r="B60" s="1463" t="s">
        <v>1856</v>
      </c>
      <c r="C60" s="1464"/>
      <c r="D60" s="1464"/>
    </row>
    <row r="61" spans="1:9" s="1461" customFormat="1" ht="3.95" customHeight="1" x14ac:dyDescent="0.2">
      <c r="A61" s="1458"/>
      <c r="B61" s="1463"/>
      <c r="C61" s="1464"/>
      <c r="D61" s="1464"/>
    </row>
    <row r="62" spans="1:9" s="1461" customFormat="1" ht="12.75" customHeight="1" x14ac:dyDescent="0.2">
      <c r="A62" s="1458"/>
      <c r="B62" s="1463" t="s">
        <v>1857</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D11" sqref="D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9" t="str">
        <f>'Single Audit Cover'!A7</f>
        <v>Perandoe SpEd District</v>
      </c>
      <c r="C1" s="2469"/>
      <c r="D1" s="2469"/>
      <c r="E1" s="2469"/>
      <c r="F1" s="2469"/>
      <c r="G1" s="2469"/>
      <c r="H1" s="2469"/>
      <c r="I1" s="2469"/>
      <c r="J1" s="2469"/>
      <c r="K1" s="2469"/>
      <c r="L1" s="1374"/>
      <c r="M1" s="1374"/>
    </row>
    <row r="2" spans="1:13" ht="12" customHeight="1" x14ac:dyDescent="0.2">
      <c r="B2" s="2471">
        <f>'Single Audit Cover'!E7</f>
        <v>45079132061</v>
      </c>
      <c r="C2" s="2471"/>
      <c r="D2" s="2471"/>
      <c r="E2" s="2471"/>
      <c r="F2" s="2471"/>
      <c r="G2" s="2471"/>
      <c r="H2" s="2471"/>
      <c r="I2" s="2471"/>
      <c r="J2" s="2471"/>
      <c r="K2" s="2471"/>
      <c r="L2" s="1375"/>
      <c r="M2" s="1376"/>
    </row>
    <row r="3" spans="1:13" ht="10.35" customHeight="1" x14ac:dyDescent="0.2">
      <c r="B3" s="2492" t="s">
        <v>1347</v>
      </c>
      <c r="C3" s="2492"/>
      <c r="D3" s="2492"/>
      <c r="E3" s="2492"/>
      <c r="F3" s="2492"/>
      <c r="G3" s="2492"/>
      <c r="H3" s="2492"/>
      <c r="I3" s="2492"/>
      <c r="J3" s="2492"/>
      <c r="K3" s="2492"/>
      <c r="L3" s="1377"/>
      <c r="M3" s="1377"/>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3" t="s">
        <v>1363</v>
      </c>
      <c r="C7" s="2493"/>
      <c r="D7" s="2494"/>
      <c r="E7" s="2494"/>
      <c r="F7" s="2494"/>
      <c r="G7" s="2494"/>
      <c r="H7" s="2494"/>
      <c r="I7" s="2494"/>
      <c r="J7" s="2494"/>
      <c r="K7" s="2494"/>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1844</v>
      </c>
      <c r="C10" s="1385" t="s">
        <v>1951</v>
      </c>
      <c r="D10" s="1386" t="s">
        <v>2140</v>
      </c>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1"/>
      <c r="C14" s="2491"/>
      <c r="D14" s="2491"/>
      <c r="E14" s="2491"/>
      <c r="F14" s="2491"/>
      <c r="G14" s="2491"/>
      <c r="H14" s="2491"/>
      <c r="I14" s="2491"/>
      <c r="J14" s="2491"/>
      <c r="K14" s="2491"/>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1"/>
      <c r="C17" s="2491"/>
      <c r="D17" s="2491"/>
      <c r="E17" s="2491"/>
      <c r="F17" s="2491"/>
      <c r="G17" s="2491"/>
      <c r="H17" s="2491"/>
      <c r="I17" s="2491"/>
      <c r="J17" s="2491"/>
      <c r="K17" s="2491"/>
      <c r="L17" s="1381"/>
    </row>
    <row r="18" spans="2:12" ht="4.5" customHeight="1" x14ac:dyDescent="0.2">
      <c r="B18" s="1398"/>
      <c r="C18" s="1398"/>
      <c r="L18" s="1381"/>
    </row>
    <row r="19" spans="2:12" s="1282" customFormat="1" ht="13.5" customHeight="1" x14ac:dyDescent="0.2">
      <c r="B19" s="1393" t="s">
        <v>1845</v>
      </c>
      <c r="C19" s="1393"/>
      <c r="D19" s="1394"/>
      <c r="E19" s="1394"/>
      <c r="F19" s="1394"/>
      <c r="G19" s="1395"/>
      <c r="H19" s="1394"/>
      <c r="I19" s="1395"/>
      <c r="J19" s="1394"/>
      <c r="K19" s="1394"/>
      <c r="L19" s="1396"/>
    </row>
    <row r="20" spans="2:12" ht="45.75" customHeight="1" x14ac:dyDescent="0.2">
      <c r="B20" s="2495"/>
      <c r="C20" s="2495"/>
      <c r="D20" s="2491"/>
      <c r="E20" s="2491"/>
      <c r="F20" s="2491"/>
      <c r="G20" s="2491"/>
      <c r="H20" s="2491"/>
      <c r="I20" s="2491"/>
      <c r="J20" s="2491"/>
      <c r="K20" s="2491"/>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1"/>
      <c r="C23" s="2491"/>
      <c r="D23" s="2491"/>
      <c r="E23" s="2491"/>
      <c r="F23" s="2491"/>
      <c r="G23" s="2491"/>
      <c r="H23" s="2491"/>
      <c r="I23" s="2491"/>
      <c r="J23" s="2491"/>
      <c r="K23" s="2491"/>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1"/>
      <c r="C26" s="2491"/>
      <c r="D26" s="2491"/>
      <c r="E26" s="2491"/>
      <c r="F26" s="2491"/>
      <c r="G26" s="2491"/>
      <c r="H26" s="2491"/>
      <c r="I26" s="2491"/>
      <c r="J26" s="2491"/>
      <c r="K26" s="2491"/>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0"/>
      <c r="C29" s="2490"/>
      <c r="D29" s="2491"/>
      <c r="E29" s="2491"/>
      <c r="F29" s="2491"/>
      <c r="G29" s="2491"/>
      <c r="H29" s="2491"/>
      <c r="I29" s="2491"/>
      <c r="J29" s="2491"/>
      <c r="K29" s="2491"/>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1846</v>
      </c>
      <c r="C31" s="1403"/>
      <c r="D31" s="1378"/>
      <c r="E31" s="1379"/>
      <c r="F31" s="1379"/>
      <c r="G31" s="1380"/>
      <c r="H31" s="1379"/>
      <c r="I31" s="1380"/>
      <c r="J31" s="1379"/>
      <c r="K31" s="1379"/>
      <c r="L31" s="1381"/>
    </row>
    <row r="32" spans="2:12" s="322" customFormat="1" ht="44.25" customHeight="1" x14ac:dyDescent="0.2">
      <c r="B32" s="2490"/>
      <c r="C32" s="2490"/>
      <c r="D32" s="2491"/>
      <c r="E32" s="2491"/>
      <c r="F32" s="2491"/>
      <c r="G32" s="2491"/>
      <c r="H32" s="2491"/>
      <c r="I32" s="2491"/>
      <c r="J32" s="2491"/>
      <c r="K32" s="2491"/>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1847</v>
      </c>
      <c r="C35" s="1419"/>
      <c r="D35" s="322"/>
      <c r="E35" s="322"/>
      <c r="F35" s="322"/>
      <c r="L35" s="1381"/>
    </row>
    <row r="36" spans="1:13" ht="9.6" customHeight="1" x14ac:dyDescent="0.2">
      <c r="B36" s="1300" t="s">
        <v>1952</v>
      </c>
      <c r="C36" s="1300"/>
      <c r="L36" s="1381"/>
    </row>
    <row r="37" spans="1:13" ht="9.6" customHeight="1" x14ac:dyDescent="0.2">
      <c r="B37" s="1300" t="s">
        <v>1953</v>
      </c>
      <c r="C37" s="1300"/>
    </row>
    <row r="38" spans="1:13" ht="11.85" customHeight="1" x14ac:dyDescent="0.2">
      <c r="B38" s="1420" t="s">
        <v>1848</v>
      </c>
      <c r="C38" s="1420"/>
    </row>
    <row r="39" spans="1:13" ht="9.6" customHeight="1" x14ac:dyDescent="0.2">
      <c r="B39" s="1300" t="s">
        <v>1348</v>
      </c>
      <c r="C39" s="1300"/>
      <c r="M39" s="1421"/>
    </row>
    <row r="40" spans="1:13" ht="12.6" customHeight="1" x14ac:dyDescent="0.2">
      <c r="B40" s="1420" t="s">
        <v>1849</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D9" sqref="D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Perandoe SpEd District</v>
      </c>
      <c r="C1" s="2496"/>
      <c r="D1" s="2496"/>
      <c r="E1" s="2496"/>
      <c r="F1" s="2496"/>
      <c r="G1" s="2496"/>
      <c r="H1" s="2496"/>
      <c r="I1" s="2496"/>
      <c r="J1" s="2496"/>
      <c r="K1" s="2496"/>
      <c r="L1" s="1465"/>
    </row>
    <row r="2" spans="1:12" ht="12.75" customHeight="1" x14ac:dyDescent="0.2">
      <c r="B2" s="2497">
        <f>'Single Audit Cover'!E7</f>
        <v>45079132061</v>
      </c>
      <c r="C2" s="2497"/>
      <c r="D2" s="2497"/>
      <c r="E2" s="2497"/>
      <c r="F2" s="2497"/>
      <c r="G2" s="2497"/>
      <c r="H2" s="2497"/>
      <c r="I2" s="2497"/>
      <c r="J2" s="2497"/>
      <c r="K2" s="2497"/>
      <c r="L2" s="1466"/>
    </row>
    <row r="3" spans="1:12" ht="12.75" customHeight="1" x14ac:dyDescent="0.2">
      <c r="B3" s="2492" t="s">
        <v>1347</v>
      </c>
      <c r="C3" s="2492"/>
      <c r="D3" s="2492"/>
      <c r="E3" s="2492"/>
      <c r="F3" s="2492"/>
      <c r="G3" s="2492"/>
      <c r="H3" s="2492"/>
      <c r="I3" s="2492"/>
      <c r="J3" s="2492"/>
      <c r="K3" s="2492"/>
      <c r="L3" s="1377"/>
    </row>
    <row r="4" spans="1:12" ht="12.75" customHeight="1" x14ac:dyDescent="0.2">
      <c r="B4" s="2492" t="str">
        <f>'Single Audit Cover'!A4</f>
        <v>Year Ending June 30, 2018</v>
      </c>
      <c r="C4" s="2492"/>
      <c r="D4" s="2492"/>
      <c r="E4" s="2492"/>
      <c r="F4" s="2492"/>
      <c r="G4" s="2492"/>
      <c r="H4" s="2492"/>
      <c r="I4" s="2492"/>
      <c r="J4" s="2492"/>
      <c r="K4" s="2492"/>
      <c r="L4" s="1377"/>
    </row>
    <row r="5" spans="1:12" ht="5.25" customHeight="1" x14ac:dyDescent="0.2">
      <c r="B5" s="1260" t="s">
        <v>1231</v>
      </c>
      <c r="C5" s="1260"/>
      <c r="L5" s="322"/>
    </row>
    <row r="6" spans="1:12" ht="30.75" customHeight="1" x14ac:dyDescent="0.2">
      <c r="A6" s="322"/>
      <c r="B6" s="2498" t="s">
        <v>1375</v>
      </c>
      <c r="C6" s="2498"/>
      <c r="D6" s="2498"/>
      <c r="E6" s="2498"/>
      <c r="F6" s="2498"/>
      <c r="G6" s="2498"/>
      <c r="H6" s="2498"/>
      <c r="I6" s="2498"/>
      <c r="J6" s="2498"/>
      <c r="K6" s="2498"/>
      <c r="L6" s="322"/>
    </row>
    <row r="7" spans="1:12" ht="4.5" customHeight="1" x14ac:dyDescent="0.2">
      <c r="B7" s="1379"/>
      <c r="C7" s="1379"/>
      <c r="D7" s="1379"/>
      <c r="E7" s="1379"/>
      <c r="F7" s="1379"/>
      <c r="G7" s="1380"/>
      <c r="H7" s="1379"/>
      <c r="I7" s="1380"/>
      <c r="J7" s="1379"/>
      <c r="K7" s="1379"/>
      <c r="L7" s="322"/>
    </row>
    <row r="8" spans="1:12" ht="13.5" customHeight="1" x14ac:dyDescent="0.2">
      <c r="B8" s="1387" t="s">
        <v>1858</v>
      </c>
      <c r="C8" s="1467" t="s">
        <v>1951</v>
      </c>
      <c r="D8" s="1468" t="s">
        <v>2140</v>
      </c>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6"/>
      <c r="G12" s="2476"/>
      <c r="H12" s="2476"/>
      <c r="I12" s="2476"/>
      <c r="J12" s="2476"/>
      <c r="K12" s="247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1"/>
      <c r="C20" s="2491"/>
      <c r="D20" s="2491"/>
      <c r="E20" s="2491"/>
      <c r="F20" s="2491"/>
      <c r="G20" s="2491"/>
      <c r="H20" s="2491"/>
      <c r="I20" s="2491"/>
      <c r="J20" s="2491"/>
      <c r="K20" s="2491"/>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1859</v>
      </c>
      <c r="C22" s="1477"/>
      <c r="D22" s="322"/>
      <c r="E22" s="322"/>
      <c r="F22" s="322"/>
      <c r="G22" s="1383"/>
      <c r="H22" s="322"/>
      <c r="I22" s="1383"/>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1860</v>
      </c>
      <c r="C25" s="1477"/>
      <c r="D25" s="322"/>
      <c r="E25" s="322"/>
      <c r="F25" s="322"/>
      <c r="G25" s="1383"/>
      <c r="H25" s="322"/>
      <c r="I25" s="1383"/>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1861</v>
      </c>
      <c r="C28" s="1477"/>
      <c r="D28" s="322"/>
      <c r="E28" s="322"/>
      <c r="F28" s="322"/>
      <c r="G28" s="1383"/>
      <c r="H28" s="322"/>
      <c r="I28" s="1383"/>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1862</v>
      </c>
      <c r="C40" s="1403"/>
      <c r="D40" s="1378"/>
      <c r="E40" s="1379"/>
      <c r="F40" s="1379"/>
      <c r="G40" s="1380"/>
      <c r="H40" s="1379"/>
      <c r="I40" s="1380"/>
      <c r="J40" s="1379"/>
      <c r="K40" s="1379"/>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1863</v>
      </c>
      <c r="C48" s="1419"/>
      <c r="D48" s="322"/>
      <c r="E48" s="322"/>
      <c r="F48" s="322"/>
    </row>
    <row r="49" spans="2:3" s="317" customFormat="1" ht="10.5" customHeight="1" x14ac:dyDescent="0.2">
      <c r="B49" s="1420" t="s">
        <v>1864</v>
      </c>
      <c r="C49" s="1420"/>
    </row>
    <row r="50" spans="2:3" s="317" customFormat="1" ht="11.1" customHeight="1" x14ac:dyDescent="0.2">
      <c r="B50" s="1420" t="s">
        <v>1865</v>
      </c>
      <c r="C50" s="1420"/>
    </row>
    <row r="51" spans="2:3" s="317" customFormat="1" ht="11.1" customHeight="1" x14ac:dyDescent="0.2">
      <c r="B51" s="1420" t="s">
        <v>1866</v>
      </c>
      <c r="C51" s="1420"/>
    </row>
    <row r="52" spans="2:3" s="317" customFormat="1" ht="11.1" customHeight="1" x14ac:dyDescent="0.2">
      <c r="B52" s="1420" t="s">
        <v>1867</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12" sqref="B12"/>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9" t="str">
        <f>'Single Audit Cover'!A7</f>
        <v>Perandoe SpEd District</v>
      </c>
      <c r="C1" s="2469"/>
      <c r="D1" s="2469"/>
      <c r="E1" s="1491"/>
    </row>
    <row r="2" spans="2:5" s="1282" customFormat="1" ht="12.75" customHeight="1" x14ac:dyDescent="0.2">
      <c r="B2" s="2471">
        <f>'Single Audit Cover'!E7</f>
        <v>45079132061</v>
      </c>
      <c r="C2" s="2471"/>
      <c r="D2" s="2471"/>
      <c r="E2" s="1492"/>
    </row>
    <row r="3" spans="2:5" ht="12.75" customHeight="1" x14ac:dyDescent="0.2">
      <c r="B3" s="2492" t="s">
        <v>1868</v>
      </c>
      <c r="C3" s="2492"/>
      <c r="D3" s="2492"/>
      <c r="E3" s="1274"/>
    </row>
    <row r="4" spans="2:5" s="1282" customFormat="1" ht="12.75" customHeight="1" x14ac:dyDescent="0.2">
      <c r="B4" s="2502" t="str">
        <f>'Single Audit Cover'!A4</f>
        <v>Year Ending June 30, 2018</v>
      </c>
      <c r="C4" s="2502"/>
      <c r="D4" s="2502"/>
      <c r="E4" s="1493"/>
    </row>
    <row r="5" spans="2:5" s="1282" customFormat="1" ht="40.15" customHeight="1" x14ac:dyDescent="0.2">
      <c r="B5" s="1494" t="s">
        <v>1869</v>
      </c>
      <c r="C5" s="328"/>
      <c r="D5" s="328"/>
      <c r="E5" s="328"/>
    </row>
    <row r="6" spans="2:5" s="1282" customFormat="1" ht="13.5" customHeight="1" x14ac:dyDescent="0.2">
      <c r="B6" s="1495" t="s">
        <v>1382</v>
      </c>
      <c r="C6" s="1495" t="s">
        <v>1381</v>
      </c>
      <c r="D6" s="1495" t="s">
        <v>1870</v>
      </c>
    </row>
    <row r="7" spans="2:5" ht="13.5" customHeight="1" x14ac:dyDescent="0.2">
      <c r="B7" s="1496"/>
      <c r="C7" s="324"/>
      <c r="D7" s="324"/>
      <c r="E7" s="324"/>
    </row>
    <row r="8" spans="2:5" ht="13.5" customHeight="1" x14ac:dyDescent="0.2">
      <c r="B8" s="1496" t="s">
        <v>2141</v>
      </c>
      <c r="C8" s="324" t="s">
        <v>2142</v>
      </c>
      <c r="D8" s="324" t="s">
        <v>2145</v>
      </c>
      <c r="E8" s="324"/>
    </row>
    <row r="9" spans="2:5" ht="13.5" customHeight="1" x14ac:dyDescent="0.2">
      <c r="B9" s="1497"/>
      <c r="C9" s="323" t="s">
        <v>2143</v>
      </c>
      <c r="D9" s="323"/>
      <c r="E9" s="323"/>
    </row>
    <row r="10" spans="2:5" ht="13.5" customHeight="1" x14ac:dyDescent="0.2">
      <c r="B10" s="1496"/>
      <c r="C10" s="323" t="s">
        <v>2144</v>
      </c>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1871</v>
      </c>
    </row>
    <row r="46" spans="2:5" ht="12.2" customHeight="1" x14ac:dyDescent="0.2">
      <c r="B46" s="1505" t="s">
        <v>1872</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6366146</v>
      </c>
      <c r="E16" s="356"/>
      <c r="F16" s="1755">
        <f>SUM('Acct Summary 7-8'!C17,'Acct Summary 7-8'!D17,'Acct Summary 7-8'!F17)</f>
        <v>5692473</v>
      </c>
      <c r="G16" s="356"/>
      <c r="H16" s="1755">
        <f>SUM(D16-F16)</f>
        <v>673673</v>
      </c>
      <c r="I16" s="222"/>
      <c r="J16" s="1755">
        <f>SUM('Acct Summary 7-8'!C81,'Acct Summary 7-8'!D81,'Acct Summary 7-8'!F81,'Acct Summary 7-8'!I81)</f>
        <v>2492211</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8" sqref="A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Perandoe SpEd District</v>
      </c>
      <c r="E7" s="391"/>
      <c r="G7" s="252"/>
      <c r="H7" s="387"/>
      <c r="I7" s="387"/>
      <c r="J7" s="387"/>
      <c r="K7" s="387"/>
      <c r="L7" s="329"/>
      <c r="M7" s="329"/>
      <c r="N7" s="329"/>
      <c r="O7" s="329"/>
      <c r="P7" s="329"/>
    </row>
    <row r="8" spans="1:18" ht="12.75" x14ac:dyDescent="0.2">
      <c r="A8" s="329"/>
      <c r="B8" s="329"/>
      <c r="C8" s="389" t="s">
        <v>1187</v>
      </c>
      <c r="D8" s="392">
        <f>COVER!A13</f>
        <v>45079132061</v>
      </c>
      <c r="E8" s="393"/>
      <c r="G8" s="329"/>
      <c r="H8" s="329"/>
      <c r="I8" s="329"/>
      <c r="J8" s="329"/>
      <c r="K8" s="329"/>
      <c r="L8" s="329"/>
      <c r="M8" s="329"/>
      <c r="N8" s="329"/>
      <c r="O8" s="329"/>
      <c r="P8" s="329"/>
    </row>
    <row r="9" spans="1:18" ht="12.75" x14ac:dyDescent="0.2">
      <c r="A9" s="329"/>
      <c r="B9" s="329"/>
      <c r="C9" s="389" t="s">
        <v>737</v>
      </c>
      <c r="D9" s="394" t="str">
        <f>COVER!A15</f>
        <v>Randolph</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2492211</v>
      </c>
      <c r="I12" s="404"/>
      <c r="J12" s="404"/>
      <c r="K12" s="405">
        <f>TRUNC((H12/H13*100000),5)/100000</f>
        <v>0.39147876910000001</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6366146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5692473</v>
      </c>
      <c r="I17" s="404"/>
      <c r="J17" s="416"/>
      <c r="K17" s="405">
        <f>TRUNC((H17/H18*100000),5)/100000</f>
        <v>0.89417883279999999</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6366146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2492211</v>
      </c>
      <c r="I24" s="422"/>
      <c r="J24" s="422"/>
      <c r="K24" s="423">
        <f>TRUNC(((H24/H25*100000)/100000),2)</f>
        <v>157.61000000000001</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15812.424999999999</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2069</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4" activePane="bottomLeft" state="frozen"/>
      <selection activeCell="A8" sqref="A8"/>
      <selection pane="bottomLeft" activeCell="C4" sqref="C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v>2492211</v>
      </c>
      <c r="D4" s="466"/>
      <c r="E4" s="466"/>
      <c r="F4" s="466"/>
      <c r="G4" s="466"/>
      <c r="H4" s="466"/>
      <c r="I4" s="466"/>
      <c r="J4" s="467"/>
      <c r="K4" s="466"/>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2492211</v>
      </c>
      <c r="D13" s="1759">
        <f t="shared" ref="D13:L13" si="0">SUM(D4:D12)</f>
        <v>0</v>
      </c>
      <c r="E13" s="1759">
        <f t="shared" si="0"/>
        <v>0</v>
      </c>
      <c r="F13" s="1759">
        <f t="shared" si="0"/>
        <v>0</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51015</v>
      </c>
      <c r="N16" s="484"/>
    </row>
    <row r="17" spans="1:14" s="485" customFormat="1" ht="12.75" customHeight="1" x14ac:dyDescent="0.2">
      <c r="A17" s="482" t="s">
        <v>1470</v>
      </c>
      <c r="B17" s="483">
        <v>230</v>
      </c>
      <c r="C17" s="477"/>
      <c r="D17" s="477"/>
      <c r="E17" s="477"/>
      <c r="F17" s="477"/>
      <c r="G17" s="477"/>
      <c r="H17" s="477"/>
      <c r="I17" s="477"/>
      <c r="J17" s="477"/>
      <c r="K17" s="477"/>
      <c r="L17" s="477"/>
      <c r="M17" s="467">
        <v>742128</v>
      </c>
      <c r="N17" s="484"/>
    </row>
    <row r="18" spans="1:14" s="485" customFormat="1" ht="12.75" customHeight="1" x14ac:dyDescent="0.2">
      <c r="A18" s="482" t="s">
        <v>1471</v>
      </c>
      <c r="B18" s="483">
        <v>240</v>
      </c>
      <c r="C18" s="477"/>
      <c r="D18" s="477"/>
      <c r="E18" s="477"/>
      <c r="F18" s="477"/>
      <c r="G18" s="477"/>
      <c r="H18" s="477"/>
      <c r="I18" s="477"/>
      <c r="J18" s="477"/>
      <c r="K18" s="477"/>
      <c r="L18" s="477"/>
      <c r="M18" s="467">
        <v>41198</v>
      </c>
      <c r="N18" s="484"/>
    </row>
    <row r="19" spans="1:14" s="485" customFormat="1" ht="12.75" customHeight="1" x14ac:dyDescent="0.2">
      <c r="A19" s="482" t="s">
        <v>1472</v>
      </c>
      <c r="B19" s="483">
        <v>250</v>
      </c>
      <c r="C19" s="477"/>
      <c r="D19" s="477"/>
      <c r="E19" s="477"/>
      <c r="F19" s="477"/>
      <c r="G19" s="477"/>
      <c r="H19" s="477"/>
      <c r="I19" s="477"/>
      <c r="J19" s="477"/>
      <c r="K19" s="477"/>
      <c r="L19" s="477"/>
      <c r="M19" s="467">
        <v>602100</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1436441</v>
      </c>
      <c r="N23" s="1710">
        <f>SUM(N21:N22)</f>
        <v>0</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2492211</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1436441</v>
      </c>
      <c r="N40" s="497"/>
    </row>
    <row r="41" spans="1:14" ht="13.5" customHeight="1" thickBot="1" x14ac:dyDescent="0.25">
      <c r="A41" s="1758" t="s">
        <v>676</v>
      </c>
      <c r="B41" s="1728"/>
      <c r="C41" s="1710">
        <f>(SUM(C34,C37,C38,C39))</f>
        <v>2492211</v>
      </c>
      <c r="D41" s="1710">
        <f t="shared" ref="D41:L41" si="2">SUM(D34,D37,D38:D39)</f>
        <v>0</v>
      </c>
      <c r="E41" s="1710">
        <f t="shared" si="2"/>
        <v>0</v>
      </c>
      <c r="F41" s="1710">
        <f t="shared" si="2"/>
        <v>0</v>
      </c>
      <c r="G41" s="1710">
        <f t="shared" si="2"/>
        <v>0</v>
      </c>
      <c r="H41" s="1710">
        <f t="shared" si="2"/>
        <v>0</v>
      </c>
      <c r="I41" s="1710">
        <f t="shared" si="2"/>
        <v>0</v>
      </c>
      <c r="J41" s="1710">
        <f t="shared" si="2"/>
        <v>0</v>
      </c>
      <c r="K41" s="1710">
        <f t="shared" si="2"/>
        <v>0</v>
      </c>
      <c r="L41" s="1710">
        <f t="shared" si="2"/>
        <v>0</v>
      </c>
      <c r="M41" s="1710">
        <f>SUM(M40)</f>
        <v>1436441</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&amp;L&amp;8See notes.
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9" activePane="bottomLeft" state="frozenSplit"/>
      <selection activeCell="A8" sqref="A8"/>
      <selection pane="bottomLeft" activeCell="C9" sqref="C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5"/>
      <c r="D3" s="1596"/>
      <c r="E3" s="1596"/>
      <c r="F3" s="1596"/>
      <c r="G3" s="1596"/>
      <c r="H3" s="1596"/>
      <c r="I3" s="1596"/>
      <c r="J3" s="1596"/>
      <c r="K3" s="1597"/>
      <c r="L3" s="506"/>
    </row>
    <row r="4" spans="1:13" ht="15.75" customHeight="1" x14ac:dyDescent="0.2">
      <c r="A4" s="1954" t="s">
        <v>1579</v>
      </c>
      <c r="B4" s="1955">
        <v>1000</v>
      </c>
      <c r="C4" s="1764">
        <f>'Revenues 9-14'!C109</f>
        <v>3207819</v>
      </c>
      <c r="D4" s="1764">
        <f>'Revenues 9-14'!D109</f>
        <v>0</v>
      </c>
      <c r="E4" s="1764">
        <f>'Revenues 9-14'!E109</f>
        <v>0</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611904</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2546423</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6366146</v>
      </c>
      <c r="D8" s="1710">
        <f t="shared" ref="D8:K8" si="0">SUM(D4:D7)</f>
        <v>0</v>
      </c>
      <c r="E8" s="1710">
        <f t="shared" si="0"/>
        <v>0</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1828134</v>
      </c>
      <c r="D9" s="516"/>
      <c r="E9" s="481"/>
      <c r="F9" s="481"/>
      <c r="G9" s="517"/>
      <c r="H9" s="481"/>
      <c r="I9" s="509" t="s">
        <v>1231</v>
      </c>
      <c r="J9" s="478"/>
      <c r="K9" s="481"/>
      <c r="L9" s="347"/>
    </row>
    <row r="10" spans="1:13" s="519" customFormat="1" ht="13.5" thickBot="1" x14ac:dyDescent="0.25">
      <c r="A10" s="1758" t="s">
        <v>1235</v>
      </c>
      <c r="B10" s="1731"/>
      <c r="C10" s="1710">
        <f>SUM(C8:C9)</f>
        <v>8194280</v>
      </c>
      <c r="D10" s="1710">
        <f t="shared" ref="D10:K10" si="1">SUM(D8:D9)</f>
        <v>0</v>
      </c>
      <c r="E10" s="1710">
        <f t="shared" si="1"/>
        <v>0</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4">
        <f>'Expenditures 15-22'!K33</f>
        <v>1687088</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2787365</v>
      </c>
      <c r="D13" s="1765">
        <f>'Expenditures 15-22'!K129</f>
        <v>0</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1218020</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5692473</v>
      </c>
      <c r="D17" s="1710">
        <f t="shared" si="2"/>
        <v>0</v>
      </c>
      <c r="E17" s="1710">
        <f t="shared" si="2"/>
        <v>0</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1828134</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7520607</v>
      </c>
      <c r="D19" s="1710">
        <f t="shared" si="4"/>
        <v>0</v>
      </c>
      <c r="E19" s="1710">
        <f t="shared" si="4"/>
        <v>0</v>
      </c>
      <c r="F19" s="1710">
        <f t="shared" si="4"/>
        <v>0</v>
      </c>
      <c r="G19" s="1710">
        <f t="shared" si="4"/>
        <v>0</v>
      </c>
      <c r="H19" s="1710">
        <f t="shared" si="4"/>
        <v>0</v>
      </c>
      <c r="I19" s="468"/>
      <c r="J19" s="1710">
        <f>SUM(J17:J18)</f>
        <v>0</v>
      </c>
      <c r="K19" s="1710">
        <f>SUM(K17:K18)</f>
        <v>0</v>
      </c>
      <c r="L19" s="347"/>
    </row>
    <row r="20" spans="1:12" ht="16.5" thickTop="1" thickBot="1" x14ac:dyDescent="0.25">
      <c r="A20" s="2142" t="s">
        <v>1754</v>
      </c>
      <c r="B20" s="2143"/>
      <c r="C20" s="1768">
        <f>C8-C17</f>
        <v>673673</v>
      </c>
      <c r="D20" s="1768">
        <f t="shared" ref="D20:K20" si="5">D8-D17</f>
        <v>0</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4" t="s">
        <v>616</v>
      </c>
      <c r="B21" s="2155"/>
      <c r="C21" s="1592"/>
      <c r="D21" s="1593"/>
      <c r="E21" s="1593"/>
      <c r="F21" s="1593"/>
      <c r="G21" s="1593"/>
      <c r="H21" s="1593"/>
      <c r="I21" s="1593"/>
      <c r="J21" s="1593"/>
      <c r="K21" s="1594"/>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1896</v>
      </c>
      <c r="B30" s="527">
        <v>7160</v>
      </c>
      <c r="C30" s="477"/>
      <c r="D30" s="467"/>
      <c r="E30" s="477"/>
      <c r="F30" s="477"/>
      <c r="G30" s="477"/>
      <c r="H30" s="477"/>
      <c r="I30" s="477"/>
      <c r="J30" s="477"/>
      <c r="K30" s="477"/>
      <c r="L30" s="524"/>
    </row>
    <row r="31" spans="1:12" s="485" customFormat="1" ht="26.25" x14ac:dyDescent="0.2">
      <c r="A31" s="1511" t="s">
        <v>1900</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1899</v>
      </c>
      <c r="B52" s="483">
        <v>8160</v>
      </c>
      <c r="C52" s="477"/>
      <c r="D52" s="477"/>
      <c r="E52" s="477"/>
      <c r="F52" s="477"/>
      <c r="G52" s="477"/>
      <c r="H52" s="477"/>
      <c r="I52" s="477"/>
      <c r="J52" s="477"/>
      <c r="K52" s="1765">
        <f>D30</f>
        <v>0</v>
      </c>
      <c r="L52" s="524"/>
    </row>
    <row r="53" spans="1:12" s="485" customFormat="1" ht="26.25" x14ac:dyDescent="0.2">
      <c r="A53" s="1512" t="s">
        <v>1898</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2" t="s">
        <v>460</v>
      </c>
      <c r="B76" s="2133"/>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4" t="s">
        <v>1239</v>
      </c>
      <c r="B77" s="2135"/>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8" t="s">
        <v>618</v>
      </c>
      <c r="B78" s="2139"/>
      <c r="C78" s="1724">
        <f t="shared" ref="C78:K78" si="9">C20+C77</f>
        <v>673673</v>
      </c>
      <c r="D78" s="1724">
        <f t="shared" si="9"/>
        <v>0</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2070</v>
      </c>
      <c r="B79" s="534"/>
      <c r="C79" s="478">
        <v>1818538</v>
      </c>
      <c r="D79" s="535"/>
      <c r="E79" s="535"/>
      <c r="F79" s="535"/>
      <c r="G79" s="535"/>
      <c r="H79" s="535"/>
      <c r="I79" s="535"/>
      <c r="J79" s="535"/>
      <c r="K79" s="535"/>
      <c r="L79" s="347"/>
    </row>
    <row r="80" spans="1:12" x14ac:dyDescent="0.2">
      <c r="A80" s="2144" t="s">
        <v>1897</v>
      </c>
      <c r="B80" s="2145"/>
      <c r="C80" s="467"/>
      <c r="D80" s="467"/>
      <c r="E80" s="467"/>
      <c r="F80" s="467"/>
      <c r="G80" s="467"/>
      <c r="H80" s="467"/>
      <c r="I80" s="467"/>
      <c r="J80" s="467"/>
      <c r="K80" s="467"/>
      <c r="L80" s="347"/>
    </row>
    <row r="81" spans="1:12" ht="13.5" thickBot="1" x14ac:dyDescent="0.25">
      <c r="A81" s="2136" t="s">
        <v>2071</v>
      </c>
      <c r="B81" s="2137"/>
      <c r="C81" s="1710">
        <f>(SUM(C78:C80))</f>
        <v>2492211</v>
      </c>
      <c r="D81" s="1710">
        <f>SUM(D78:D80)</f>
        <v>0</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673673</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0.27031138214220224</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2"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&amp;L&amp;8See notes.
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8" sqref="A8"/>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1904</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1555286</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1555286</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2146</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2146</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25</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4715</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4740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320742</v>
      </c>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v>1311115</v>
      </c>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13000</v>
      </c>
      <c r="D106" s="489"/>
      <c r="E106" s="467"/>
      <c r="F106" s="467"/>
      <c r="G106" s="467"/>
      <c r="H106" s="467"/>
      <c r="I106" s="521"/>
      <c r="J106" s="467"/>
      <c r="K106" s="467"/>
    </row>
    <row r="107" spans="1:12" ht="12.75" customHeight="1" x14ac:dyDescent="0.2">
      <c r="A107" s="463" t="s">
        <v>80</v>
      </c>
      <c r="B107" s="470">
        <v>1999</v>
      </c>
      <c r="C107" s="551">
        <v>790</v>
      </c>
      <c r="D107" s="466"/>
      <c r="E107" s="466"/>
      <c r="F107" s="466"/>
      <c r="G107" s="466"/>
      <c r="H107" s="466"/>
      <c r="I107" s="466"/>
      <c r="J107" s="467"/>
      <c r="K107" s="466"/>
    </row>
    <row r="108" spans="1:12" ht="12.75" customHeight="1" thickBot="1" x14ac:dyDescent="0.25">
      <c r="A108" s="1730" t="s">
        <v>508</v>
      </c>
      <c r="B108" s="1734"/>
      <c r="C108" s="1729">
        <f>SUM(C95:C107)</f>
        <v>1645647</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3207819</v>
      </c>
      <c r="D109" s="1737">
        <f t="shared" si="4"/>
        <v>0</v>
      </c>
      <c r="E109" s="1737">
        <f t="shared" si="4"/>
        <v>0</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407442</v>
      </c>
      <c r="D117" s="481"/>
      <c r="E117" s="466"/>
      <c r="F117" s="481"/>
      <c r="G117" s="481"/>
      <c r="H117" s="466"/>
      <c r="I117" s="468"/>
      <c r="J117" s="467"/>
      <c r="K117" s="466"/>
    </row>
    <row r="118" spans="1:11" ht="12.75" customHeight="1" x14ac:dyDescent="0.2">
      <c r="A118" s="463" t="s">
        <v>1901</v>
      </c>
      <c r="B118" s="562">
        <v>3002</v>
      </c>
      <c r="C118" s="551"/>
      <c r="D118" s="466"/>
      <c r="E118" s="466"/>
      <c r="F118" s="466"/>
      <c r="G118" s="466"/>
      <c r="H118" s="466"/>
      <c r="I118" s="468"/>
      <c r="J118" s="467"/>
      <c r="K118" s="466"/>
    </row>
    <row r="119" spans="1:11" ht="12.75" customHeight="1" x14ac:dyDescent="0.2">
      <c r="A119" s="463" t="s">
        <v>1902</v>
      </c>
      <c r="B119" s="562">
        <v>3005</v>
      </c>
      <c r="C119" s="551"/>
      <c r="D119" s="466"/>
      <c r="E119" s="466"/>
      <c r="F119" s="466"/>
      <c r="G119" s="466"/>
      <c r="H119" s="466"/>
      <c r="I119" s="468"/>
      <c r="J119" s="467"/>
      <c r="K119" s="466"/>
    </row>
    <row r="120" spans="1:11" x14ac:dyDescent="0.2">
      <c r="A120" s="1518" t="s">
        <v>1903</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407442</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v>203720</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203720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742</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0" t="s">
        <v>418</v>
      </c>
      <c r="B172" s="2161"/>
      <c r="C172" s="1744">
        <f t="shared" ref="C172:K172" si="6">SUM(C131,C140,C144,C145:C149,C154,C155:C170,C171)</f>
        <v>204462</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611904</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8" t="s">
        <v>818</v>
      </c>
      <c r="B184" s="2169"/>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4" t="s">
        <v>1905</v>
      </c>
      <c r="B185" s="2165"/>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26249</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15259</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41508</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53633</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1966484</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2020117</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51380</v>
      </c>
      <c r="D270" s="576"/>
      <c r="E270" s="468"/>
      <c r="F270" s="576"/>
      <c r="G270" s="576"/>
      <c r="H270" s="468"/>
      <c r="I270" s="468"/>
      <c r="J270" s="468"/>
      <c r="K270" s="468"/>
    </row>
    <row r="271" spans="1:11" ht="12.75" customHeight="1" thickTop="1" thickBot="1" x14ac:dyDescent="0.25">
      <c r="A271" s="463" t="s">
        <v>395</v>
      </c>
      <c r="B271" s="470">
        <v>4992</v>
      </c>
      <c r="C271" s="575">
        <v>407616</v>
      </c>
      <c r="D271" s="576"/>
      <c r="E271" s="468"/>
      <c r="F271" s="576"/>
      <c r="G271" s="576"/>
      <c r="H271" s="468"/>
      <c r="I271" s="468"/>
      <c r="J271" s="468"/>
      <c r="K271" s="468"/>
    </row>
    <row r="272" spans="1:11" s="594" customFormat="1" ht="12.75" customHeight="1" thickTop="1" thickBot="1" x14ac:dyDescent="0.25">
      <c r="A272" s="563" t="s">
        <v>77</v>
      </c>
      <c r="B272" s="557">
        <v>4999</v>
      </c>
      <c r="C272" s="575">
        <v>25802</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2546423</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2546423</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6366146</v>
      </c>
      <c r="D275" s="1737">
        <f t="shared" si="12"/>
        <v>0</v>
      </c>
      <c r="E275" s="1737">
        <f t="shared" si="12"/>
        <v>0</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&amp;L&amp;8See notes.
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activeCell="A8" sqref="A8"/>
      <selection pane="bottomLeft" activeCell="C5" sqref="C5"/>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1904</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1214659</v>
      </c>
      <c r="D8" s="466">
        <v>426280</v>
      </c>
      <c r="E8" s="466">
        <v>25186</v>
      </c>
      <c r="F8" s="466">
        <v>20963</v>
      </c>
      <c r="G8" s="466"/>
      <c r="H8" s="466"/>
      <c r="I8" s="467"/>
      <c r="J8" s="467"/>
      <c r="K8" s="1693">
        <f t="shared" si="0"/>
        <v>1687088</v>
      </c>
      <c r="L8" s="466">
        <v>1708615</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1214659</v>
      </c>
      <c r="D33" s="1692">
        <f t="shared" ref="D33:L33" si="1">SUM(D5:D32)</f>
        <v>426280</v>
      </c>
      <c r="E33" s="1692">
        <f t="shared" si="1"/>
        <v>25186</v>
      </c>
      <c r="F33" s="1692">
        <f t="shared" si="1"/>
        <v>20963</v>
      </c>
      <c r="G33" s="1692">
        <f t="shared" si="1"/>
        <v>0</v>
      </c>
      <c r="H33" s="1692">
        <f t="shared" si="1"/>
        <v>0</v>
      </c>
      <c r="I33" s="1692">
        <f t="shared" si="1"/>
        <v>0</v>
      </c>
      <c r="J33" s="1692">
        <f t="shared" si="1"/>
        <v>0</v>
      </c>
      <c r="K33" s="1692">
        <f t="shared" si="1"/>
        <v>1687088</v>
      </c>
      <c r="L33" s="1692">
        <f t="shared" si="1"/>
        <v>1708615</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591322</v>
      </c>
      <c r="D36" s="481">
        <v>166202</v>
      </c>
      <c r="E36" s="481">
        <v>5264</v>
      </c>
      <c r="F36" s="481">
        <v>3438</v>
      </c>
      <c r="G36" s="481"/>
      <c r="H36" s="481"/>
      <c r="I36" s="467"/>
      <c r="J36" s="467"/>
      <c r="K36" s="1693">
        <f t="shared" ref="K36:K41" si="2">SUM(C36:J36)</f>
        <v>766226</v>
      </c>
      <c r="L36" s="466">
        <v>782296</v>
      </c>
    </row>
    <row r="37" spans="1:14" x14ac:dyDescent="0.2">
      <c r="A37" s="1526" t="s">
        <v>1151</v>
      </c>
      <c r="B37" s="615">
        <v>2120</v>
      </c>
      <c r="C37" s="466"/>
      <c r="D37" s="466"/>
      <c r="E37" s="466"/>
      <c r="F37" s="466"/>
      <c r="G37" s="466"/>
      <c r="H37" s="466"/>
      <c r="I37" s="467"/>
      <c r="J37" s="467"/>
      <c r="K37" s="1693">
        <f t="shared" si="2"/>
        <v>0</v>
      </c>
      <c r="L37" s="466"/>
    </row>
    <row r="38" spans="1:14" x14ac:dyDescent="0.2">
      <c r="A38" s="1526" t="s">
        <v>207</v>
      </c>
      <c r="B38" s="615">
        <v>2130</v>
      </c>
      <c r="C38" s="466">
        <v>216000</v>
      </c>
      <c r="D38" s="466">
        <v>64662</v>
      </c>
      <c r="E38" s="466">
        <v>9021</v>
      </c>
      <c r="F38" s="466">
        <v>4380</v>
      </c>
      <c r="G38" s="466"/>
      <c r="H38" s="466"/>
      <c r="I38" s="467"/>
      <c r="J38" s="467"/>
      <c r="K38" s="1693">
        <f t="shared" si="2"/>
        <v>294063</v>
      </c>
      <c r="L38" s="466">
        <v>303449</v>
      </c>
    </row>
    <row r="39" spans="1:14" x14ac:dyDescent="0.2">
      <c r="A39" s="1526" t="s">
        <v>208</v>
      </c>
      <c r="B39" s="615">
        <v>2140</v>
      </c>
      <c r="C39" s="466">
        <v>432161</v>
      </c>
      <c r="D39" s="466">
        <v>126771</v>
      </c>
      <c r="E39" s="466">
        <v>4861</v>
      </c>
      <c r="F39" s="466">
        <v>9867</v>
      </c>
      <c r="G39" s="466"/>
      <c r="H39" s="466"/>
      <c r="I39" s="467"/>
      <c r="J39" s="467"/>
      <c r="K39" s="1693">
        <f t="shared" si="2"/>
        <v>573660</v>
      </c>
      <c r="L39" s="466">
        <v>566006</v>
      </c>
    </row>
    <row r="40" spans="1:14" x14ac:dyDescent="0.2">
      <c r="A40" s="1526" t="s">
        <v>209</v>
      </c>
      <c r="B40" s="615">
        <v>2150</v>
      </c>
      <c r="C40" s="466">
        <v>41806</v>
      </c>
      <c r="D40" s="466">
        <v>13495</v>
      </c>
      <c r="E40" s="466">
        <v>3991</v>
      </c>
      <c r="F40" s="466">
        <v>520</v>
      </c>
      <c r="G40" s="466"/>
      <c r="H40" s="466"/>
      <c r="I40" s="467">
        <v>5040</v>
      </c>
      <c r="J40" s="467"/>
      <c r="K40" s="1693">
        <f t="shared" si="2"/>
        <v>64852</v>
      </c>
      <c r="L40" s="466">
        <v>63270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1281289</v>
      </c>
      <c r="D42" s="1692">
        <f t="shared" ref="D42:L42" si="3">SUM(D36:D41)</f>
        <v>371130</v>
      </c>
      <c r="E42" s="1692">
        <f t="shared" si="3"/>
        <v>23137</v>
      </c>
      <c r="F42" s="1692">
        <f t="shared" si="3"/>
        <v>18205</v>
      </c>
      <c r="G42" s="1692">
        <f t="shared" si="3"/>
        <v>0</v>
      </c>
      <c r="H42" s="1692">
        <f t="shared" si="3"/>
        <v>0</v>
      </c>
      <c r="I42" s="1692">
        <f t="shared" si="3"/>
        <v>5040</v>
      </c>
      <c r="J42" s="1692">
        <f t="shared" si="3"/>
        <v>0</v>
      </c>
      <c r="K42" s="1692">
        <f t="shared" si="3"/>
        <v>1698801</v>
      </c>
      <c r="L42" s="1692">
        <f t="shared" si="3"/>
        <v>1715021</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22617</v>
      </c>
      <c r="D44" s="481">
        <v>10490</v>
      </c>
      <c r="E44" s="481">
        <v>50802</v>
      </c>
      <c r="F44" s="481">
        <v>4184</v>
      </c>
      <c r="G44" s="481"/>
      <c r="H44" s="481"/>
      <c r="I44" s="467"/>
      <c r="J44" s="467"/>
      <c r="K44" s="1694">
        <f>SUM(C44:J44)</f>
        <v>88093</v>
      </c>
      <c r="L44" s="481">
        <v>104687</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22617</v>
      </c>
      <c r="D47" s="1692">
        <f t="shared" ref="D47:K47" si="4">SUM(D44:D46)</f>
        <v>10490</v>
      </c>
      <c r="E47" s="1692">
        <f t="shared" si="4"/>
        <v>50802</v>
      </c>
      <c r="F47" s="1692">
        <f t="shared" si="4"/>
        <v>4184</v>
      </c>
      <c r="G47" s="1692">
        <f t="shared" si="4"/>
        <v>0</v>
      </c>
      <c r="H47" s="1692">
        <f t="shared" si="4"/>
        <v>0</v>
      </c>
      <c r="I47" s="1692">
        <f t="shared" si="4"/>
        <v>0</v>
      </c>
      <c r="J47" s="1692">
        <f t="shared" si="4"/>
        <v>0</v>
      </c>
      <c r="K47" s="1692">
        <f t="shared" si="4"/>
        <v>88093</v>
      </c>
      <c r="L47" s="1692">
        <f>SUM(L44:L46)</f>
        <v>104687</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v>360768</v>
      </c>
      <c r="D50" s="466">
        <v>90323</v>
      </c>
      <c r="E50" s="466">
        <v>138521</v>
      </c>
      <c r="F50" s="466">
        <v>35526</v>
      </c>
      <c r="G50" s="466"/>
      <c r="H50" s="466"/>
      <c r="I50" s="467">
        <v>16843</v>
      </c>
      <c r="J50" s="467"/>
      <c r="K50" s="1694">
        <f>SUM(C50:J50)</f>
        <v>641981</v>
      </c>
      <c r="L50" s="466">
        <v>642104</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360768</v>
      </c>
      <c r="D53" s="1692">
        <f t="shared" ref="D53:L53" si="5">SUM(D49:D52)</f>
        <v>90323</v>
      </c>
      <c r="E53" s="1692">
        <f t="shared" si="5"/>
        <v>138521</v>
      </c>
      <c r="F53" s="1692">
        <f t="shared" si="5"/>
        <v>35526</v>
      </c>
      <c r="G53" s="1692">
        <f t="shared" si="5"/>
        <v>0</v>
      </c>
      <c r="H53" s="1692">
        <f t="shared" si="5"/>
        <v>0</v>
      </c>
      <c r="I53" s="1692">
        <f t="shared" si="5"/>
        <v>16843</v>
      </c>
      <c r="J53" s="1692">
        <f t="shared" si="5"/>
        <v>0</v>
      </c>
      <c r="K53" s="1692">
        <f t="shared" si="5"/>
        <v>641981</v>
      </c>
      <c r="L53" s="1692">
        <f t="shared" si="5"/>
        <v>642104</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c r="F55" s="481"/>
      <c r="G55" s="481"/>
      <c r="H55" s="481"/>
      <c r="I55" s="467"/>
      <c r="J55" s="467"/>
      <c r="K55" s="1694">
        <f>SUM(C55:J55)</f>
        <v>0</v>
      </c>
      <c r="L55" s="481"/>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0</v>
      </c>
      <c r="G57" s="1696">
        <f t="shared" si="6"/>
        <v>0</v>
      </c>
      <c r="H57" s="1696">
        <f t="shared" si="6"/>
        <v>0</v>
      </c>
      <c r="I57" s="1696">
        <f t="shared" si="6"/>
        <v>0</v>
      </c>
      <c r="J57" s="1696">
        <f t="shared" si="6"/>
        <v>0</v>
      </c>
      <c r="K57" s="1696">
        <f t="shared" si="6"/>
        <v>0</v>
      </c>
      <c r="L57" s="1692">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56100</v>
      </c>
      <c r="D60" s="466">
        <v>15561</v>
      </c>
      <c r="E60" s="466"/>
      <c r="F60" s="466"/>
      <c r="G60" s="466"/>
      <c r="H60" s="466"/>
      <c r="I60" s="467"/>
      <c r="J60" s="467"/>
      <c r="K60" s="1694">
        <f t="shared" si="7"/>
        <v>71661</v>
      </c>
      <c r="L60" s="466">
        <v>71663</v>
      </c>
      <c r="M60" s="610"/>
      <c r="N60" s="610"/>
    </row>
    <row r="61" spans="1:14" s="343" customFormat="1" x14ac:dyDescent="0.2">
      <c r="A61" s="1526" t="s">
        <v>206</v>
      </c>
      <c r="B61" s="615">
        <v>2540</v>
      </c>
      <c r="C61" s="466">
        <v>33415</v>
      </c>
      <c r="D61" s="466">
        <v>14285</v>
      </c>
      <c r="E61" s="466">
        <v>20486</v>
      </c>
      <c r="F61" s="466">
        <v>48918</v>
      </c>
      <c r="G61" s="466">
        <v>51182</v>
      </c>
      <c r="H61" s="466"/>
      <c r="I61" s="467"/>
      <c r="J61" s="467"/>
      <c r="K61" s="1694">
        <f t="shared" si="7"/>
        <v>168286</v>
      </c>
      <c r="L61" s="466">
        <v>482617</v>
      </c>
      <c r="M61" s="610"/>
      <c r="N61" s="610"/>
    </row>
    <row r="62" spans="1:14" s="343" customFormat="1" x14ac:dyDescent="0.2">
      <c r="A62" s="1526" t="s">
        <v>1010</v>
      </c>
      <c r="B62" s="615">
        <v>2550</v>
      </c>
      <c r="C62" s="466"/>
      <c r="D62" s="466"/>
      <c r="E62" s="466">
        <v>3410</v>
      </c>
      <c r="F62" s="466">
        <v>714</v>
      </c>
      <c r="G62" s="466"/>
      <c r="H62" s="466"/>
      <c r="I62" s="467"/>
      <c r="J62" s="467"/>
      <c r="K62" s="1694">
        <f t="shared" si="7"/>
        <v>4124</v>
      </c>
      <c r="L62" s="466">
        <v>4500</v>
      </c>
      <c r="M62" s="610"/>
      <c r="N62" s="610"/>
    </row>
    <row r="63" spans="1:14" s="610" customFormat="1" x14ac:dyDescent="0.2">
      <c r="A63" s="1526" t="s">
        <v>102</v>
      </c>
      <c r="B63" s="615">
        <v>2560</v>
      </c>
      <c r="C63" s="466">
        <v>49777</v>
      </c>
      <c r="D63" s="466">
        <v>21909</v>
      </c>
      <c r="E63" s="466">
        <v>495</v>
      </c>
      <c r="F63" s="466">
        <v>29855</v>
      </c>
      <c r="G63" s="466"/>
      <c r="H63" s="466"/>
      <c r="I63" s="467"/>
      <c r="J63" s="467"/>
      <c r="K63" s="1694">
        <f t="shared" si="7"/>
        <v>102036</v>
      </c>
      <c r="L63" s="466">
        <v>56072</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139292</v>
      </c>
      <c r="D65" s="1692">
        <f t="shared" ref="D65:L65" si="8">SUM(D59:D64)</f>
        <v>51755</v>
      </c>
      <c r="E65" s="1692">
        <f t="shared" si="8"/>
        <v>24391</v>
      </c>
      <c r="F65" s="1692">
        <f t="shared" si="8"/>
        <v>79487</v>
      </c>
      <c r="G65" s="1692">
        <f t="shared" si="8"/>
        <v>51182</v>
      </c>
      <c r="H65" s="1692">
        <f t="shared" si="8"/>
        <v>0</v>
      </c>
      <c r="I65" s="1692">
        <f t="shared" si="8"/>
        <v>0</v>
      </c>
      <c r="J65" s="1692">
        <f t="shared" si="8"/>
        <v>0</v>
      </c>
      <c r="K65" s="1692">
        <f t="shared" si="8"/>
        <v>346107</v>
      </c>
      <c r="L65" s="1692">
        <f t="shared" si="8"/>
        <v>614852</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v>12383</v>
      </c>
      <c r="F70" s="466"/>
      <c r="G70" s="466"/>
      <c r="H70" s="466"/>
      <c r="I70" s="467"/>
      <c r="J70" s="467"/>
      <c r="K70" s="1694">
        <f>SUM(C70:J70)</f>
        <v>12383</v>
      </c>
      <c r="L70" s="466">
        <v>12385</v>
      </c>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12383</v>
      </c>
      <c r="F72" s="1692">
        <f t="shared" si="9"/>
        <v>0</v>
      </c>
      <c r="G72" s="1692">
        <f t="shared" si="9"/>
        <v>0</v>
      </c>
      <c r="H72" s="1692">
        <f t="shared" si="9"/>
        <v>0</v>
      </c>
      <c r="I72" s="1692">
        <f t="shared" si="9"/>
        <v>0</v>
      </c>
      <c r="J72" s="1692">
        <f t="shared" si="9"/>
        <v>0</v>
      </c>
      <c r="K72" s="1692">
        <f t="shared" si="9"/>
        <v>12383</v>
      </c>
      <c r="L72" s="1692">
        <f>SUM(L67:L71)</f>
        <v>12385</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1803966</v>
      </c>
      <c r="D74" s="1699">
        <f t="shared" ref="D74:K74" si="10">SUM(D42,D47,D53,D57,D65,D72,D73)</f>
        <v>523698</v>
      </c>
      <c r="E74" s="1699">
        <f t="shared" si="10"/>
        <v>249234</v>
      </c>
      <c r="F74" s="1699">
        <f t="shared" si="10"/>
        <v>137402</v>
      </c>
      <c r="G74" s="1699">
        <f t="shared" si="10"/>
        <v>51182</v>
      </c>
      <c r="H74" s="1699">
        <f t="shared" si="10"/>
        <v>0</v>
      </c>
      <c r="I74" s="1699">
        <f t="shared" si="10"/>
        <v>21883</v>
      </c>
      <c r="J74" s="1699">
        <f t="shared" si="10"/>
        <v>0</v>
      </c>
      <c r="K74" s="1699">
        <f t="shared" si="10"/>
        <v>2787365</v>
      </c>
      <c r="L74" s="1699">
        <f>SUM(L42,L47,L53,L57,L65,L72,L73)</f>
        <v>3089049</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v>1218020</v>
      </c>
      <c r="I79" s="477"/>
      <c r="J79" s="477"/>
      <c r="K79" s="1693">
        <f t="shared" si="11"/>
        <v>1218020</v>
      </c>
      <c r="L79" s="466">
        <v>1245255</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1218020</v>
      </c>
      <c r="I84" s="477"/>
      <c r="J84" s="477"/>
      <c r="K84" s="1692">
        <f>SUM(K78:K83)</f>
        <v>1218020</v>
      </c>
      <c r="L84" s="1692">
        <f>SUM(L78:L83)</f>
        <v>1245255</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1218020</v>
      </c>
      <c r="I102" s="477"/>
      <c r="J102" s="477"/>
      <c r="K102" s="1699">
        <f>SUM(K84,K92,K100,K101)</f>
        <v>1218020</v>
      </c>
      <c r="L102" s="1699">
        <f>SUM(L84,L92,L100,L101)</f>
        <v>1245255</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3018625</v>
      </c>
      <c r="D114" s="1692">
        <f t="shared" ref="D114:K114" si="13">SUM(D33,D74,D75,D102,D112,D113)</f>
        <v>949978</v>
      </c>
      <c r="E114" s="1692">
        <f t="shared" si="13"/>
        <v>274420</v>
      </c>
      <c r="F114" s="1692">
        <f t="shared" si="13"/>
        <v>158365</v>
      </c>
      <c r="G114" s="1692">
        <f t="shared" si="13"/>
        <v>51182</v>
      </c>
      <c r="H114" s="1692">
        <f>SUM(H33,H74,H75,H102,H112,H113)</f>
        <v>1218020</v>
      </c>
      <c r="I114" s="1692">
        <f t="shared" si="13"/>
        <v>21883</v>
      </c>
      <c r="J114" s="1692">
        <f t="shared" si="13"/>
        <v>0</v>
      </c>
      <c r="K114" s="1692">
        <f t="shared" si="13"/>
        <v>5692473</v>
      </c>
      <c r="L114" s="1692">
        <f>SUM(L33,L74,L75,L102,L112,L113)</f>
        <v>6042919</v>
      </c>
    </row>
    <row r="115" spans="1:14" ht="13.5" thickTop="1" x14ac:dyDescent="0.2">
      <c r="A115" s="2172" t="s">
        <v>1053</v>
      </c>
      <c r="B115" s="2173"/>
      <c r="C115" s="619"/>
      <c r="D115" s="619"/>
      <c r="E115" s="619"/>
      <c r="F115" s="619"/>
      <c r="G115" s="619"/>
      <c r="H115" s="619"/>
      <c r="I115" s="619"/>
      <c r="J115" s="619"/>
      <c r="K115" s="1706">
        <f>'Revenues 9-14'!C275-'Expenditures 15-22'!K114</f>
        <v>673673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7" t="s">
        <v>314</v>
      </c>
      <c r="B117" s="2178"/>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c r="F124" s="466"/>
      <c r="G124" s="466"/>
      <c r="H124" s="466"/>
      <c r="I124" s="467"/>
      <c r="J124" s="467"/>
      <c r="K124" s="1692">
        <f>SUM(C124:J124)</f>
        <v>0</v>
      </c>
      <c r="L124" s="466"/>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0</v>
      </c>
      <c r="H127" s="1692">
        <f t="shared" si="14"/>
        <v>0</v>
      </c>
      <c r="I127" s="1692">
        <f t="shared" si="14"/>
        <v>0</v>
      </c>
      <c r="J127" s="1692">
        <f t="shared" si="14"/>
        <v>0</v>
      </c>
      <c r="K127" s="1692">
        <f t="shared" si="14"/>
        <v>0</v>
      </c>
      <c r="L127" s="1692">
        <f t="shared" si="14"/>
        <v>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0</v>
      </c>
      <c r="H129" s="1699">
        <f t="shared" si="15"/>
        <v>0</v>
      </c>
      <c r="I129" s="1699">
        <f t="shared" si="15"/>
        <v>0</v>
      </c>
      <c r="J129" s="1699">
        <f t="shared" si="15"/>
        <v>0</v>
      </c>
      <c r="K129" s="1699">
        <f t="shared" si="15"/>
        <v>0</v>
      </c>
      <c r="L129" s="1699">
        <f t="shared" si="15"/>
        <v>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1955</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9" t="s">
        <v>641</v>
      </c>
      <c r="B151" s="2169"/>
      <c r="C151" s="1692">
        <f>SUM(C129,C130,C139,C149,C150)</f>
        <v>0</v>
      </c>
      <c r="D151" s="1692">
        <f t="shared" ref="D151:K151" si="16">SUM(D129,D130,D139,D149,D150)</f>
        <v>0</v>
      </c>
      <c r="E151" s="1692">
        <f t="shared" si="16"/>
        <v>0</v>
      </c>
      <c r="F151" s="1692">
        <f t="shared" si="16"/>
        <v>0</v>
      </c>
      <c r="G151" s="1692">
        <f t="shared" si="16"/>
        <v>0</v>
      </c>
      <c r="H151" s="1692">
        <f t="shared" si="16"/>
        <v>0</v>
      </c>
      <c r="I151" s="1692">
        <f t="shared" si="16"/>
        <v>0</v>
      </c>
      <c r="J151" s="1692">
        <f t="shared" si="16"/>
        <v>0</v>
      </c>
      <c r="K151" s="1692">
        <f t="shared" si="16"/>
        <v>0</v>
      </c>
      <c r="L151" s="1692">
        <f>SUM(L129,L130,L139,L149,L150)</f>
        <v>0</v>
      </c>
    </row>
    <row r="152" spans="1:14" ht="12.75" customHeight="1" thickTop="1" x14ac:dyDescent="0.2">
      <c r="A152" s="2192" t="s">
        <v>1240</v>
      </c>
      <c r="B152" s="2193"/>
      <c r="C152" s="619"/>
      <c r="D152" s="619"/>
      <c r="E152" s="619"/>
      <c r="F152" s="619"/>
      <c r="G152" s="619"/>
      <c r="H152" s="619"/>
      <c r="I152" s="619"/>
      <c r="J152" s="617"/>
      <c r="K152" s="1706">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7" t="s">
        <v>642</v>
      </c>
      <c r="B154" s="2179"/>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1956</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1955</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1957</v>
      </c>
      <c r="C158" s="617"/>
      <c r="D158" s="617"/>
      <c r="E158" s="617"/>
      <c r="F158" s="617"/>
      <c r="G158" s="617"/>
      <c r="H158" s="467"/>
      <c r="I158" s="617"/>
      <c r="J158" s="617"/>
      <c r="K158" s="1693">
        <f>H158</f>
        <v>0</v>
      </c>
      <c r="L158" s="467"/>
      <c r="M158" s="620"/>
      <c r="N158" s="620"/>
    </row>
    <row r="159" spans="1:14" s="621" customFormat="1" ht="12" x14ac:dyDescent="0.2">
      <c r="A159" s="1849" t="s">
        <v>1958</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1959</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2" t="s">
        <v>1053</v>
      </c>
      <c r="B175" s="2173"/>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72" t="s">
        <v>1053</v>
      </c>
      <c r="B211" s="2173"/>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4" t="s">
        <v>1022</v>
      </c>
      <c r="B213" s="2195"/>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1907</v>
      </c>
      <c r="B249" s="684" t="s">
        <v>300</v>
      </c>
      <c r="C249" s="617"/>
      <c r="D249" s="474"/>
      <c r="E249" s="617"/>
      <c r="F249" s="617"/>
      <c r="G249" s="617"/>
      <c r="H249" s="617"/>
      <c r="I249" s="617"/>
      <c r="J249" s="617"/>
      <c r="K249" s="1694">
        <f t="shared" si="21"/>
        <v>0</v>
      </c>
      <c r="L249" s="466"/>
    </row>
    <row r="250" spans="1:12" x14ac:dyDescent="0.2">
      <c r="A250" s="1527" t="s">
        <v>1908</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1906</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1955</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0" t="s">
        <v>526</v>
      </c>
      <c r="B295" s="2191"/>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172" t="s">
        <v>1053</v>
      </c>
      <c r="B296" s="2173"/>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2" t="s">
        <v>145</v>
      </c>
      <c r="B298" s="2176"/>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1960</v>
      </c>
      <c r="B306" s="691" t="s">
        <v>1955</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7" t="s">
        <v>295</v>
      </c>
      <c r="B312" s="2188"/>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3" t="s">
        <v>1053</v>
      </c>
      <c r="B313" s="2184"/>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6" t="s">
        <v>151</v>
      </c>
      <c r="B315" s="2197"/>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8" t="s">
        <v>954</v>
      </c>
      <c r="B317" s="2197"/>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1907</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1961</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1955</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1957</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1962</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5" t="s">
        <v>1053</v>
      </c>
      <c r="B343" s="2186"/>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5" t="s">
        <v>1023</v>
      </c>
      <c r="B345" s="2176"/>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1963</v>
      </c>
      <c r="B354" s="684" t="s">
        <v>1955</v>
      </c>
      <c r="C354" s="617"/>
      <c r="D354" s="617"/>
      <c r="E354" s="617"/>
      <c r="F354" s="617"/>
      <c r="G354" s="617"/>
      <c r="H354" s="474"/>
      <c r="I354" s="702"/>
      <c r="J354" s="617"/>
      <c r="K354" s="1721">
        <f>H354</f>
        <v>0</v>
      </c>
      <c r="L354" s="471"/>
    </row>
    <row r="355" spans="1:14" ht="12.75" customHeight="1" x14ac:dyDescent="0.2">
      <c r="A355" s="1535" t="s">
        <v>1964</v>
      </c>
      <c r="B355" s="691" t="s">
        <v>1957</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2" t="s">
        <v>1053</v>
      </c>
      <c r="B368" s="2173"/>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headings="1" gridLinesSet="0"/>
  <pageMargins left="0.1" right="0.2" top="0.61" bottom="0.35" header="0.28000000000000003" footer="0"/>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
See notes.
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purl.org/dc/elements/1.1/"/>
    <ds:schemaRef ds:uri="d21dc803-237d-4c68-8692-8d731fd29118"/>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4d435f69-8686-490b-bd6d-b153bf22ab50"/>
    <ds:schemaRef ds:uri="http://purl.org/dc/dcmitype/"/>
    <ds:schemaRef ds:uri="6ce3111e-7420-4802-b50a-75d4e9a0b980"/>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 SEFA</vt:lpstr>
      <vt:lpstr> SEFA (2)</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2018-10-09T15:29:20Z</cp:lastPrinted>
  <dcterms:created xsi:type="dcterms:W3CDTF">2003-10-29T19:06:34Z</dcterms:created>
  <dcterms:modified xsi:type="dcterms:W3CDTF">2018-10-23T14:26:58Z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