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9" l="1"/>
  <c r="B2" i="183"/>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E27" i="108"/>
  <c r="G27" i="108"/>
  <c r="E28" i="108"/>
  <c r="F31" i="108"/>
  <c r="F36" i="108"/>
  <c r="F37" i="108"/>
  <c r="G28" i="108"/>
  <c r="E29" i="108"/>
  <c r="G29"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09" i="5"/>
  <c r="B5121" i="106" s="1"/>
  <c r="D5121"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5" i="7"/>
  <c r="B1761" i="106" s="1"/>
  <c r="D1761" i="106" s="1"/>
  <c r="D13" i="7"/>
  <c r="B3726" i="106" s="1"/>
  <c r="D3726" i="106" s="1"/>
  <c r="D9" i="7"/>
  <c r="B1767" i="106" s="1"/>
  <c r="D1767" i="106" s="1"/>
  <c r="F136" i="34"/>
  <c r="F130" i="34"/>
  <c r="F127" i="34"/>
  <c r="B5847" i="106"/>
  <c r="D5847" i="106" s="1"/>
  <c r="B5752" i="106"/>
  <c r="D5752" i="106" s="1"/>
  <c r="B5599" i="106"/>
  <c r="D5599" i="106" s="1"/>
  <c r="K274" i="5"/>
  <c r="H173" i="5"/>
  <c r="B5906" i="106" s="1"/>
  <c r="D5906" i="106" s="1"/>
  <c r="C172" i="5"/>
  <c r="B5214" i="106" s="1"/>
  <c r="D5214"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D17" i="7"/>
  <c r="B4104" i="106" s="1"/>
  <c r="D4104" i="106" s="1"/>
  <c r="D11" i="7"/>
  <c r="B1768" i="106" s="1"/>
  <c r="D1768" i="106" s="1"/>
  <c r="D15" i="7"/>
  <c r="B1772" i="106" s="1"/>
  <c r="D1772" i="106" s="1"/>
  <c r="K173" i="5" l="1"/>
  <c r="K6" i="4" s="1"/>
  <c r="B3570" i="106" s="1"/>
  <c r="D3570" i="106" s="1"/>
  <c r="D12" i="7"/>
  <c r="B1769" i="106" s="1"/>
  <c r="D1769" i="106" s="1"/>
  <c r="B1746" i="106"/>
  <c r="D1746" i="106" s="1"/>
  <c r="G4" i="4"/>
  <c r="B2603" i="106" s="1"/>
  <c r="D2603" i="106" s="1"/>
  <c r="F111" i="34"/>
  <c r="F131" i="34"/>
  <c r="B5770" i="106"/>
  <c r="D5770" i="106" s="1"/>
  <c r="D4" i="7"/>
  <c r="B1760" i="106" s="1"/>
  <c r="D1760" i="106" s="1"/>
  <c r="G5" i="4"/>
  <c r="B3409" i="106" s="1"/>
  <c r="D3409" i="106" s="1"/>
  <c r="I173" i="5"/>
  <c r="B4216" i="106" s="1"/>
  <c r="D4216" i="106" s="1"/>
  <c r="E109" i="5"/>
  <c r="E4" i="4" s="1"/>
  <c r="B2630" i="106" s="1"/>
  <c r="D2630" i="106" s="1"/>
  <c r="L367" i="29"/>
  <c r="F36" i="34"/>
  <c r="F34" i="34"/>
  <c r="B7235" i="106"/>
  <c r="D7235" i="106" s="1"/>
  <c r="B3669" i="106"/>
  <c r="D3669" i="106" s="1"/>
  <c r="K350" i="29"/>
  <c r="B3649" i="106"/>
  <c r="D3649" i="106" s="1"/>
  <c r="G367" i="29"/>
  <c r="B3621" i="106"/>
  <c r="D3621" i="106" s="1"/>
  <c r="C367" i="29"/>
  <c r="K24" i="12"/>
  <c r="K76" i="4"/>
  <c r="B3586" i="106" s="1"/>
  <c r="D3586" i="106" s="1"/>
  <c r="K285" i="29"/>
  <c r="B1410" i="106"/>
  <c r="D1410" i="106" s="1"/>
  <c r="G210" i="29"/>
  <c r="B1329" i="106"/>
  <c r="D1329" i="106" s="1"/>
  <c r="F61" i="34"/>
  <c r="L13" i="11"/>
  <c r="B2060" i="106" s="1"/>
  <c r="D2060" i="106" s="1"/>
  <c r="E30" i="108"/>
  <c r="F28" i="108"/>
  <c r="F27" i="108"/>
  <c r="C173" i="5"/>
  <c r="B5223" i="106" s="1"/>
  <c r="D5223"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D7250" i="106" l="1"/>
  <c r="B1365" i="106"/>
  <c r="D1365" i="106" s="1"/>
  <c r="F65" i="34"/>
  <c r="B7733" i="106"/>
  <c r="D7733" i="106" s="1"/>
  <c r="K26" i="12"/>
  <c r="B7743" i="106" s="1"/>
  <c r="D7743" i="106" s="1"/>
  <c r="F73" i="34"/>
  <c r="G15" i="4"/>
  <c r="B6032" i="106" s="1"/>
  <c r="D6032" i="106" s="1"/>
  <c r="H367" i="29"/>
  <c r="B3660" i="106" s="1"/>
  <c r="D3660" i="106" s="1"/>
  <c r="B3670" i="106"/>
  <c r="D3670" i="106" s="1"/>
  <c r="K352" i="29"/>
  <c r="K367" i="29" s="1"/>
  <c r="L16" i="11"/>
  <c r="B2061" i="106" s="1"/>
  <c r="D2061" i="106" s="1"/>
  <c r="L114" i="29"/>
  <c r="C114" i="29"/>
  <c r="B757" i="106" s="1"/>
  <c r="D757" i="106" s="1"/>
  <c r="C6" i="4"/>
  <c r="B2553" i="106" s="1"/>
  <c r="D255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K13" i="4" l="1"/>
  <c r="B3572" i="106" s="1"/>
  <c r="D3572" i="106" s="1"/>
  <c r="B3672" i="106"/>
  <c r="D3672"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<sst xmlns="http://schemas.openxmlformats.org/spreadsheetml/2006/main" count="5134" uniqueCount="2147">
  <si>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</si>
  <si>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</si>
  <si>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</si>
  <si>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</si>
  <si>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</si>
  <si>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</si>
  <si>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</si>
  <si>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</si>
  <si>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</si>
  <si>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</si>
  <si>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</si>
  <si>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</si>
  <si>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</si>
  <si>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</si>
  <si>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</si>
  <si>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</si>
  <si>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</si>
  <si>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</si>
  <si>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</si>
  <si>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</si>
  <si>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</si>
  <si>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</si>
  <si>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</si>
  <si>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</si>
  <si>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</si>
  <si>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</si>
  <si>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</si>
  <si>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</si>
  <si>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</si>
  <si>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</si>
  <si>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</si>
  <si>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</si>
  <si>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</si>
  <si>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</si>
  <si>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</si>
  <si>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</si>
  <si>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</si>
  <si>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</si>
  <si>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</si>
  <si>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</si>
  <si>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</si>
  <si>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</si>
  <si>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</si>
  <si>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</si>
  <si>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</si>
  <si>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</si>
  <si>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</si>
  <si>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</si>
  <si>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</si>
  <si>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</si>
  <si>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</si>
  <si>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</si>
  <si>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</si>
  <si>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</si>
  <si>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</si>
  <si>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</si>
  <si>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</si>
  <si>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</si>
  <si>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</si>
  <si>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</si>
  <si>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</si>
  <si>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</si>
  <si>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</si>
  <si>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</si>
  <si>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</si>
  <si>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</si>
  <si>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</si>
  <si>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</si>
  <si>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</si>
  <si>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</si>
  <si>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</si>
  <si>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</si>
  <si>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</si>
  <si>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</si>
  <si>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</si>
  <si>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</si>
  <si>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</si>
  <si>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</si>
  <si>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</si>
  <si>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</si>
  <si>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</si>
  <si>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</si>
  <si>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</si>
  <si>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</si>
  <si>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</si>
  <si>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</si>
  <si>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</si>
  <si>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</si>
  <si>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</si>
  <si>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</si>
  <si>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</si>
  <si>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</si>
  <si>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</si>
  <si>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</si>
  <si>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</si>
  <si>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</si>
  <si>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</si>
  <si>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</si>
  <si>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</si>
  <si>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</si>
  <si>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</si>
  <si>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</si>
  <si>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</si>
  <si>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</si>
  <si>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</si>
  <si>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</si>
  <si>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</si>
  <si>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</si>
  <si>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</si>
  <si>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</si>
  <si>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</si>
  <si>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</si>
  <si>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</si>
  <si>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</si>
  <si>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</si>
  <si>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</si>
  <si>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</si>
  <si>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</si>
  <si>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</si>
  <si>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</si>
  <si>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</si>
  <si>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</si>
  <si>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</si>
  <si>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</si>
  <si>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</si>
  <si>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</si>
  <si>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</si>
  <si>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</si>
  <si>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</si>
  <si>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</si>
  <si>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</si>
  <si>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</si>
  <si>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</si>
  <si>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</si>
  <si>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</si>
  <si>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</si>
  <si>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</si>
  <si>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</si>
  <si>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</si>
  <si>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</si>
  <si>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</si>
  <si>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</si>
  <si>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</si>
  <si>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</si>
  <si>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</si>
  <si>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</si>
  <si>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</si>
  <si>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</si>
  <si>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</si>
  <si>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</si>
  <si>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</si>
  <si>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</si>
  <si>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</si>
  <si>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</si>
  <si>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</si>
  <si>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</si>
  <si>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</si>
  <si>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</si>
  <si>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</si>
  <si>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</si>
  <si>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</si>
  <si>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</si>
  <si>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</si>
  <si>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</si>
  <si>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</si>
  <si>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</si>
  <si>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</si>
  <si>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</si>
  <si>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</si>
  <si>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</si>
  <si>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</si>
  <si>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</si>
  <si>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</si>
  <si>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</si>
  <si>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</si>
  <si>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</si>
  <si>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</si>
  <si>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</si>
  <si>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</si>
  <si>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</si>
  <si>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</si>
  <si>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</si>
  <si>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</si>
  <si>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</si>
  <si>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</si>
  <si>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</si>
  <si>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</si>
  <si>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</si>
  <si>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</si>
  <si>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</si>
  <si>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</si>
  <si>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</si>
  <si>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</si>
  <si>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</si>
  <si>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</si>
  <si>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</si>
  <si>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</si>
  <si>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</si>
  <si>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</si>
  <si>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</si>
  <si>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</si>
  <si>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</si>
  <si>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</si>
  <si>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</si>
  <si>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</si>
  <si>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</si>
  <si>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</si>
  <si>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</si>
  <si>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</si>
  <si>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</si>
  <si>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</si>
  <si>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</si>
  <si>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</si>
  <si>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</si>
  <si>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</si>
  <si>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</si>
  <si>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</si>
  <si>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</si>
  <si>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</si>
  <si>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</si>
  <si>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</si>
  <si>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</si>
  <si>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</si>
  <si>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</si>
  <si>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</si>
  <si>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</si>
  <si>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</si>
  <si>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</si>
  <si>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</si>
  <si>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</si>
  <si>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</si>
  <si>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</si>
  <si>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</si>
  <si>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</si>
  <si>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</si>
  <si>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</si>
  <si>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</si>
  <si>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</si>
  <si>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</si>
  <si>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</si>
  <si>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</si>
  <si>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</si>
  <si>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</si>
  <si>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</si>
  <si>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</si>
  <si>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</si>
  <si>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</si>
  <si>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</si>
  <si>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</si>
  <si>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</si>
  <si>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</si>
  <si>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</si>
  <si>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</si>
  <si>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</si>
  <si>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</si>
  <si>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</si>
  <si>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</si>
  <si>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</si>
  <si>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</si>
  <si>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</si>
  <si>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</si>
  <si>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</si>
  <si>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</si>
  <si>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</si>
  <si>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</si>
  <si>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</si>
  <si>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</si>
  <si>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</si>
  <si>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</si>
  <si>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</si>
  <si>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</si>
  <si>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</si>
  <si>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</si>
  <si>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</si>
  <si>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</si>
  <si>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</si>
  <si>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</si>
  <si>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</si>
  <si>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</si>
  <si>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</si>
  <si>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</si>
  <si>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</si>
  <si>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</si>
  <si>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</si>
  <si>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</si>
  <si>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</si>
  <si>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</si>
  <si>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</si>
  <si>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</si>
  <si>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</si>
  <si>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</si>
  <si>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</si>
  <si>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</si>
  <si>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</si>
  <si>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</si>
  <si>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</si>
  <si>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</si>
  <si>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</si>
  <si>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</si>
  <si>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</si>
  <si>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</si>
  <si>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</si>
  <si>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</si>
  <si>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</si>
  <si>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</si>
  <si>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</si>
  <si>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</si>
  <si>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</si>
  <si>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</si>
  <si>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</si>
  <si>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</si>
  <si>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</si>
  <si>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</si>
  <si>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</si>
  <si>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</si>
  <si>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</si>
  <si>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</si>
  <si>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</si>
  <si>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</si>
  <si>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</si>
  <si>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</si>
  <si>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</si>
  <si>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</si>
  <si>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</si>
  <si>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</si>
  <si>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</si>
  <si>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</si>
  <si>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</si>
  <si>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</si>
  <si>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</si>
  <si>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</si>
  <si>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</si>
  <si>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</si>
  <si>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</si>
  <si>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</si>
  <si>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</si>
  <si>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</si>
  <si>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</si>
  <si>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</si>
  <si>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</si>
  <si>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</si>
  <si>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</si>
  <si>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</si>
  <si>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</si>
  <si>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</si>
  <si>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</si>
  <si>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</si>
  <si>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</si>
  <si>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</si>
  <si>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</si>
  <si>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</si>
  <si>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</si>
  <si>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</si>
  <si>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</si>
  <si>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</si>
  <si>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</si>
  <si>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</si>
  <si>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</si>
  <si>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</si>
  <si>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</si>
  <si>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</si>
  <si>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</si>
  <si>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</si>
  <si>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</si>
  <si>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</si>
  <si>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</si>
  <si>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</si>
  <si>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</si>
  <si>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</si>
  <si>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</si>
  <si>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</si>
  <si>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</si>
  <si>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</si>
  <si>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</si>
  <si>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</si>
  <si>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</si>
  <si>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</si>
  <si>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</si>
  <si>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</si>
  <si>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</si>
  <si>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</si>
  <si>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</si>
  <si>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</si>
  <si>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</si>
  <si>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</si>
  <si>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</si>
  <si>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</si>
  <si>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</si>
  <si>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</si>
  <si>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</si>
  <si>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</si>
  <si>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</si>
  <si>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</si>
  <si>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</si>
  <si>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</si>
  <si>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</si>
  <si>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</si>
  <si>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</si>
  <si>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</si>
  <si>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</si>
  <si>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</si>
  <si>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</si>
  <si>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</si>
  <si>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</si>
  <si>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</si>
  <si>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</si>
  <si>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</si>
  <si>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</si>
  <si>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</si>
  <si>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</si>
  <si>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</si>
  <si>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</si>
  <si>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</si>
  <si>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</si>
  <si>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</si>
  <si>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</si>
  <si>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</si>
  <si>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</si>
  <si>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</si>
  <si>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</si>
  <si>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</si>
  <si>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</si>
  <si>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</si>
  <si>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</si>
  <si>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</si>
  <si>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</si>
  <si>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</si>
  <si>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</si>
  <si>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</si>
  <si>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</si>
  <si>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</si>
  <si>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</si>
  <si>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</si>
  <si>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</si>
  <si>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</si>
  <si>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</si>
  <si>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</si>
  <si>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</si>
  <si>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</si>
  <si>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</si>
  <si>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</si>
  <si>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</si>
  <si>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</si>
  <si>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</si>
  <si>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</si>
  <si>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</si>
  <si>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</si>
  <si>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</si>
  <si>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</si>
  <si>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</si>
  <si>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</si>
  <si>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</si>
  <si>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</si>
  <si>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</si>
  <si>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</si>
  <si>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</si>
  <si>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</si>
  <si>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</si>
  <si>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</si>
  <si>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</si>
  <si>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</si>
  <si>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</si>
  <si>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</si>
  <si>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</si>
  <si>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</si>
  <si>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</si>
  <si>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</si>
  <si>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</si>
  <si>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</si>
  <si>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</si>
  <si>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</si>
  <si>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</si>
  <si>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</si>
  <si>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</si>
  <si>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</si>
  <si>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</si>
  <si>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</si>
  <si>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</si>
  <si>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</si>
  <si>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</si>
  <si>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</si>
  <si>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</si>
  <si>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</si>
  <si>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</si>
  <si>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</si>
  <si>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</si>
  <si>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</si>
  <si>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</si>
  <si>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</si>
  <si>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</si>
  <si>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</si>
  <si>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</si>
  <si>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</si>
  <si>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</si>
  <si>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</si>
  <si>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</si>
  <si>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</si>
  <si>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</si>
  <si>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</si>
  <si>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</si>
  <si>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</si>
  <si>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</si>
  <si>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</si>
  <si>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</si>
  <si>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</si>
  <si>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</si>
  <si>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</si>
  <si>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</si>
  <si>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</si>
  <si>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</si>
  <si>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</si>
  <si>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</si>
  <si>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</si>
  <si>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</si>
  <si>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</si>
  <si>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</si>
  <si>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</si>
  <si>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</si>
  <si>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</si>
  <si>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</si>
  <si>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</si>
  <si>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</si>
  <si>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</si>
  <si>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</si>
  <si>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</si>
  <si>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</si>
  <si>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</si>
  <si>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</si>
  <si>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</si>
  <si>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</si>
  <si>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</si>
  <si>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</si>
  <si>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</si>
  <si>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</si>
  <si>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</si>
  <si>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</si>
  <si>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</si>
  <si>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</si>
  <si>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</si>
  <si>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</si>
  <si>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</si>
  <si>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</si>
  <si>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</si>
  <si>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</si>
  <si>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</si>
  <si>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</si>
  <si>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</si>
  <si>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</si>
  <si>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</si>
  <si>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</si>
  <si>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</si>
  <si>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</si>
  <si>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</si>
  <si>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</si>
  <si>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</si>
  <si>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</si>
  <si>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</si>
  <si>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</si>
  <si>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</si>
  <si>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</si>
  <si>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</si>
  <si>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</si>
  <si>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</si>
  <si>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</si>
  <si>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</si>
  <si>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</si>
  <si>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</si>
  <si>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</si>
  <si>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</si>
  <si>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</si>
  <si>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</si>
  <si>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</si>
  <si>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</si>
  <si>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</si>
  <si>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</si>
  <si>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</si>
  <si>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</si>
  <si>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</si>
  <si>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</si>
  <si>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</si>
  <si>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</si>
  <si>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</si>
  <si>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</si>
  <si>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</si>
  <si>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</si>
  <si>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</si>
  <si>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</si>
  <si>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</si>
  <si>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</si>
  <si>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</si>
  <si>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</si>
  <si>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</si>
  <si>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</si>
  <si>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</si>
  <si>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</si>
  <si>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</si>
  <si>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</si>
  <si>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</si>
  <si>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</si>
  <si>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</si>
  <si>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</si>
  <si>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</si>
  <si>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</si>
  <si>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</si>
  <si>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</si>
  <si>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</si>
  <si>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</si>
  <si>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</si>
  <si>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</si>
  <si>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</si>
  <si>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</si>
  <si>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</si>
  <si>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</si>
  <si>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</si>
  <si>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</si>
  <si>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</si>
  <si>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</si>
  <si>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</si>
  <si>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</si>
  <si>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</si>
  <si>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</si>
  <si>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</si>
  <si>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</si>
  <si>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</si>
  <si>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</si>
  <si>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</si>
  <si>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</si>
  <si>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</si>
  <si>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</si>
  <si>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</si>
  <si>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</si>
  <si>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</si>
  <si>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</si>
  <si>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</si>
  <si>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</si>
  <si>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</si>
  <si>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</si>
  <si>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</si>
  <si>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</si>
  <si>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</si>
  <si>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</si>
  <si>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</si>
  <si>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</si>
  <si>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</si>
  <si>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</si>
  <si>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</si>
  <si>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</si>
  <si>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</si>
  <si>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</si>
  <si>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</si>
  <si>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</si>
  <si>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</si>
  <si>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</si>
  <si>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</si>
  <si>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</si>
  <si>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</si>
  <si>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</si>
  <si>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</si>
  <si>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</si>
  <si>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</si>
  <si>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</si>
  <si>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</si>
  <si>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</si>
  <si>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</si>
  <si>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</si>
  <si>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</si>
  <si>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</si>
  <si>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</si>
  <si>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</si>
  <si>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</si>
  <si>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</si>
  <si>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</si>
  <si>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</si>
  <si>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</si>
  <si>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</si>
  <si>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</si>
  <si>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</si>
  <si>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</si>
  <si>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</si>
  <si>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</si>
  <si>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</si>
  <si>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</si>
  <si>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</si>
  <si>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</si>
  <si>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</si>
  <si>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</si>
  <si>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</si>
  <si>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</si>
  <si>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</si>
  <si>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</si>
  <si>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</si>
  <si>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</si>
  <si>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</si>
  <si>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</si>
  <si>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</si>
  <si>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</si>
  <si>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</si>
  <si>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</si>
  <si>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</si>
  <si>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</si>
  <si>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</si>
  <si>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</si>
  <si>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</si>
  <si>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</si>
  <si>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</si>
  <si>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</si>
  <si>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</si>
  <si>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</si>
  <si>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</si>
  <si>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</si>
  <si>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</si>
  <si>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</si>
  <si>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</si>
  <si>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</si>
  <si>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</si>
  <si>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</si>
  <si>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</si>
  <si>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</si>
  <si>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</si>
  <si>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</si>
  <si>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</si>
  <si>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</si>
  <si>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</si>
  <si>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</si>
  <si>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</si>
  <si>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</si>
  <si>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</si>
  <si>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</si>
  <si>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</si>
  <si>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</si>
  <si>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</si>
  <si>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</si>
  <si>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</si>
  <si>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</si>
  <si>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</si>
  <si>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</si>
  <si>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</si>
  <si>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</si>
  <si>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</si>
  <si>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</si>
  <si>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</si>
  <si>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</si>
  <si>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</si>
  <si>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</si>
  <si>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</si>
  <si>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</si>
  <si>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</si>
  <si>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</si>
  <si>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</si>
  <si>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</si>
  <si>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</si>
  <si>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</si>
  <si>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</si>
  <si>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</si>
  <si>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</si>
  <si>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</si>
  <si>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</si>
  <si>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</si>
  <si>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</si>
  <si>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</si>
  <si>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</si>
  <si>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</si>
  <si>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</si>
  <si>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</si>
  <si>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</si>
  <si>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</si>
  <si>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</si>
  <si>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</si>
  <si>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</si>
  <si>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</si>
  <si>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</si>
  <si>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</si>
  <si>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</si>
  <si>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</si>
  <si>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</si>
  <si>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</si>
  <si>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</si>
  <si>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</si>
  <si>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</si>
  <si>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</si>
  <si>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</si>
  <si>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</si>
  <si>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</si>
  <si>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</si>
  <si>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</si>
  <si>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</si>
  <si>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</si>
  <si>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</si>
  <si>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</si>
  <si>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</si>
  <si>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</si>
  <si>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</si>
  <si>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</si>
  <si>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</si>
  <si>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</si>
  <si>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</si>
  <si>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</si>
  <si>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</si>
  <si>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</si>
  <si>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</si>
  <si>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</si>
  <si>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</si>
  <si>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</si>
  <si>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</si>
  <si>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</si>
  <si>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</si>
  <si>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</si>
  <si>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</si>
  <si>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</si>
  <si>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</si>
  <si>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</si>
  <si>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</si>
  <si>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</si>
  <si>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</si>
  <si>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</si>
  <si>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</si>
  <si>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</si>
  <si>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</si>
  <si>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</si>
  <si>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</si>
  <si>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</si>
  <si>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</si>
  <si>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</si>
  <si>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</si>
  <si>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</si>
  <si>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</si>
  <si>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</si>
  <si>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</si>
  <si>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</si>
  <si>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</si>
  <si>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</si>
  <si>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</si>
  <si>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</si>
  <si>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</si>
  <si>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</si>
  <si>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</si>
  <si>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</si>
  <si>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</si>
  <si>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</si>
  <si>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</si>
  <si>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</si>
  <si>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</si>
  <si>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</si>
  <si>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</si>
  <si>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</si>
  <si>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</si>
  <si>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</si>
  <si>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</si>
  <si>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</si>
  <si>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</si>
  <si>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</si>
  <si>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</si>
  <si>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</si>
  <si>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</si>
  <si>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</si>
  <si>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</si>
  <si>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</si>
  <si>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</si>
  <si>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</si>
  <si>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</si>
  <si>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</si>
  <si>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</si>
  <si>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</si>
  <si>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</si>
  <si>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</si>
  <si>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</si>
  <si>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</si>
  <si>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</si>
  <si>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</si>
  <si>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</si>
  <si>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</si>
  <si>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</si>
  <si>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</si>
  <si>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</si>
  <si>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</si>
  <si>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</si>
  <si>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</si>
  <si>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</si>
  <si>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</si>
  <si>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</si>
  <si>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</si>
  <si>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</si>
  <si>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</si>
  <si>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</si>
  <si>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</si>
  <si>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</si>
  <si>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</si>
  <si>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</si>
  <si>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</si>
  <si>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</si>
  <si>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</si>
  <si>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</si>
  <si>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</si>
  <si>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</si>
  <si>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</si>
  <si>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</si>
  <si>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</si>
  <si>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</si>
  <si>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</si>
  <si>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</si>
  <si>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</si>
  <si>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</si>
  <si>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</si>
  <si>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</si>
  <si>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</si>
  <si>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</si>
  <si>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</si>
  <si>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</si>
  <si>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</si>
  <si>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</si>
  <si>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</si>
  <si>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</si>
  <si>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</si>
  <si>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</si>
  <si>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</si>
  <si>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</si>
  <si>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</si>
  <si>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</si>
  <si>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</si>
  <si>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</si>
  <si>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</si>
  <si>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</si>
  <si>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</si>
  <si>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</si>
  <si>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</si>
  <si>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</si>
  <si>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</si>
  <si>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</si>
  <si>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</si>
  <si>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</si>
  <si>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</si>
  <si>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</si>
  <si>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</si>
  <si>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</si>
  <si>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</si>
  <si>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</si>
  <si>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</si>
  <si>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</si>
  <si>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</si>
  <si>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</si>
  <si>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</si>
  <si>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</si>
  <si>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</si>
  <si>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</si>
  <si>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</si>
  <si>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</si>
  <si>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</si>
  <si>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</si>
  <si>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</si>
  <si>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</si>
  <si>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</si>
  <si>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</si>
  <si>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</si>
  <si>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</si>
  <si>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</si>
  <si>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</si>
  <si>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</si>
  <si>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</si>
  <si>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</si>
  <si>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</si>
  <si>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</si>
  <si>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</si>
  <si>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</si>
  <si>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</si>
  <si>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</si>
  <si>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</si>
  <si>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</si>
  <si>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</si>
  <si>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</si>
  <si>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</si>
  <si>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</si>
  <si>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</si>
  <si>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</si>
  <si>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</si>
  <si>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</si>
  <si>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</si>
  <si>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</si>
  <si>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</si>
  <si>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</si>
  <si>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</si>
  <si>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</si>
  <si>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</si>
  <si>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</si>
  <si>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</si>
  <si>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</si>
  <si>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</si>
  <si>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</si>
  <si>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</si>
  <si>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</si>
  <si>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</si>
  <si>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</si>
  <si>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</si>
  <si>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</si>
  <si>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</si>
  <si>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</si>
  <si>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</si>
  <si>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</si>
  <si>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</si>
  <si>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</si>
  <si>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</si>
  <si>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</si>
  <si>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</si>
  <si>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</si>
  <si>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</si>
  <si>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</si>
  <si>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</si>
  <si>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</si>
  <si>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</si>
  <si>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</si>
  <si>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</si>
  <si>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</si>
  <si>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</si>
  <si>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</si>
  <si>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</si>
  <si>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</si>
  <si>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</si>
  <si>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</si>
  <si>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</si>
  <si>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</si>
  <si>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</si>
  <si>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</si>
  <si>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</si>
  <si>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</si>
  <si>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</si>
  <si>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</si>
  <si>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</si>
  <si>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</si>
  <si>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</si>
  <si>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</si>
  <si>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</si>
  <si>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</si>
  <si>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</si>
  <si>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</si>
  <si>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</si>
  <si>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</si>
  <si>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</si>
  <si>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</si>
  <si>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</si>
  <si>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</si>
  <si>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</si>
  <si>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</si>
  <si>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</si>
  <si>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</si>
  <si>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</si>
  <si>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</si>
  <si>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</si>
  <si>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</si>
  <si>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</si>
  <si>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</si>
  <si>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</si>
  <si>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</si>
  <si>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</si>
  <si>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</si>
  <si>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</si>
  <si>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</si>
  <si>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</si>
  <si>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</si>
  <si>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</si>
  <si>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</si>
  <si>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</si>
  <si>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</si>
  <si>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</si>
  <si>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</si>
  <si>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</si>
  <si>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</si>
  <si>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</si>
  <si>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</si>
  <si>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</si>
  <si>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</si>
  <si>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</si>
  <si>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</si>
  <si>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</si>
  <si>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</si>
  <si>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</si>
  <si>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</si>
  <si>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</si>
  <si>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</si>
  <si>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</si>
  <si>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</si>
  <si>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</si>
  <si>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</si>
  <si>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</si>
  <si>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</si>
  <si>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</si>
  <si>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</si>
  <si>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</si>
  <si>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</si>
  <si>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</si>
  <si>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</si>
  <si>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</si>
  <si>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</si>
  <si>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</si>
  <si>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</si>
  <si>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</si>
  <si>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</si>
  <si>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</si>
  <si>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</si>
  <si>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</si>
  <si>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</si>
  <si>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</si>
  <si>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</si>
  <si>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</si>
  <si>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</si>
  <si>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</si>
  <si>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</si>
  <si>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</si>
  <si>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</si>
  <si>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</si>
  <si>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</si>
  <si>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</si>
  <si>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</si>
  <si>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</si>
  <si>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</si>
  <si>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</si>
  <si>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</si>
  <si>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</si>
  <si>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</si>
  <si>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</si>
  <si>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</si>
  <si>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</si>
  <si>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</si>
  <si>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</si>
  <si>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</si>
  <si>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</si>
  <si>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</si>
  <si>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</si>
  <si>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</si>
  <si>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</si>
  <si>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</si>
  <si>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</si>
  <si>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</si>
  <si>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</si>
  <si>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</si>
  <si>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</si>
  <si>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</si>
  <si>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</si>
  <si>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</si>
  <si>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</si>
  <si>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</si>
  <si>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</si>
  <si>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</si>
  <si>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</si>
  <si>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</si>
  <si>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</si>
  <si>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</si>
  <si>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</si>
  <si>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</si>
  <si>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</si>
  <si>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</si>
  <si>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</si>
  <si>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</si>
  <si>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</si>
  <si>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</si>
  <si>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</si>
  <si>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</si>
  <si>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</si>
  <si>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</si>
  <si>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</si>
  <si>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</si>
  <si>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</si>
  <si>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</si>
  <si>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</si>
  <si>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</si>
  <si>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</si>
  <si>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</si>
  <si>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</si>
  <si>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</si>
  <si>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</si>
  <si>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</si>
  <si>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</si>
  <si>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</si>
  <si>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</si>
  <si>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</si>
  <si>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</si>
  <si>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</si>
  <si>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</si>
  <si>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</si>
  <si>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</si>
  <si>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</si>
  <si>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</si>
  <si>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</si>
  <si>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</si>
  <si>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</si>
  <si>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</si>
  <si>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</si>
  <si>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</si>
  <si>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</si>
  <si>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</si>
  <si>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</si>
  <si>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</si>
  <si>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</si>
  <si>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</si>
  <si>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</si>
  <si>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</si>
  <si>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</si>
  <si>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</si>
  <si>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</si>
  <si>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</si>
  <si>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</si>
  <si>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</si>
  <si>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</si>
  <si>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</si>
  <si>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</si>
  <si>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</si>
  <si>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</si>
  <si>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</si>
  <si>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</si>
  <si>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</si>
  <si>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</si>
  <si>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</si>
  <si>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</si>
  <si>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</si>
  <si>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</si>
  <si>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</si>
  <si>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</si>
  <si>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</si>
  <si>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</si>
  <si>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</si>
  <si>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</si>
  <si>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</si>
  <si>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</si>
  <si>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</si>
  <si>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</si>
  <si>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</si>
  <si>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</si>
  <si>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</si>
  <si>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</si>
  <si>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</si>
  <si>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</si>
  <si>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</si>
  <si>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</si>
  <si>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</si>
  <si>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</si>
  <si>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</si>
  <si>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</si>
  <si>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</si>
  <si>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</si>
  <si>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</si>
  <si>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</si>
  <si>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</si>
  <si>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</si>
  <si>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</si>
  <si>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</si>
  <si>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</si>
  <si>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</si>
  <si>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</si>
  <si>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</si>
  <si>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</si>
  <si>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</si>
  <si>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</si>
  <si>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</si>
  <si>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</si>
  <si>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</si>
  <si>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</si>
  <si>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</si>
  <si>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</si>
  <si>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</si>
  <si>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</si>
  <si>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</si>
  <si>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</si>
  <si>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</si>
  <si>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</si>
  <si>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</si>
  <si>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</si>
  <si>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</si>
  <si>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</si>
  <si>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</si>
  <si>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</si>
  <si>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</si>
  <si>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</si>
  <si>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</si>
  <si>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</si>
  <si>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</si>
  <si>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</si>
  <si>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</si>
  <si>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</si>
  <si>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</si>
  <si>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</si>
  <si>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</si>
  <si>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</si>
  <si>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</si>
  <si>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</si>
  <si>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</si>
  <si>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</si>
  <si>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</si>
  <si>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</si>
  <si>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</si>
  <si>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</si>
  <si>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</si>
  <si>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</si>
  <si>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</si>
  <si>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</si>
  <si>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</si>
  <si>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</si>
  <si>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</si>
  <si>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</si>
  <si>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</si>
  <si>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</si>
  <si>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</si>
  <si>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</si>
  <si>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</si>
  <si>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</si>
  <si>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</si>
  <si>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</si>
  <si>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</si>
  <si>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</si>
  <si>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</si>
  <si>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</si>
  <si>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</si>
  <si>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</si>
  <si>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</si>
  <si>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</si>
  <si>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</si>
  <si>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</si>
  <si>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</si>
  <si>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</si>
  <si>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</si>
  <si>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</si>
  <si>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</si>
  <si>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</si>
  <si>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</si>
  <si>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</si>
  <si>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</si>
  <si>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</si>
  <si>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</si>
  <si>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</si>
  <si>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</si>
  <si>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</si>
  <si>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</si>
  <si>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</si>
  <si>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</si>
  <si>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</si>
  <si>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</si>
  <si>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</si>
  <si>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</si>
  <si>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</si>
  <si>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</si>
  <si>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</si>
  <si>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</si>
  <si>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</si>
  <si>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</si>
  <si>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</si>
  <si>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</si>
  <si>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</si>
  <si>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</si>
  <si>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</si>
  <si>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</si>
  <si>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</si>
  <si>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</si>
  <si>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</si>
  <si>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</si>
  <si>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</si>
  <si>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</si>
  <si>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</si>
  <si>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</si>
  <si>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</si>
  <si>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</si>
  <si>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</si>
  <si>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</si>
  <si>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</si>
  <si>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</si>
  <si>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</si>
  <si>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</si>
  <si>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</si>
  <si>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</si>
  <si>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</si>
  <si>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</si>
  <si>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</si>
  <si>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</si>
  <si>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</si>
  <si>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</si>
  <si>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</si>
  <si>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</si>
  <si>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</si>
  <si>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</si>
  <si>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</si>
  <si>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</si>
  <si>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</si>
  <si>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</si>
  <si>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</si>
  <si>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</si>
  <si>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</si>
  <si>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</si>
  <si>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</si>
  <si>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</si>
  <si>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</si>
  <si>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</si>
  <si>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</si>
  <si>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</si>
  <si>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</si>
  <si>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</si>
  <si>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</si>
  <si>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</si>
  <si>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</si>
  <si>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</si>
  <si>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</si>
  <si>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</si>
  <si>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</si>
  <si>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</si>
  <si>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</si>
  <si>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</si>
  <si>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</si>
  <si>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</si>
  <si>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</si>
  <si>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</si>
  <si>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</si>
  <si>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</si>
  <si>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</si>
  <si>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</si>
  <si>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</si>
  <si>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</si>
  <si>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</si>
  <si>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</si>
  <si>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</si>
  <si>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</si>
  <si>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</si>
  <si>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</si>
  <si>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</si>
  <si>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</si>
  <si>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</si>
  <si>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</si>
  <si>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</si>
  <si>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</si>
  <si>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</si>
  <si>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</si>
  <si>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</si>
  <si>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</si>
  <si>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</si>
  <si>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</si>
  <si>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</si>
  <si>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</si>
  <si>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</si>
  <si>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</si>
  <si>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</si>
  <si>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</si>
  <si>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</si>
  <si>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</si>
  <si>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</si>
  <si>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</si>
  <si>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</si>
  <si>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</si>
  <si>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</si>
  <si>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</si>
  <si>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</si>
  <si>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</si>
  <si>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</si>
  <si>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</si>
  <si>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</si>
  <si>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</si>
  <si>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</si>
  <si>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</si>
  <si>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</si>
  <si>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</si>
  <si>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</si>
  <si>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</si>
  <si>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</si>
  <si>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</si>
  <si>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</si>
  <si>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</si>
  <si>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</si>
  <si>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</si>
  <si>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</si>
  <si>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</si>
  <si>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</si>
  <si>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</si>
  <si>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</si>
  <si>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</si>
  <si>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</si>
  <si>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</si>
  <si>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</si>
  <si>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</si>
  <si>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</si>
  <si>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</si>
  <si>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</si>
  <si>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</si>
  <si>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</si>
  <si>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</si>
  <si>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</si>
  <si>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</si>
  <si>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</si>
  <si>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</si>
  <si>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</si>
  <si>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</si>
  <si>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</si>
  <si>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</si>
  <si>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</si>
  <si>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</si>
  <si>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</si>
  <si>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</si>
  <si>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</si>
  <si>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</si>
  <si>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</si>
  <si>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</si>
  <si>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</si>
  <si>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</si>
  <si>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</si>
  <si>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</si>
  <si>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</si>
  <si>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</si>
  <si>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</si>
  <si>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</si>
  <si>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</si>
  <si>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</si>
  <si>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</si>
  <si>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</si>
  <si>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</si>
  <si>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</si>
  <si>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</si>
  <si>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</si>
  <si>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</si>
  <si>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</si>
  <si>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</si>
  <si>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</si>
  <si>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</si>
  <si>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</si>
  <si>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</si>
  <si>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</si>
  <si>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</si>
  <si>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</si>
  <si>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</si>
  <si>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</si>
  <si>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</si>
  <si>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</si>
  <si>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</si>
  <si>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</si>
  <si>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</si>
  <si>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</si>
  <si>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</si>
  <si>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</si>
  <si>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</si>
  <si>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</si>
  <si>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</si>
  <si>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</si>
  <si>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</si>
  <si>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</si>
  <si>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</si>
  <si>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</si>
  <si>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</si>
  <si>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</si>
  <si>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</si>
  <si>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</si>
  <si>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</si>
  <si>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</si>
  <si>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</si>
  <si>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</si>
  <si>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</si>
  <si>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</si>
  <si>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</si>
  <si>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</si>
  <si>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</si>
  <si>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</si>
  <si>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</si>
  <si>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</si>
  <si>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</si>
  <si>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</si>
  <si>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</si>
  <si>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</si>
  <si>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</si>
  <si>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</si>
  <si>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</si>
  <si>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</si>
  <si>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</si>
  <si>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</si>
  <si>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</si>
  <si>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</si>
  <si>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</si>
  <si>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</si>
  <si>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</si>
  <si>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</si>
  <si>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</si>
  <si>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</si>
  <si>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</si>
  <si>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</si>
  <si>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</si>
  <si>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</si>
  <si>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</si>
  <si>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</si>
  <si>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</si>
  <si>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</si>
  <si>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</si>
  <si>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</si>
  <si>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</si>
  <si>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</si>
  <si>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</si>
  <si>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</si>
  <si>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</si>
  <si>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</si>
  <si>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</si>
  <si>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</si>
  <si>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</si>
  <si>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</si>
  <si>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</si>
  <si>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</si>
  <si>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</si>
  <si>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</si>
  <si>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</si>
  <si>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</si>
  <si>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</si>
  <si>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</si>
  <si>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</si>
  <si>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</si>
  <si>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</si>
  <si>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</si>
  <si>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</si>
  <si>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</si>
  <si>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</si>
  <si>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</si>
  <si>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</si>
  <si>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</si>
  <si>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</si>
  <si>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</si>
  <si>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</si>
  <si>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</si>
  <si>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</si>
  <si>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</si>
  <si>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</si>
  <si>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</si>
  <si>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</si>
  <si>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</si>
  <si>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</si>
  <si>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</si>
  <si>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</si>
  <si>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</si>
  <si>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</si>
  <si>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</si>
  <si>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</si>
  <si>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</si>
  <si>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</si>
  <si>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</si>
  <si>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</si>
  <si>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</si>
  <si>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</si>
  <si>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</si>
  <si>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</si>
  <si>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</si>
  <si>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</si>
  <si>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</si>
  <si>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</si>
  <si>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</si>
  <si>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</si>
  <si>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</si>
  <si>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</si>
  <si>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</si>
  <si>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</si>
  <si>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</si>
  <si>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</si>
  <si>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</si>
  <si>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</si>
  <si>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</si>
  <si>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</si>
  <si>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</si>
  <si>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</si>
  <si>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</si>
  <si>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</si>
  <si>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</si>
  <si>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</si>
  <si>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</si>
  <si>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</si>
  <si>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</si>
  <si>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</si>
  <si>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</si>
  <si>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</si>
  <si>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</si>
  <si>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</si>
  <si>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</si>
  <si>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</si>
  <si>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</si>
  <si>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</si>
  <si>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</si>
  <si>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</si>
  <si>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</si>
  <si>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</si>
  <si>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</si>
  <si>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</si>
  <si>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</si>
  <si>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</si>
  <si>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</si>
  <si>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</si>
  <si>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</si>
  <si>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</si>
  <si>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</si>
  <si>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</si>
  <si>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</si>
  <si>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</si>
  <si>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</si>
  <si>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</si>
  <si>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</si>
  <si>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</si>
  <si>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</si>
  <si>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</si>
  <si>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</si>
  <si>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</si>
  <si>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</si>
  <si>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</si>
  <si>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</si>
  <si>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</si>
  <si>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</si>
  <si>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</si>
  <si>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</si>
  <si>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</si>
  <si>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</si>
  <si>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</si>
  <si>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</si>
  <si>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</si>
  <si>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</si>
  <si>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</si>
  <si>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</si>
  <si>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</si>
  <si>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</si>
  <si>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</si>
  <si>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</si>
  <si>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</si>
  <si>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</si>
  <si>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</si>
  <si>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</si>
  <si>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</si>
  <si>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</si>
  <si>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</si>
  <si>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</si>
  <si>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</si>
  <si>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</si>
  <si>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</si>
  <si>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</si>
  <si>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</si>
  <si>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</si>
  <si>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</si>
  <si>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</si>
  <si>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</si>
  <si>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</si>
  <si>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</si>
  <si>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</si>
  <si>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</si>
  <si>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</si>
  <si>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</si>
  <si>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</si>
  <si>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</si>
  <si>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</si>
  <si>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</si>
  <si>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</si>
  <si>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</si>
  <si>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</si>
  <si>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</si>
  <si>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</si>
  <si>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</si>
  <si>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</si>
  <si>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</si>
  <si>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</si>
  <si>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</si>
  <si>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</si>
  <si>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</si>
  <si>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</si>
  <si>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</si>
  <si>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</si>
  <si>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</si>
  <si>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</si>
  <si>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</si>
  <si>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</si>
  <si>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</si>
  <si>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</si>
  <si>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</si>
  <si>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</si>
  <si>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</si>
  <si>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</si>
  <si>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</si>
  <si>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</si>
  <si>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</si>
  <si>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</si>
  <si>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</si>
  <si>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</si>
  <si>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</si>
  <si>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</si>
  <si>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</si>
  <si>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</si>
  <si>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</si>
  <si>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</si>
  <si>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</si>
  <si>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</si>
  <si>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</si>
  <si>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</si>
  <si>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</si>
  <si>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</si>
  <si>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</si>
  <si>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</si>
  <si>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</si>
  <si>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</si>
  <si>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</si>
  <si>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</si>
  <si>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</si>
  <si>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</si>
  <si>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</si>
  <si>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</si>
  <si>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</si>
  <si>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</si>
  <si>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</si>
  <si>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</si>
  <si>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</si>
  <si>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</si>
  <si>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</si>
  <si>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</si>
  <si>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</si>
  <si>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</si>
  <si>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</si>
  <si>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</si>
  <si>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</si>
  <si>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</si>
  <si>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</si>
  <si>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</si>
  <si>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</si>
  <si>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</si>
  <si>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</si>
  <si>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</si>
  <si>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</si>
  <si>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</si>
  <si>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</si>
  <si>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</si>
  <si>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</si>
  <si>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</si>
  <si>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</si>
  <si>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</si>
  <si>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</si>
  <si>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</si>
  <si>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</si>
  <si>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</si>
  <si>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</si>
  <si>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</si>
  <si>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</si>
  <si>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</si>
  <si>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</si>
  <si>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</si>
  <si>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</si>
  <si>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</si>
  <si>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</si>
  <si>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</si>
  <si>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</si>
  <si>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</si>
  <si>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</si>
  <si>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</si>
  <si>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</si>
  <si>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</si>
  <si>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</si>
  <si>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</si>
  <si>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</si>
  <si>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</si>
  <si>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</si>
  <si>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</si>
  <si>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</si>
  <si>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</si>
  <si>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</si>
  <si>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</si>
  <si>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</si>
  <si>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</si>
  <si>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</si>
  <si>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</si>
  <si>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</si>
  <si>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</si>
  <si>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</si>
  <si>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</si>
  <si>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</si>
  <si>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</si>
  <si>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</si>
  <si>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</si>
  <si>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</si>
  <si>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</si>
  <si>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</si>
  <si>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</si>
  <si>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</si>
  <si>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</si>
  <si>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</si>
  <si>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</si>
  <si>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</si>
  <si>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</si>
  <si>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</si>
  <si>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</si>
  <si>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</si>
  <si>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</si>
  <si>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</si>
  <si>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</si>
  <si>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</si>
  <si>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</si>
  <si>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</si>
  <si>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</si>
  <si>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</si>
  <si>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</si>
  <si>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</si>
  <si>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</si>
  <si>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</si>
  <si>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</si>
  <si>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</si>
  <si>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</si>
  <si>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</si>
  <si>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</si>
  <si>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</si>
  <si>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</si>
  <si>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</si>
  <si>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</si>
  <si>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</si>
  <si>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</si>
  <si>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</si>
  <si>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</si>
  <si>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</si>
  <si>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</si>
  <si>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</si>
  <si>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</si>
  <si>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</si>
  <si>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</si>
  <si>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</si>
  <si>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</si>
  <si>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</si>
  <si>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</si>
  <si>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</si>
  <si>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</si>
  <si>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</si>
  <si>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</si>
  <si>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</si>
  <si>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</si>
  <si>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</si>
  <si>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</si>
  <si>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</si>
  <si>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</si>
  <si>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</si>
  <si>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</si>
  <si>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</si>
  <si>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</si>
  <si>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</si>
  <si>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</si>
  <si>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</si>
  <si>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</si>
  <si>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</si>
  <si>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</si>
  <si>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</si>
  <si>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</si>
  <si>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</si>
  <si>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</si>
  <si>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</si>
  <si>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</si>
  <si>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</si>
  <si>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</si>
  <si>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</si>
  <si>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</si>
  <si>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</si>
  <si>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</si>
  <si>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</si>
  <si>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</si>
  <si>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</si>
  <si>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</si>
  <si>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</si>
  <si>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</si>
  <si>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</si>
  <si>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</si>
  <si>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</si>
  <si>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</si>
  <si>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</si>
  <si>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</si>
  <si>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</si>
  <si>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</si>
  <si>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</si>
  <si>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</si>
  <si>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</si>
  <si>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</si>
  <si>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</si>
  <si>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</si>
  <si>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</si>
  <si>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</si>
  <si>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</si>
  <si>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</si>
  <si>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</si>
  <si>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</si>
  <si>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</si>
  <si>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</si>
  <si>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</si>
  <si>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</si>
  <si>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</si>
  <si>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</si>
  <si>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</si>
  <si>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</si>
  <si>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</si>
  <si>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</si>
  <si>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</si>
  <si>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</si>
  <si>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</si>
  <si>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</si>
  <si>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</si>
  <si>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</si>
  <si>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</si>
  <si>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</si>
  <si>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</si>
  <si>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</si>
  <si>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</si>
  <si>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</si>
  <si>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</si>
  <si>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</si>
  <si>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</si>
  <si>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</si>
  <si>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</si>
  <si>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</si>
  <si>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</si>
  <si>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</si>
  <si>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</si>
  <si>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</si>
  <si>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</si>
  <si>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</si>
  <si>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</si>
  <si>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</si>
  <si>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</si>
  <si>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</si>
  <si>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</si>
  <si>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</si>
  <si>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</si>
  <si>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</si>
  <si>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</si>
  <si>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</si>
  <si>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</si>
  <si>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</si>
  <si>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</si>
  <si>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</si>
  <si>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</si>
  <si>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</si>
  <si>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</si>
  <si>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</si>
  <si>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</si>
  <si>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</si>
  <si>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</si>
  <si>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</si>
  <si>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</si>
  <si>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</si>
  <si>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</si>
  <si>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</si>
  <si>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</si>
  <si>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</si>
  <si>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</si>
  <si>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</si>
  <si>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</si>
  <si>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</si>
  <si>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</si>
  <si>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</si>
  <si>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</si>
  <si>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</si>
  <si>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</si>
  <si>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</si>
  <si>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</si>
  <si>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</si>
  <si>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</si>
  <si>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</si>
  <si>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</si>
  <si>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</si>
  <si>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</si>
  <si>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</si>
  <si>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</si>
  <si>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</si>
  <si>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</si>
  <si>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</si>
  <si>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</si>
  <si>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</si>
  <si>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</si>
  <si>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</si>
  <si>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</si>
  <si>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</si>
  <si>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</si>
  <si>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</si>
  <si>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</si>
  <si>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</si>
  <si>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</si>
  <si>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</si>
  <si>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</si>
  <si>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</si>
  <si>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</si>
  <si>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</si>
  <si>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</si>
  <si>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</si>
  <si>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</si>
  <si>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</si>
  <si>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</si>
  <si>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</si>
  <si>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</si>
  <si>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</si>
  <si>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</si>
  <si>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</si>
  <si>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</si>
  <si>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</si>
  <si>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</si>
  <si>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</si>
  <si>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</si>
  <si>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</si>
  <si>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</si>
  <si>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</si>
  <si>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</si>
  <si>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Randolph</t>
  </si>
  <si>
    <t>1525 Locust St.</t>
  </si>
  <si>
    <t>Red Bud</t>
  </si>
  <si>
    <t>Egyptian Group Insurance Trust</t>
  </si>
  <si>
    <t>PSIC</t>
  </si>
  <si>
    <t>Page 11, Line 106 - Head Start - $13,000.</t>
  </si>
  <si>
    <t>Page 11, Line 107 - Miscellaneous - $790.</t>
  </si>
  <si>
    <t>Page 14, Line 272 - DORS - $25,802.</t>
  </si>
  <si>
    <t>Red Bud Community Unit School District No. 132</t>
  </si>
  <si>
    <t>USDA</t>
  </si>
  <si>
    <t>PASSED THROUGH ISBE</t>
  </si>
  <si>
    <t xml:space="preserve">  Commodities</t>
  </si>
  <si>
    <t xml:space="preserve">  DOD Fresh</t>
  </si>
  <si>
    <t xml:space="preserve">  School Lunch Program</t>
  </si>
  <si>
    <t>2017-4210</t>
  </si>
  <si>
    <t>2018-4210</t>
  </si>
  <si>
    <t xml:space="preserve">  School Breakfast Program</t>
  </si>
  <si>
    <t>2017-4220</t>
  </si>
  <si>
    <t>2018-4220</t>
  </si>
  <si>
    <t>TOTAL USDA</t>
  </si>
  <si>
    <t>U.S. DEPT. OF EDUCATION</t>
  </si>
  <si>
    <t xml:space="preserve">  (M) IDEA Pre-School</t>
  </si>
  <si>
    <t>84.173A</t>
  </si>
  <si>
    <t>2017-4600</t>
  </si>
  <si>
    <t>2018-4600</t>
  </si>
  <si>
    <t xml:space="preserve">  (M) IDEA Fow Through</t>
  </si>
  <si>
    <t>84.027A</t>
  </si>
  <si>
    <t>2017-4620</t>
  </si>
  <si>
    <t>2018-4620</t>
  </si>
  <si>
    <t>TOTAL ISBE</t>
  </si>
  <si>
    <t>PASSED THROUGH IDHS</t>
  </si>
  <si>
    <t xml:space="preserve">  Step Grant</t>
  </si>
  <si>
    <t>84.126A</t>
  </si>
  <si>
    <t>46XWF00027</t>
  </si>
  <si>
    <t>TOTAL DEPT. OF EDUCATION</t>
  </si>
  <si>
    <t>PASSED THROUGH IDHFS</t>
  </si>
  <si>
    <t xml:space="preserve">  Medicaid Matching</t>
  </si>
  <si>
    <t>2017-4991</t>
  </si>
  <si>
    <t>2018-4991</t>
  </si>
  <si>
    <t>TOTAL DEPT. OF HEALTH &amp; HUMAN SERVICES</t>
  </si>
  <si>
    <t>U.S. DEPT. OF HEALTH &amp; HUMAN SERVICES</t>
  </si>
  <si>
    <t>TOTAL FEDERAL FINANCIAL ASSISTANCE</t>
  </si>
  <si>
    <r>
      <t xml:space="preserve">The accompanying Schedule of Expenditures of Federal Awards includes the federal grant activity of </t>
    </r>
    <r>
      <rPr>
        <b/>
        <sz val="9"/>
        <rFont val="Calibri"/>
        <family val="2"/>
        <scheme val="minor"/>
      </rPr>
      <t>Perandoe Special Education District</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</si>
  <si>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IDEA Flow Through</t>
  </si>
  <si>
    <t>84.027a</t>
  </si>
  <si>
    <t xml:space="preserve">  Red Bud #132</t>
  </si>
  <si>
    <t xml:space="preserve">  Sparta #140</t>
  </si>
  <si>
    <t xml:space="preserve">  Chester #139</t>
  </si>
  <si>
    <t xml:space="preserve">  Coulterville #1</t>
  </si>
  <si>
    <t xml:space="preserve">  Prairie du Rocher #134</t>
  </si>
  <si>
    <t xml:space="preserve">  Steeleville #138</t>
  </si>
  <si>
    <t xml:space="preserve">  Valmeyer #3</t>
  </si>
  <si>
    <t xml:space="preserve">  Waterloo #5</t>
  </si>
  <si>
    <t>IDEA Special Education</t>
  </si>
  <si>
    <t>NONE</t>
  </si>
  <si>
    <t>17-01</t>
  </si>
  <si>
    <t xml:space="preserve">The District was unable to prepare its financial </t>
  </si>
  <si>
    <t>statements in accordance with U.S. GAAP basis of</t>
  </si>
  <si>
    <t>accounting.</t>
  </si>
  <si>
    <t xml:space="preserve">           Corrective action was taken.</t>
  </si>
  <si>
    <t>Perandoe SpEd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</si>
</sst>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936048</xdr:colOff>
          <xdr:row>3</xdr:row>
          <xdr:rowOff>104776</xdr:rowOff>
        </xdr:from>
        <xdr:to>
          <xdr:col>1</xdr:col>
          <xdr:colOff>1850448</xdr:colOff>
          <xdr:row>7</xdr:row>
          <xdr:rowOff>142876</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c r="C5" s="26" t="s">
        <v>966</v>
      </c>
      <c r="D5" s="84"/>
      <c r="E5" s="84"/>
      <c r="H5" s="38"/>
      <c r="I5" s="2009" t="s">
        <v>701</v>
      </c>
      <c r="J5" s="2008"/>
      <c r="K5" s="2008"/>
      <c r="L5" s="2008"/>
      <c r="M5" s="2008"/>
      <c r="N5" s="2008"/>
      <c r="O5" s="2008"/>
      <c r="P5" s="2008"/>
      <c r="Q5" s="2008"/>
      <c r="R5" s="2008"/>
      <c r="S5" s="2008"/>
    </row>
    <row r="6" spans="1:28" ht="14.1" customHeight="1" x14ac:dyDescent="0.2">
      <c r="B6" s="104" t="s">
        <v>2076</v>
      </c>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2076</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45079132061</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2086</v>
      </c>
      <c r="B15" s="2037"/>
      <c r="C15" s="2037"/>
      <c r="D15" s="2037"/>
      <c r="E15" s="2037"/>
      <c r="F15" s="2037"/>
      <c r="G15" s="2037"/>
      <c r="H15" s="2038"/>
      <c r="T15" s="2043" t="s">
        <v>2078</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2146</v>
      </c>
      <c r="B17" s="1994"/>
      <c r="C17" s="1994"/>
      <c r="D17" s="1994"/>
      <c r="E17" s="1994"/>
      <c r="F17" s="1994"/>
      <c r="G17" s="1994"/>
      <c r="H17" s="2019"/>
      <c r="T17" s="2050" t="s">
        <v>2079</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2087</v>
      </c>
      <c r="B19" s="1979"/>
      <c r="C19" s="1979"/>
      <c r="D19" s="1979"/>
      <c r="E19" s="1979"/>
      <c r="F19" s="1979"/>
      <c r="G19" s="1979"/>
      <c r="H19" s="1959"/>
      <c r="I19" s="30"/>
      <c r="J19" s="99"/>
      <c r="K19" s="40"/>
      <c r="L19" s="38"/>
      <c r="M19" s="112" t="s">
        <v>333</v>
      </c>
      <c r="P19" s="27"/>
      <c r="Q19" s="27"/>
      <c r="R19" s="27"/>
      <c r="S19" s="31"/>
      <c r="T19" s="2033" t="s">
        <v>2080</v>
      </c>
      <c r="U19" s="1958"/>
      <c r="V19" s="1958"/>
      <c r="W19" s="1959"/>
      <c r="X19" s="2048" t="s">
        <v>2081</v>
      </c>
      <c r="Y19" s="2049"/>
      <c r="Z19" s="2046">
        <v>62226</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2088</v>
      </c>
      <c r="B21" s="1958"/>
      <c r="C21" s="1958"/>
      <c r="D21" s="1958"/>
      <c r="E21" s="1958"/>
      <c r="F21" s="1958"/>
      <c r="G21" s="1958"/>
      <c r="H21" s="1959"/>
      <c r="I21" s="2013" t="s">
        <v>699</v>
      </c>
      <c r="J21" s="2008"/>
      <c r="K21" s="2008"/>
      <c r="L21" s="2008"/>
      <c r="M21" s="2008"/>
      <c r="N21" s="2008"/>
      <c r="O21" s="2008"/>
      <c r="P21" s="2008"/>
      <c r="Q21" s="2008"/>
      <c r="R21" s="2008"/>
      <c r="S21" s="2014"/>
      <c r="T21" s="2057" t="s">
        <v>2082</v>
      </c>
      <c r="U21" s="2058"/>
      <c r="V21" s="2058"/>
      <c r="W21" s="2058"/>
      <c r="X21" s="2063" t="s">
        <v>2083</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2084</v>
      </c>
      <c r="U23" s="2056"/>
      <c r="V23" s="2056"/>
      <c r="W23" s="2056"/>
      <c r="X23" s="2060">
        <v>43434</v>
      </c>
      <c r="Y23" s="2061"/>
      <c r="Z23" s="2061"/>
      <c r="AA23" s="2062"/>
    </row>
    <row r="24" spans="1:27" ht="14.1" customHeight="1" x14ac:dyDescent="0.2">
      <c r="A24" s="88" t="s">
        <v>698</v>
      </c>
      <c r="B24" s="49"/>
      <c r="C24" s="49"/>
      <c r="D24" s="49"/>
      <c r="E24" s="49"/>
      <c r="F24" s="49"/>
      <c r="G24" s="49"/>
      <c r="H24" s="61"/>
      <c r="J24" s="1980" t="str">
        <f>IF(B5="x",IF(AUDITCHECK!D29="AFR form Incomplete.","",IF(AUDITCHECK!D29="Deficit reduction plan is required.","School District must complete a deficit reduction plan in the 2018-2019 Budget",)),"")</f>
        <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62278</v>
      </c>
      <c r="B25" s="1958"/>
      <c r="C25" s="1958"/>
      <c r="D25" s="1958"/>
      <c r="E25" s="1958"/>
      <c r="F25" s="1958"/>
      <c r="G25" s="1958"/>
      <c r="H25" s="1959"/>
      <c r="I25" s="113"/>
      <c r="J25" s="1982"/>
      <c r="K25" s="1982"/>
      <c r="L25" s="1982"/>
      <c r="M25" s="1982"/>
      <c r="N25" s="1982"/>
      <c r="O25" s="1982"/>
      <c r="P25" s="1982"/>
      <c r="Q25" s="1982"/>
      <c r="R25" s="1982"/>
      <c r="S25" s="1983"/>
      <c r="T25" s="2053" t="s">
        <v>2085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c r="B42" s="1977"/>
      <c r="C42" s="1978"/>
      <c r="D42" s="1976"/>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9" t="s">
        <v>1709</v>
      </c>
    </row>
    <row r="23" spans="1:5" x14ac:dyDescent="0.2">
      <c r="A23" s="168"/>
      <c r="B23" s="162" t="s">
        <v>1967</v>
      </c>
      <c r="D23" s="167" t="s">
        <v>658</v>
      </c>
      <c r="E23" s="1859"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6366146</v>
      </c>
      <c r="E16" s="356"/>
      <c r="F16" s="1755">
        <f>SUM('Acct Summary 7-8'!C17,'Acct Summary 7-8'!D17,'Acct Summary 7-8'!F17)</f>
        <v>5692473</v>
      </c>
      <c r="G16" s="356"/>
      <c r="H16" s="1755">
        <f>SUM(D16-F16)</f>
        <v>673673</v>
      </c>
      <c r="I16" s="222"/>
      <c r="J16" s="1755">
        <f>SUM('Acct Summary 7-8'!C81,'Acct Summary 7-8'!D81,'Acct Summary 7-8'!F81,'Acct Summary 7-8'!I81)</f>
        <v>2492211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Perandoe SpEd District</v>
      </c>
      <c r="E7" s="391"/>
      <c r="G7" s="252"/>
      <c r="H7" s="387"/>
      <c r="I7" s="387"/>
      <c r="J7" s="387"/>
      <c r="K7" s="387"/>
      <c r="L7" s="329"/>
      <c r="M7" s="329"/>
      <c r="N7" s="329"/>
      <c r="O7" s="329"/>
      <c r="P7" s="329"/>
    </row>
    <row r="8" spans="1:18" ht="12.75" x14ac:dyDescent="0.2">
      <c r="A8" s="329"/>
      <c r="B8" s="329"/>
      <c r="C8" s="389" t="s">
        <v>1187</v>
      </c>
      <c r="D8" s="392">
        <f>COVER!A13</f>
        <v>45079132061</v>
      </c>
      <c r="E8" s="393"/>
      <c r="G8" s="329"/>
      <c r="H8" s="329"/>
      <c r="I8" s="329"/>
      <c r="J8" s="329"/>
      <c r="K8" s="329"/>
      <c r="L8" s="329"/>
      <c r="M8" s="329"/>
      <c r="N8" s="329"/>
      <c r="O8" s="329"/>
      <c r="P8" s="329"/>
    </row>
    <row r="9" spans="1:18" ht="12.75" x14ac:dyDescent="0.2">
      <c r="A9" s="329"/>
      <c r="B9" s="329"/>
      <c r="C9" s="389" t="s">
        <v>737</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2492211</v>
      </c>
      <c r="I12" s="404"/>
      <c r="J12" s="404"/>
      <c r="K12" s="405">
        <f>TRUNC((H12/H13*100000),5)/100000</f>
        <v>0.39147876910000001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6366146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5692473</v>
      </c>
      <c r="I17" s="404"/>
      <c r="J17" s="416"/>
      <c r="K17" s="405">
        <f>TRUNC((H17/H18*100000),5)/100000</f>
        <v>0.89417883279999999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6366146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2492211</v>
      </c>
      <c r="I24" s="422"/>
      <c r="J24" s="422"/>
      <c r="K24" s="423">
        <f>TRUNC(((H24/H25*100000)/100000),2)</f>
        <v>157.61000000000001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15812.424999999999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A8" sqref="A8"/>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2492211</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2492211</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51015</v>
      </c>
      <c r="N16" s="484"/>
    </row>
    <row r="17" spans="1:14" s="485" customFormat="1" ht="12.75" customHeight="1" x14ac:dyDescent="0.2">
      <c r="A17" s="482" t="s">
        <v>1470</v>
      </c>
      <c r="B17" s="483">
        <v>230</v>
      </c>
      <c r="C17" s="477"/>
      <c r="D17" s="477"/>
      <c r="E17" s="477"/>
      <c r="F17" s="477"/>
      <c r="G17" s="477"/>
      <c r="H17" s="477"/>
      <c r="I17" s="477"/>
      <c r="J17" s="477"/>
      <c r="K17" s="477"/>
      <c r="L17" s="477"/>
      <c r="M17" s="467">
        <v>742128</v>
      </c>
      <c r="N17" s="484"/>
    </row>
    <row r="18" spans="1:14" s="485" customFormat="1" ht="12.75" customHeight="1" x14ac:dyDescent="0.2">
      <c r="A18" s="482" t="s">
        <v>1471</v>
      </c>
      <c r="B18" s="483">
        <v>240</v>
      </c>
      <c r="C18" s="477"/>
      <c r="D18" s="477"/>
      <c r="E18" s="477"/>
      <c r="F18" s="477"/>
      <c r="G18" s="477"/>
      <c r="H18" s="477"/>
      <c r="I18" s="477"/>
      <c r="J18" s="477"/>
      <c r="K18" s="477"/>
      <c r="L18" s="477"/>
      <c r="M18" s="467">
        <v>41198</v>
      </c>
      <c r="N18" s="484"/>
    </row>
    <row r="19" spans="1:14" s="485" customFormat="1" ht="12.75" customHeight="1" x14ac:dyDescent="0.2">
      <c r="A19" s="482" t="s">
        <v>1472</v>
      </c>
      <c r="B19" s="483">
        <v>250</v>
      </c>
      <c r="C19" s="477"/>
      <c r="D19" s="477"/>
      <c r="E19" s="477"/>
      <c r="F19" s="477"/>
      <c r="G19" s="477"/>
      <c r="H19" s="477"/>
      <c r="I19" s="477"/>
      <c r="J19" s="477"/>
      <c r="K19" s="477"/>
      <c r="L19" s="477"/>
      <c r="M19" s="467">
        <v>602100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1436441</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2492211</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1436441</v>
      </c>
      <c r="N40" s="497"/>
    </row>
    <row r="41" spans="1:14" ht="13.5" customHeight="1" thickBot="1" x14ac:dyDescent="0.25">
      <c r="A41" s="1758" t="s">
        <v>676</v>
      </c>
      <c r="B41" s="1728"/>
      <c r="C41" s="1710">
        <f>(SUM(C34,C37,C38,C39))</f>
        <v>2492211</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1436441</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A8" sqref="A8"/>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3207819</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611904</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2546423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6366146</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1828134</v>
      </c>
      <c r="D9" s="516"/>
      <c r="E9" s="481"/>
      <c r="F9" s="481"/>
      <c r="G9" s="517"/>
      <c r="H9" s="481"/>
      <c r="I9" s="509" t="s">
        <v>1231</v>
      </c>
      <c r="J9" s="478"/>
      <c r="K9" s="481"/>
      <c r="L9" s="347"/>
    </row>
    <row r="10" spans="1:13" s="519" customFormat="1" ht="13.5" thickBot="1" x14ac:dyDescent="0.25">
      <c r="A10" s="1758" t="s">
        <v>1235</v>
      </c>
      <c r="B10" s="1731"/>
      <c r="C10" s="1710">
        <f>SUM(C8:C9)</f>
        <v>8194280</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1687088</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2787365</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1218020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5692473</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1828134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7520607</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673673</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673673</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2070</v>
      </c>
      <c r="B79" s="534"/>
      <c r="C79" s="478">
        <v>1818538</v>
      </c>
      <c r="D79" s="535"/>
      <c r="E79" s="535"/>
      <c r="F79" s="535"/>
      <c r="G79" s="535"/>
      <c r="H79" s="535"/>
      <c r="I79" s="535"/>
      <c r="J79" s="535"/>
      <c r="K79" s="535"/>
      <c r="L79" s="347"/>
    </row>
    <row r="80" spans="1:12" x14ac:dyDescent="0.2">
      <c r="A80" s="2144" t="s">
        <v>1897</v>
      </c>
      <c r="B80" s="2145"/>
      <c r="C80" s="467"/>
      <c r="D80" s="467"/>
      <c r="E80" s="467"/>
      <c r="F80" s="467"/>
      <c r="G80" s="467"/>
      <c r="H80" s="467"/>
      <c r="I80" s="467"/>
      <c r="J80" s="467"/>
      <c r="K80" s="467"/>
      <c r="L80" s="347"/>
    </row>
    <row r="81" spans="1:12" ht="13.5" thickBot="1" x14ac:dyDescent="0.25">
      <c r="A81" s="2136" t="s">
        <v>2071</v>
      </c>
      <c r="B81" s="2137"/>
      <c r="C81" s="1710">
        <f>(SUM(C78:C80))</f>
        <v>2492211</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673673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0.27031138214220224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 sqref="A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1904</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1555286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1555286</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2146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2146</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4715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4740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320742</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1311115</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13000</v>
      </c>
      <c r="D106" s="489"/>
      <c r="E106" s="467"/>
      <c r="F106" s="467"/>
      <c r="G106" s="467"/>
      <c r="H106" s="467"/>
      <c r="I106" s="521"/>
      <c r="J106" s="467"/>
      <c r="K106" s="467"/>
    </row>
    <row r="107" spans="1:12" ht="12.75" customHeight="1" x14ac:dyDescent="0.2">
      <c r="A107" s="463" t="s">
        <v>80</v>
      </c>
      <c r="B107" s="470">
        <v>1999</v>
      </c>
      <c r="C107" s="551">
        <v>790</v>
      </c>
      <c r="D107" s="466"/>
      <c r="E107" s="466"/>
      <c r="F107" s="466"/>
      <c r="G107" s="466"/>
      <c r="H107" s="466"/>
      <c r="I107" s="466"/>
      <c r="J107" s="467"/>
      <c r="K107" s="466"/>
    </row>
    <row r="108" spans="1:12" ht="12.75" customHeight="1" thickBot="1" x14ac:dyDescent="0.25">
      <c r="A108" s="1730" t="s">
        <v>508</v>
      </c>
      <c r="B108" s="1734"/>
      <c r="C108" s="1729">
        <f>SUM(C95:C107)</f>
        <v>1645647</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3207819</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407442</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407442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203720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203720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742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204462</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611904</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1905</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26249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15259</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41508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53633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1966484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2020117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51380</v>
      </c>
      <c r="D270" s="576"/>
      <c r="E270" s="468"/>
      <c r="F270" s="576"/>
      <c r="G270" s="576"/>
      <c r="H270" s="468"/>
      <c r="I270" s="468"/>
      <c r="J270" s="468"/>
      <c r="K270" s="468"/>
    </row>
    <row r="271" spans="1:11" ht="12.75" customHeight="1" thickTop="1" thickBot="1" x14ac:dyDescent="0.25">
      <c r="A271" s="463" t="s">
        <v>395</v>
      </c>
      <c r="B271" s="470">
        <v>4992</v>
      </c>
      <c r="C271" s="575">
        <v>407616</v>
      </c>
      <c r="D271" s="576"/>
      <c r="E271" s="468"/>
      <c r="F271" s="576"/>
      <c r="G271" s="576"/>
      <c r="H271" s="468"/>
      <c r="I271" s="468"/>
      <c r="J271" s="468"/>
      <c r="K271" s="468"/>
    </row>
    <row r="272" spans="1:11" s="594" customFormat="1" ht="12.75" customHeight="1" thickTop="1" thickBot="1" x14ac:dyDescent="0.25">
      <c r="A272" s="563" t="s">
        <v>77</v>
      </c>
      <c r="B272" s="557">
        <v>4999</v>
      </c>
      <c r="C272" s="575">
        <v>25802</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2546423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2546423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6366146</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8" sqref="A8"/>
      <selection pane="bottomLeft"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1214659</v>
      </c>
      <c r="D8" s="466">
        <v>426280</v>
      </c>
      <c r="E8" s="466">
        <v>25186</v>
      </c>
      <c r="F8" s="466">
        <v>20963</v>
      </c>
      <c r="G8" s="466"/>
      <c r="H8" s="466"/>
      <c r="I8" s="467"/>
      <c r="J8" s="467"/>
      <c r="K8" s="1693">
        <f t="shared" si="0"/>
        <v>1687088</v>
      </c>
      <c r="L8" s="466">
        <v>1708615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1214659</v>
      </c>
      <c r="D33" s="1692">
        <f t="shared" ref="D33:L33" si="1">SUM(D5:D32)</f>
        <v>426280</v>
      </c>
      <c r="E33" s="1692">
        <f t="shared" si="1"/>
        <v>25186</v>
      </c>
      <c r="F33" s="1692">
        <f t="shared" si="1"/>
        <v>20963</v>
      </c>
      <c r="G33" s="1692">
        <f t="shared" si="1"/>
        <v>0</v>
      </c>
      <c r="H33" s="1692">
        <f t="shared" si="1"/>
        <v>0</v>
      </c>
      <c r="I33" s="1692">
        <f t="shared" si="1"/>
        <v>0</v>
      </c>
      <c r="J33" s="1692">
        <f t="shared" si="1"/>
        <v>0</v>
      </c>
      <c r="K33" s="1692">
        <f t="shared" si="1"/>
        <v>1687088</v>
      </c>
      <c r="L33" s="1692">
        <f t="shared" si="1"/>
        <v>1708615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591322</v>
      </c>
      <c r="D36" s="481">
        <v>166202</v>
      </c>
      <c r="E36" s="481">
        <v>5264</v>
      </c>
      <c r="F36" s="481">
        <v>3438</v>
      </c>
      <c r="G36" s="481"/>
      <c r="H36" s="481"/>
      <c r="I36" s="467"/>
      <c r="J36" s="467"/>
      <c r="K36" s="1693">
        <f t="shared" ref="K36:K41" si="2">SUM(C36:J36)</f>
        <v>766226</v>
      </c>
      <c r="L36" s="466">
        <v>782296</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216000</v>
      </c>
      <c r="D38" s="466">
        <v>64662</v>
      </c>
      <c r="E38" s="466">
        <v>9021</v>
      </c>
      <c r="F38" s="466">
        <v>4380</v>
      </c>
      <c r="G38" s="466"/>
      <c r="H38" s="466"/>
      <c r="I38" s="467"/>
      <c r="J38" s="467"/>
      <c r="K38" s="1693">
        <f t="shared" si="2"/>
        <v>294063</v>
      </c>
      <c r="L38" s="466">
        <v>303449</v>
      </c>
    </row>
    <row r="39" spans="1:14" x14ac:dyDescent="0.2">
      <c r="A39" s="1526" t="s">
        <v>208</v>
      </c>
      <c r="B39" s="615">
        <v>2140</v>
      </c>
      <c r="C39" s="466">
        <v>432161</v>
      </c>
      <c r="D39" s="466">
        <v>126771</v>
      </c>
      <c r="E39" s="466">
        <v>4861</v>
      </c>
      <c r="F39" s="466">
        <v>9867</v>
      </c>
      <c r="G39" s="466"/>
      <c r="H39" s="466"/>
      <c r="I39" s="467"/>
      <c r="J39" s="467"/>
      <c r="K39" s="1693">
        <f t="shared" si="2"/>
        <v>573660</v>
      </c>
      <c r="L39" s="466">
        <v>566006</v>
      </c>
    </row>
    <row r="40" spans="1:14" x14ac:dyDescent="0.2">
      <c r="A40" s="1526" t="s">
        <v>209</v>
      </c>
      <c r="B40" s="615">
        <v>2150</v>
      </c>
      <c r="C40" s="466">
        <v>41806</v>
      </c>
      <c r="D40" s="466">
        <v>13495</v>
      </c>
      <c r="E40" s="466">
        <v>3991</v>
      </c>
      <c r="F40" s="466">
        <v>520</v>
      </c>
      <c r="G40" s="466"/>
      <c r="H40" s="466"/>
      <c r="I40" s="467">
        <v>5040</v>
      </c>
      <c r="J40" s="467"/>
      <c r="K40" s="1693">
        <f t="shared" si="2"/>
        <v>64852</v>
      </c>
      <c r="L40" s="466">
        <v>63270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1281289</v>
      </c>
      <c r="D42" s="1692">
        <f t="shared" ref="D42:L42" si="3">SUM(D36:D41)</f>
        <v>371130</v>
      </c>
      <c r="E42" s="1692">
        <f t="shared" si="3"/>
        <v>23137</v>
      </c>
      <c r="F42" s="1692">
        <f t="shared" si="3"/>
        <v>18205</v>
      </c>
      <c r="G42" s="1692">
        <f t="shared" si="3"/>
        <v>0</v>
      </c>
      <c r="H42" s="1692">
        <f t="shared" si="3"/>
        <v>0</v>
      </c>
      <c r="I42" s="1692">
        <f t="shared" si="3"/>
        <v>5040</v>
      </c>
      <c r="J42" s="1692">
        <f t="shared" si="3"/>
        <v>0</v>
      </c>
      <c r="K42" s="1692">
        <f t="shared" si="3"/>
        <v>1698801</v>
      </c>
      <c r="L42" s="1692">
        <f t="shared" si="3"/>
        <v>1715021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22617</v>
      </c>
      <c r="D44" s="481">
        <v>10490</v>
      </c>
      <c r="E44" s="481">
        <v>50802</v>
      </c>
      <c r="F44" s="481">
        <v>4184</v>
      </c>
      <c r="G44" s="481"/>
      <c r="H44" s="481"/>
      <c r="I44" s="467"/>
      <c r="J44" s="467"/>
      <c r="K44" s="1694">
        <f>SUM(C44:J44)</f>
        <v>88093</v>
      </c>
      <c r="L44" s="481">
        <v>104687</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22617</v>
      </c>
      <c r="D47" s="1692">
        <f t="shared" ref="D47:K47" si="4">SUM(D44:D46)</f>
        <v>10490</v>
      </c>
      <c r="E47" s="1692">
        <f t="shared" si="4"/>
        <v>50802</v>
      </c>
      <c r="F47" s="1692">
        <f t="shared" si="4"/>
        <v>4184</v>
      </c>
      <c r="G47" s="1692">
        <f t="shared" si="4"/>
        <v>0</v>
      </c>
      <c r="H47" s="1692">
        <f t="shared" si="4"/>
        <v>0</v>
      </c>
      <c r="I47" s="1692">
        <f t="shared" si="4"/>
        <v>0</v>
      </c>
      <c r="J47" s="1692">
        <f t="shared" si="4"/>
        <v>0</v>
      </c>
      <c r="K47" s="1692">
        <f t="shared" si="4"/>
        <v>88093</v>
      </c>
      <c r="L47" s="1692">
        <f>SUM(L44:L46)</f>
        <v>104687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v>360768</v>
      </c>
      <c r="D50" s="466">
        <v>90323</v>
      </c>
      <c r="E50" s="466">
        <v>138521</v>
      </c>
      <c r="F50" s="466">
        <v>35526</v>
      </c>
      <c r="G50" s="466"/>
      <c r="H50" s="466"/>
      <c r="I50" s="467">
        <v>16843</v>
      </c>
      <c r="J50" s="467"/>
      <c r="K50" s="1694">
        <f>SUM(C50:J50)</f>
        <v>641981</v>
      </c>
      <c r="L50" s="466">
        <v>642104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360768</v>
      </c>
      <c r="D53" s="1692">
        <f t="shared" ref="D53:L53" si="5">SUM(D49:D52)</f>
        <v>90323</v>
      </c>
      <c r="E53" s="1692">
        <f t="shared" si="5"/>
        <v>138521</v>
      </c>
      <c r="F53" s="1692">
        <f t="shared" si="5"/>
        <v>35526</v>
      </c>
      <c r="G53" s="1692">
        <f t="shared" si="5"/>
        <v>0</v>
      </c>
      <c r="H53" s="1692">
        <f t="shared" si="5"/>
        <v>0</v>
      </c>
      <c r="I53" s="1692">
        <f t="shared" si="5"/>
        <v>16843</v>
      </c>
      <c r="J53" s="1692">
        <f t="shared" si="5"/>
        <v>0</v>
      </c>
      <c r="K53" s="1692">
        <f t="shared" si="5"/>
        <v>641981</v>
      </c>
      <c r="L53" s="1692">
        <f t="shared" si="5"/>
        <v>642104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56100</v>
      </c>
      <c r="D60" s="466">
        <v>15561</v>
      </c>
      <c r="E60" s="466"/>
      <c r="F60" s="466"/>
      <c r="G60" s="466"/>
      <c r="H60" s="466"/>
      <c r="I60" s="467"/>
      <c r="J60" s="467"/>
      <c r="K60" s="1694">
        <f t="shared" si="7"/>
        <v>71661</v>
      </c>
      <c r="L60" s="466">
        <v>71663</v>
      </c>
      <c r="M60" s="610"/>
      <c r="N60" s="610"/>
    </row>
    <row r="61" spans="1:14" s="343" customFormat="1" x14ac:dyDescent="0.2">
      <c r="A61" s="1526" t="s">
        <v>206</v>
      </c>
      <c r="B61" s="615">
        <v>2540</v>
      </c>
      <c r="C61" s="466">
        <v>33415</v>
      </c>
      <c r="D61" s="466">
        <v>14285</v>
      </c>
      <c r="E61" s="466">
        <v>20486</v>
      </c>
      <c r="F61" s="466">
        <v>48918</v>
      </c>
      <c r="G61" s="466">
        <v>51182</v>
      </c>
      <c r="H61" s="466"/>
      <c r="I61" s="467"/>
      <c r="J61" s="467"/>
      <c r="K61" s="1694">
        <f t="shared" si="7"/>
        <v>168286</v>
      </c>
      <c r="L61" s="466">
        <v>482617</v>
      </c>
      <c r="M61" s="610"/>
      <c r="N61" s="610"/>
    </row>
    <row r="62" spans="1:14" s="343" customFormat="1" x14ac:dyDescent="0.2">
      <c r="A62" s="1526" t="s">
        <v>1010</v>
      </c>
      <c r="B62" s="615">
        <v>2550</v>
      </c>
      <c r="C62" s="466"/>
      <c r="D62" s="466"/>
      <c r="E62" s="466">
        <v>3410</v>
      </c>
      <c r="F62" s="466">
        <v>714</v>
      </c>
      <c r="G62" s="466"/>
      <c r="H62" s="466"/>
      <c r="I62" s="467"/>
      <c r="J62" s="467"/>
      <c r="K62" s="1694">
        <f t="shared" si="7"/>
        <v>4124</v>
      </c>
      <c r="L62" s="466">
        <v>4500</v>
      </c>
      <c r="M62" s="610"/>
      <c r="N62" s="610"/>
    </row>
    <row r="63" spans="1:14" s="610" customFormat="1" x14ac:dyDescent="0.2">
      <c r="A63" s="1526" t="s">
        <v>102</v>
      </c>
      <c r="B63" s="615">
        <v>2560</v>
      </c>
      <c r="C63" s="466">
        <v>49777</v>
      </c>
      <c r="D63" s="466">
        <v>21909</v>
      </c>
      <c r="E63" s="466">
        <v>495</v>
      </c>
      <c r="F63" s="466">
        <v>29855</v>
      </c>
      <c r="G63" s="466"/>
      <c r="H63" s="466"/>
      <c r="I63" s="467"/>
      <c r="J63" s="467"/>
      <c r="K63" s="1694">
        <f t="shared" si="7"/>
        <v>102036</v>
      </c>
      <c r="L63" s="466">
        <v>56072</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139292</v>
      </c>
      <c r="D65" s="1692">
        <f t="shared" ref="D65:L65" si="8">SUM(D59:D64)</f>
        <v>51755</v>
      </c>
      <c r="E65" s="1692">
        <f t="shared" si="8"/>
        <v>24391</v>
      </c>
      <c r="F65" s="1692">
        <f t="shared" si="8"/>
        <v>79487</v>
      </c>
      <c r="G65" s="1692">
        <f t="shared" si="8"/>
        <v>51182</v>
      </c>
      <c r="H65" s="1692">
        <f t="shared" si="8"/>
        <v>0</v>
      </c>
      <c r="I65" s="1692">
        <f t="shared" si="8"/>
        <v>0</v>
      </c>
      <c r="J65" s="1692">
        <f t="shared" si="8"/>
        <v>0</v>
      </c>
      <c r="K65" s="1692">
        <f t="shared" si="8"/>
        <v>346107</v>
      </c>
      <c r="L65" s="1692">
        <f t="shared" si="8"/>
        <v>614852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v>12383</v>
      </c>
      <c r="F70" s="466"/>
      <c r="G70" s="466"/>
      <c r="H70" s="466"/>
      <c r="I70" s="467"/>
      <c r="J70" s="467"/>
      <c r="K70" s="1694">
        <f>SUM(C70:J70)</f>
        <v>12383</v>
      </c>
      <c r="L70" s="466">
        <v>12385</v>
      </c>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12383</v>
      </c>
      <c r="F72" s="1692">
        <f t="shared" si="9"/>
        <v>0</v>
      </c>
      <c r="G72" s="1692">
        <f t="shared" si="9"/>
        <v>0</v>
      </c>
      <c r="H72" s="1692">
        <f t="shared" si="9"/>
        <v>0</v>
      </c>
      <c r="I72" s="1692">
        <f t="shared" si="9"/>
        <v>0</v>
      </c>
      <c r="J72" s="1692">
        <f t="shared" si="9"/>
        <v>0</v>
      </c>
      <c r="K72" s="1692">
        <f t="shared" si="9"/>
        <v>12383</v>
      </c>
      <c r="L72" s="1692">
        <f>SUM(L67:L71)</f>
        <v>12385</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1803966</v>
      </c>
      <c r="D74" s="1699">
        <f t="shared" ref="D74:K74" si="10">SUM(D42,D47,D53,D57,D65,D72,D73)</f>
        <v>523698</v>
      </c>
      <c r="E74" s="1699">
        <f t="shared" si="10"/>
        <v>249234</v>
      </c>
      <c r="F74" s="1699">
        <f t="shared" si="10"/>
        <v>137402</v>
      </c>
      <c r="G74" s="1699">
        <f t="shared" si="10"/>
        <v>51182</v>
      </c>
      <c r="H74" s="1699">
        <f t="shared" si="10"/>
        <v>0</v>
      </c>
      <c r="I74" s="1699">
        <f t="shared" si="10"/>
        <v>21883</v>
      </c>
      <c r="J74" s="1699">
        <f t="shared" si="10"/>
        <v>0</v>
      </c>
      <c r="K74" s="1699">
        <f t="shared" si="10"/>
        <v>2787365</v>
      </c>
      <c r="L74" s="1699">
        <f>SUM(L42,L47,L53,L57,L65,L72,L73)</f>
        <v>3089049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1218020</v>
      </c>
      <c r="I79" s="477"/>
      <c r="J79" s="477"/>
      <c r="K79" s="1693">
        <f t="shared" si="11"/>
        <v>1218020</v>
      </c>
      <c r="L79" s="466">
        <v>1245255</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1218020</v>
      </c>
      <c r="I84" s="477"/>
      <c r="J84" s="477"/>
      <c r="K84" s="1692">
        <f>SUM(K78:K83)</f>
        <v>1218020</v>
      </c>
      <c r="L84" s="1692">
        <f>SUM(L78:L83)</f>
        <v>1245255</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1218020</v>
      </c>
      <c r="I102" s="477"/>
      <c r="J102" s="477"/>
      <c r="K102" s="1699">
        <f>SUM(K84,K92,K100,K101)</f>
        <v>1218020</v>
      </c>
      <c r="L102" s="1699">
        <f>SUM(L84,L92,L100,L101)</f>
        <v>1245255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3018625</v>
      </c>
      <c r="D114" s="1692">
        <f t="shared" ref="D114:K114" si="13">SUM(D33,D74,D75,D102,D112,D113)</f>
        <v>949978</v>
      </c>
      <c r="E114" s="1692">
        <f t="shared" si="13"/>
        <v>274420</v>
      </c>
      <c r="F114" s="1692">
        <f t="shared" si="13"/>
        <v>158365</v>
      </c>
      <c r="G114" s="1692">
        <f t="shared" si="13"/>
        <v>51182</v>
      </c>
      <c r="H114" s="1692">
        <f>SUM(H33,H74,H75,H102,H112,H113)</f>
        <v>1218020</v>
      </c>
      <c r="I114" s="1692">
        <f t="shared" si="13"/>
        <v>21883</v>
      </c>
      <c r="J114" s="1692">
        <f t="shared" si="13"/>
        <v>0</v>
      </c>
      <c r="K114" s="1692">
        <f t="shared" si="13"/>
        <v>5692473</v>
      </c>
      <c r="L114" s="1692">
        <f>SUM(L33,L74,L75,L102,L112,L113)</f>
        <v>6042919</v>
      </c>
    </row>
    <row r="115" spans="1:14" ht="13.5" thickTop="1" x14ac:dyDescent="0.2">
      <c r="A115" s="2172" t="s">
        <v>1053</v>
      </c>
      <c r="B115" s="2173"/>
      <c r="C115" s="619"/>
      <c r="D115" s="619"/>
      <c r="E115" s="619"/>
      <c r="F115" s="619"/>
      <c r="G115" s="619"/>
      <c r="H115" s="619"/>
      <c r="I115" s="619"/>
      <c r="J115" s="619"/>
      <c r="K115" s="1706">
        <f>'Revenues 9-14'!C275-'Expenditures 15-22'!K114</f>
        <v>673673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1955</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2" t="s">
        <v>1240</v>
      </c>
      <c r="B152" s="2193"/>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2" t="s">
        <v>1053</v>
      </c>
      <c r="B175" s="2173"/>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2" t="s">
        <v>1053</v>
      </c>
      <c r="B211" s="2173"/>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1907</v>
      </c>
      <c r="B249" s="684" t="s">
        <v>300</v>
      </c>
      <c r="C249" s="617"/>
      <c r="D249" s="474"/>
      <c r="E249" s="617"/>
      <c r="F249" s="617"/>
      <c r="G249" s="617"/>
      <c r="H249" s="617"/>
      <c r="I249" s="617"/>
      <c r="J249" s="617"/>
      <c r="K249" s="1694">
        <f t="shared" si="21"/>
        <v>0</v>
      </c>
      <c r="L249" s="466"/>
    </row>
    <row r="250" spans="1:12" x14ac:dyDescent="0.2">
      <c r="A250" s="1527" t="s">
        <v>1908</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1955</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2" t="s">
        <v>1053</v>
      </c>
      <c r="B296" s="2173"/>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1961</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2" t="s">
        <v>1053</v>
      </c>
      <c r="B368" s="217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1904</v>
      </c>
      <c r="B2" s="1550" t="s">
        <v>2034</v>
      </c>
      <c r="C2" s="715" t="s">
        <v>1909</v>
      </c>
      <c r="D2" s="715" t="s">
        <v>1910</v>
      </c>
      <c r="E2" s="715" t="s">
        <v>1911</v>
      </c>
      <c r="F2" s="715" t="s">
        <v>1912</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1904</v>
      </c>
      <c r="B2" s="2227"/>
      <c r="C2" s="1909" t="s">
        <v>2035</v>
      </c>
      <c r="D2" s="724" t="s">
        <v>2042</v>
      </c>
      <c r="E2" s="724" t="s">
        <v>2043</v>
      </c>
      <c r="F2" s="1909" t="s">
        <v>2036</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2037</v>
      </c>
      <c r="F30" s="1910" t="s">
        <v>2038</v>
      </c>
      <c r="G30" s="1910" t="s">
        <v>2041</v>
      </c>
      <c r="H30" s="1910" t="s">
        <v>2039</v>
      </c>
      <c r="I30" s="1910" t="s">
        <v>2040</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1918</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3" t="s">
        <v>1919</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0</v>
      </c>
      <c r="I12" s="1780">
        <f>SUM(I5:I11)</f>
        <v>0</v>
      </c>
      <c r="J12" s="1780">
        <f>SUM(J5:J11)</f>
        <v>0</v>
      </c>
      <c r="K12" s="1780">
        <f>SUM(K5:K11)</f>
        <v>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c r="I14" s="772"/>
      <c r="J14" s="774"/>
      <c r="K14" s="766"/>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1915</v>
      </c>
      <c r="B19" s="2242"/>
      <c r="C19" s="2242"/>
      <c r="D19" s="2242"/>
      <c r="E19" s="2243"/>
      <c r="F19" s="790" t="s">
        <v>990</v>
      </c>
      <c r="G19" s="783"/>
      <c r="H19" s="783"/>
      <c r="I19" s="783"/>
      <c r="J19" s="766"/>
      <c r="K19" s="796"/>
    </row>
    <row r="20" spans="1:11" x14ac:dyDescent="0.2">
      <c r="A20" s="2244" t="s">
        <v>1920</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1921</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0</v>
      </c>
      <c r="I23" s="1780">
        <f>SUM(I14:I16,I21,I22)</f>
        <v>0</v>
      </c>
      <c r="J23" s="1780">
        <f>SUM(J14:J16,J21,J22)</f>
        <v>0</v>
      </c>
      <c r="K23" s="1780">
        <f>SUM(K14:K16,K21,K22)</f>
        <v>0</v>
      </c>
    </row>
    <row r="24" spans="1:11" ht="14.25" thickTop="1" thickBot="1" x14ac:dyDescent="0.25">
      <c r="A24" s="2264" t="s">
        <v>2023</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2032</v>
      </c>
      <c r="B1" s="2270"/>
      <c r="C1" s="2271"/>
      <c r="D1" s="827"/>
      <c r="E1" s="828"/>
      <c r="F1" s="828"/>
      <c r="G1" s="829"/>
      <c r="H1" s="830"/>
      <c r="I1" s="831"/>
      <c r="J1" s="2267"/>
      <c r="K1" s="2268"/>
      <c r="L1" s="2268"/>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51015</v>
      </c>
      <c r="D5" s="842"/>
      <c r="E5" s="842"/>
      <c r="F5" s="1782">
        <f>(C5+D5)-E5</f>
        <v>51015</v>
      </c>
      <c r="G5" s="838"/>
      <c r="H5" s="843"/>
      <c r="I5" s="843"/>
      <c r="J5" s="843"/>
      <c r="K5" s="794"/>
      <c r="L5" s="1791">
        <f>F5-K5</f>
        <v>51015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724275</v>
      </c>
      <c r="D8" s="845">
        <v>17853</v>
      </c>
      <c r="E8" s="845"/>
      <c r="F8" s="1782">
        <f>(C8+D8)-E8</f>
        <v>742128</v>
      </c>
      <c r="G8" s="844">
        <v>50</v>
      </c>
      <c r="H8" s="766">
        <v>207169</v>
      </c>
      <c r="I8" s="766">
        <v>23649</v>
      </c>
      <c r="J8" s="766"/>
      <c r="K8" s="1791">
        <f>(H8+I8)-J8</f>
        <v>230818</v>
      </c>
      <c r="L8" s="1791">
        <f>F8-K8</f>
        <v>511310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41198</v>
      </c>
      <c r="D10" s="847"/>
      <c r="E10" s="847"/>
      <c r="F10" s="1786">
        <f>(C10+D10)-E10</f>
        <v>41198</v>
      </c>
      <c r="G10" s="844">
        <v>20</v>
      </c>
      <c r="H10" s="848">
        <v>4120</v>
      </c>
      <c r="I10" s="848">
        <v>2060</v>
      </c>
      <c r="J10" s="848"/>
      <c r="K10" s="1791">
        <f>(H10+I10)-J10</f>
        <v>6180</v>
      </c>
      <c r="L10" s="1791">
        <f>F10-K10</f>
        <v>35018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544490</v>
      </c>
      <c r="D12" s="845">
        <v>21801</v>
      </c>
      <c r="E12" s="845"/>
      <c r="F12" s="1782">
        <f>(C12+D12)-E12</f>
        <v>566291</v>
      </c>
      <c r="G12" s="844">
        <v>10</v>
      </c>
      <c r="H12" s="766">
        <v>446916</v>
      </c>
      <c r="I12" s="766">
        <v>26835</v>
      </c>
      <c r="J12" s="766"/>
      <c r="K12" s="1791">
        <f>(H12+I12)-J12</f>
        <v>473751</v>
      </c>
      <c r="L12" s="1791">
        <f>F12-K12</f>
        <v>92540</v>
      </c>
    </row>
    <row r="13" spans="1:14" ht="14.25" thickTop="1" thickBot="1" x14ac:dyDescent="0.25">
      <c r="A13" s="849" t="s">
        <v>1184</v>
      </c>
      <c r="B13" s="841">
        <v>252</v>
      </c>
      <c r="C13" s="845">
        <v>24281</v>
      </c>
      <c r="D13" s="845"/>
      <c r="E13" s="845"/>
      <c r="F13" s="1782">
        <f>(C13+D13)-E13</f>
        <v>24281</v>
      </c>
      <c r="G13" s="844">
        <v>5</v>
      </c>
      <c r="H13" s="766">
        <v>9712</v>
      </c>
      <c r="I13" s="766">
        <v>4856</v>
      </c>
      <c r="J13" s="766"/>
      <c r="K13" s="1791">
        <f>(H13+I13)-J13</f>
        <v>14568</v>
      </c>
      <c r="L13" s="1791">
        <f>F13-K13</f>
        <v>9713</v>
      </c>
    </row>
    <row r="14" spans="1:14" ht="14.25" thickTop="1" thickBot="1" x14ac:dyDescent="0.25">
      <c r="A14" s="849" t="s">
        <v>1185</v>
      </c>
      <c r="B14" s="841">
        <v>253</v>
      </c>
      <c r="C14" s="766"/>
      <c r="D14" s="766">
        <v>11528</v>
      </c>
      <c r="E14" s="766"/>
      <c r="F14" s="1782">
        <f>(C14+D14)-E14</f>
        <v>11528</v>
      </c>
      <c r="G14" s="844">
        <v>3</v>
      </c>
      <c r="H14" s="766"/>
      <c r="I14" s="766">
        <v>1921</v>
      </c>
      <c r="J14" s="766"/>
      <c r="K14" s="1791">
        <f>(H14+I14)-J14</f>
        <v>1921</v>
      </c>
      <c r="L14" s="1791">
        <f>F14-K14</f>
        <v>9607</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1385259</v>
      </c>
      <c r="D16" s="1782">
        <f>SUM(D3,D5:D6,D8:D10,D12:D15)</f>
        <v>51182</v>
      </c>
      <c r="E16" s="1782">
        <f>SUM(E3,E5:E6,E8:E10,E12:E15)</f>
        <v>0</v>
      </c>
      <c r="F16" s="1782">
        <f>SUM(F3,F5:F6,F8:F10,F12:F15)</f>
        <v>1436441</v>
      </c>
      <c r="G16" s="844"/>
      <c r="H16" s="1782">
        <f>SUM(H3,H6,H8:H10,H12:H14,)</f>
        <v>667917</v>
      </c>
      <c r="I16" s="1782">
        <f>SUM(I3,I6,I8:I10,I12:I14,)</f>
        <v>59321</v>
      </c>
      <c r="J16" s="1782">
        <f>SUM(J3,J6,J8:J10,J12:J14,)</f>
        <v>0</v>
      </c>
      <c r="K16" s="1782">
        <f>(H16+I16)-J16</f>
        <v>727238</v>
      </c>
      <c r="L16" s="1782">
        <f>F16-K16</f>
        <v>709203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21883</v>
      </c>
      <c r="G17" s="838">
        <v>10</v>
      </c>
      <c r="H17" s="770"/>
      <c r="I17" s="1791">
        <f>F17/G17</f>
        <v>2188.3000000000002</v>
      </c>
      <c r="J17" s="770"/>
      <c r="K17" s="796"/>
      <c r="L17" s="796"/>
    </row>
    <row r="18" spans="1:12" ht="14.25" thickTop="1" thickBot="1" x14ac:dyDescent="0.25">
      <c r="A18" s="1789" t="s">
        <v>706</v>
      </c>
      <c r="B18" s="1790"/>
      <c r="C18" s="772"/>
      <c r="D18" s="772"/>
      <c r="E18" s="772"/>
      <c r="F18" s="851"/>
      <c r="G18" s="852"/>
      <c r="H18" s="774"/>
      <c r="I18" s="1782">
        <f>SUM(I16,I17)</f>
        <v>61509.3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8" sqref="A8"/>
      <selection pane="bottomLeft" activeCell="A8" sqref="A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5692473</v>
      </c>
      <c r="G8" s="866"/>
    </row>
    <row r="9" spans="1:7" x14ac:dyDescent="0.2">
      <c r="A9" s="870" t="s">
        <v>480</v>
      </c>
      <c r="B9" s="871" t="s">
        <v>1987</v>
      </c>
      <c r="C9" s="872"/>
      <c r="D9" s="870" t="s">
        <v>522</v>
      </c>
      <c r="E9" s="869"/>
      <c r="F9" s="1935">
        <f>'Expenditures 15-22'!K151</f>
        <v>0</v>
      </c>
      <c r="G9" s="873"/>
    </row>
    <row r="10" spans="1:7" x14ac:dyDescent="0.2">
      <c r="A10" s="870" t="s">
        <v>520</v>
      </c>
      <c r="B10" s="871" t="s">
        <v>1988</v>
      </c>
      <c r="C10" s="872"/>
      <c r="D10" s="870" t="s">
        <v>522</v>
      </c>
      <c r="E10" s="869"/>
      <c r="F10" s="1935">
        <f>'Expenditures 15-22'!K174</f>
        <v>0</v>
      </c>
      <c r="G10" s="873"/>
    </row>
    <row r="11" spans="1:7" x14ac:dyDescent="0.2">
      <c r="A11" s="870" t="s">
        <v>481</v>
      </c>
      <c r="B11" s="871" t="s">
        <v>1989</v>
      </c>
      <c r="C11" s="872"/>
      <c r="D11" s="870" t="s">
        <v>522</v>
      </c>
      <c r="E11" s="869"/>
      <c r="F11" s="1935">
        <f>'Expenditures 15-22'!K210</f>
        <v>0</v>
      </c>
      <c r="G11" s="873"/>
    </row>
    <row r="12" spans="1:7" x14ac:dyDescent="0.2">
      <c r="A12" s="870" t="s">
        <v>482</v>
      </c>
      <c r="B12" s="871" t="s">
        <v>1990</v>
      </c>
      <c r="C12" s="872"/>
      <c r="D12" s="870" t="s">
        <v>522</v>
      </c>
      <c r="E12" s="869"/>
      <c r="F12" s="1935">
        <f>'Expenditures 15-22'!K295</f>
        <v>0</v>
      </c>
      <c r="G12" s="873"/>
    </row>
    <row r="13" spans="1:7" x14ac:dyDescent="0.2">
      <c r="A13" s="870" t="s">
        <v>108</v>
      </c>
      <c r="B13" s="871" t="s">
        <v>1991</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5692473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1218020</v>
      </c>
      <c r="G53" s="866"/>
    </row>
    <row r="54" spans="1:7" x14ac:dyDescent="0.2">
      <c r="A54" s="870" t="s">
        <v>479</v>
      </c>
      <c r="B54" s="870" t="s">
        <v>1552</v>
      </c>
      <c r="C54" s="890" t="s">
        <v>1039</v>
      </c>
      <c r="D54" s="886" t="s">
        <v>1157</v>
      </c>
      <c r="E54" s="869"/>
      <c r="F54" s="1939">
        <f>'Expenditures 15-22'!G114</f>
        <v>51182</v>
      </c>
      <c r="G54" s="866"/>
    </row>
    <row r="55" spans="1:7" x14ac:dyDescent="0.2">
      <c r="A55" s="870" t="s">
        <v>479</v>
      </c>
      <c r="B55" s="870" t="s">
        <v>1553</v>
      </c>
      <c r="C55" s="890" t="s">
        <v>1039</v>
      </c>
      <c r="D55" s="886" t="s">
        <v>309</v>
      </c>
      <c r="E55" s="869"/>
      <c r="F55" s="1939">
        <f>'Expenditures 15-22'!I114</f>
        <v>21883</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9">
        <f>'Expenditures 15-22'!K139</f>
        <v>0</v>
      </c>
      <c r="G57" s="866"/>
    </row>
    <row r="58" spans="1:7" x14ac:dyDescent="0.2">
      <c r="A58" s="870" t="s">
        <v>480</v>
      </c>
      <c r="B58" s="870" t="s">
        <v>1993</v>
      </c>
      <c r="C58" s="887" t="s">
        <v>1039</v>
      </c>
      <c r="D58" s="886" t="s">
        <v>1157</v>
      </c>
      <c r="E58" s="869"/>
      <c r="F58" s="1941">
        <f>'Expenditures 15-22'!G151</f>
        <v>0</v>
      </c>
      <c r="G58" s="866"/>
    </row>
    <row r="59" spans="1:7" x14ac:dyDescent="0.2">
      <c r="A59" s="894" t="s">
        <v>480</v>
      </c>
      <c r="B59" s="857" t="s">
        <v>1994</v>
      </c>
      <c r="C59" s="895" t="s">
        <v>1039</v>
      </c>
      <c r="D59" s="857" t="s">
        <v>309</v>
      </c>
      <c r="F59" s="1942">
        <f>'Expenditures 15-22'!I151</f>
        <v>0</v>
      </c>
      <c r="G59" s="866"/>
    </row>
    <row r="60" spans="1:7" x14ac:dyDescent="0.2">
      <c r="A60" s="894" t="s">
        <v>520</v>
      </c>
      <c r="B60" s="857" t="s">
        <v>1995</v>
      </c>
      <c r="C60" s="895">
        <v>4000</v>
      </c>
      <c r="D60" s="857" t="s">
        <v>330</v>
      </c>
      <c r="F60" s="1940">
        <f>'Expenditures 15-22'!K160</f>
        <v>0</v>
      </c>
      <c r="G60" s="866"/>
    </row>
    <row r="61" spans="1:7" x14ac:dyDescent="0.2">
      <c r="A61" s="896" t="s">
        <v>520</v>
      </c>
      <c r="B61" s="896" t="s">
        <v>1996</v>
      </c>
      <c r="C61" s="897" t="str">
        <f>'Expenditures 15-22'!B170</f>
        <v>5300</v>
      </c>
      <c r="D61" s="898" t="s">
        <v>329</v>
      </c>
      <c r="E61" s="880"/>
      <c r="F61" s="1939">
        <f>'Expenditures 15-22'!K170</f>
        <v>0</v>
      </c>
      <c r="G61" s="866"/>
    </row>
    <row r="62" spans="1:7" x14ac:dyDescent="0.2">
      <c r="A62" s="870" t="s">
        <v>481</v>
      </c>
      <c r="B62" s="870" t="s">
        <v>1997</v>
      </c>
      <c r="C62" s="887">
        <f>'Expenditures 15-22'!B185</f>
        <v>3000</v>
      </c>
      <c r="D62" s="877" t="s">
        <v>469</v>
      </c>
      <c r="E62" s="869"/>
      <c r="F62" s="1939">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1999</v>
      </c>
      <c r="C64" s="897" t="str">
        <f>'Expenditures 15-22'!B206</f>
        <v>5300</v>
      </c>
      <c r="D64" s="893" t="s">
        <v>329</v>
      </c>
      <c r="E64" s="869"/>
      <c r="F64" s="1939">
        <f>'Expenditures 15-22'!K206</f>
        <v>0</v>
      </c>
      <c r="G64" s="866"/>
    </row>
    <row r="65" spans="1:8" x14ac:dyDescent="0.2">
      <c r="A65" s="870" t="s">
        <v>481</v>
      </c>
      <c r="B65" s="870" t="s">
        <v>2000</v>
      </c>
      <c r="C65" s="887" t="s">
        <v>1039</v>
      </c>
      <c r="D65" s="886" t="s">
        <v>1157</v>
      </c>
      <c r="E65" s="869"/>
      <c r="F65" s="1939">
        <f>'Expenditures 15-22'!G210</f>
        <v>0</v>
      </c>
      <c r="G65" s="866"/>
    </row>
    <row r="66" spans="1:8" x14ac:dyDescent="0.2">
      <c r="A66" s="870" t="s">
        <v>481</v>
      </c>
      <c r="B66" s="870" t="s">
        <v>2001</v>
      </c>
      <c r="C66" s="887" t="s">
        <v>1039</v>
      </c>
      <c r="D66" s="886" t="s">
        <v>309</v>
      </c>
      <c r="E66" s="869"/>
      <c r="F66" s="1939">
        <f>'Expenditures 15-22'!I210</f>
        <v>0</v>
      </c>
      <c r="G66" s="866"/>
    </row>
    <row r="67" spans="1:8" x14ac:dyDescent="0.2">
      <c r="A67" s="870" t="s">
        <v>482</v>
      </c>
      <c r="B67" s="870" t="s">
        <v>2002</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2004</v>
      </c>
      <c r="C70" s="887">
        <f>'Expenditures 15-22'!B221</f>
        <v>1300</v>
      </c>
      <c r="D70" s="888" t="str">
        <f>'Expenditures 15-22'!A221</f>
        <v>Adult/Continuing Education Programs</v>
      </c>
      <c r="E70" s="869"/>
      <c r="F70" s="1939">
        <f>'Expenditures 15-22'!K221</f>
        <v>0</v>
      </c>
      <c r="G70" s="866"/>
    </row>
    <row r="71" spans="1:8" x14ac:dyDescent="0.2">
      <c r="A71" s="870" t="s">
        <v>482</v>
      </c>
      <c r="B71" s="870" t="s">
        <v>2005</v>
      </c>
      <c r="C71" s="887">
        <f>'Expenditures 15-22'!B224</f>
        <v>1600</v>
      </c>
      <c r="D71" s="888" t="str">
        <f>'Expenditures 15-22'!A224</f>
        <v>Summer School Programs</v>
      </c>
      <c r="E71" s="869"/>
      <c r="F71" s="1939">
        <f>'Expenditures 15-22'!K224</f>
        <v>0</v>
      </c>
      <c r="G71" s="866"/>
    </row>
    <row r="72" spans="1:8" x14ac:dyDescent="0.2">
      <c r="A72" s="870" t="s">
        <v>482</v>
      </c>
      <c r="B72" s="870" t="s">
        <v>2006</v>
      </c>
      <c r="C72" s="887">
        <f>'Expenditures 15-22'!B280</f>
        <v>3000</v>
      </c>
      <c r="D72" s="877" t="s">
        <v>469</v>
      </c>
      <c r="E72" s="869"/>
      <c r="F72" s="1939">
        <f>'Expenditures 15-22'!K280</f>
        <v>0</v>
      </c>
      <c r="G72" s="866"/>
    </row>
    <row r="73" spans="1:8" x14ac:dyDescent="0.2">
      <c r="A73" s="870" t="s">
        <v>482</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2008</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1015</v>
      </c>
      <c r="F76" s="1800">
        <f>SUM(F18:F74)</f>
        <v>1291085</v>
      </c>
      <c r="G76" s="866"/>
    </row>
    <row r="77" spans="1:8" s="894" customFormat="1" ht="12" customHeight="1" thickTop="1" thickBot="1" x14ac:dyDescent="0.25">
      <c r="A77" s="1801"/>
      <c r="B77" s="1798"/>
      <c r="C77" s="1794"/>
      <c r="D77" s="1799" t="s">
        <v>2010</v>
      </c>
      <c r="E77" s="1796"/>
      <c r="F77" s="1802">
        <f>(F14-F76)</f>
        <v>4401388</v>
      </c>
      <c r="G77" s="870"/>
    </row>
    <row r="78" spans="1:8" s="894" customFormat="1" ht="12" customHeight="1" thickTop="1" x14ac:dyDescent="0.2">
      <c r="A78" s="1803"/>
      <c r="B78" s="1798"/>
      <c r="C78" s="1794"/>
      <c r="D78" s="1799" t="s">
        <v>2056</v>
      </c>
      <c r="E78" s="1796"/>
      <c r="F78" s="899">
        <v>0</v>
      </c>
      <c r="G78" s="900"/>
      <c r="H78" s="870"/>
    </row>
    <row r="79" spans="1:8" s="894" customFormat="1" ht="12" customHeight="1" thickBot="1" x14ac:dyDescent="0.25">
      <c r="A79" s="1804"/>
      <c r="B79" s="1798"/>
      <c r="C79" s="1794"/>
      <c r="D79" s="1799" t="s">
        <v>2011</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4740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320742</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1311115</v>
      </c>
      <c r="G103" s="913"/>
    </row>
    <row r="104" spans="1:7" x14ac:dyDescent="0.2">
      <c r="A104" s="909" t="s">
        <v>479</v>
      </c>
      <c r="B104" s="909" t="s">
        <v>841</v>
      </c>
      <c r="C104" s="911">
        <f>'Revenues 9-14'!B106</f>
        <v>1993</v>
      </c>
      <c r="D104" s="912" t="str">
        <f>'Revenues 9-14'!A106</f>
        <v>Other Local Fees (Describe &amp; Itemize)</v>
      </c>
      <c r="E104" s="907"/>
      <c r="F104" s="1811">
        <f>('Revenues 9-14'!C106)</f>
        <v>13000</v>
      </c>
      <c r="G104" s="913"/>
    </row>
    <row r="105" spans="1:7" x14ac:dyDescent="0.2">
      <c r="A105" s="909" t="s">
        <v>524</v>
      </c>
      <c r="B105" s="909" t="s">
        <v>842</v>
      </c>
      <c r="C105" s="914">
        <v>3100</v>
      </c>
      <c r="D105" s="920" t="str">
        <f>'Revenues 9-14'!A131</f>
        <v>Total Special Education</v>
      </c>
      <c r="E105" s="907"/>
      <c r="F105" s="1811">
        <f>SUM('Revenues 9-14'!C131:D131,'Revenues 9-14'!F131)</f>
        <v>203720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742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41508</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1966484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51380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407616</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25802</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1015</v>
      </c>
      <c r="F178" s="1810">
        <f>SUM(F84:F136,F161:F176)</f>
        <v>4346849</v>
      </c>
    </row>
    <row r="179" spans="1:7" ht="12" customHeight="1" x14ac:dyDescent="0.2">
      <c r="A179" s="1792"/>
      <c r="B179" s="1806"/>
      <c r="C179" s="1807"/>
      <c r="D179" s="1808" t="s">
        <v>2013</v>
      </c>
      <c r="E179" s="1809"/>
      <c r="F179" s="1811">
        <f>'PCTC-OEPP 27-28'!F77-F178</f>
        <v>54539</v>
      </c>
    </row>
    <row r="180" spans="1:7" ht="12" customHeight="1" x14ac:dyDescent="0.2">
      <c r="A180" s="1792"/>
      <c r="B180" s="1806"/>
      <c r="C180" s="1807"/>
      <c r="D180" s="1808" t="s">
        <v>1923</v>
      </c>
      <c r="E180" s="1809"/>
      <c r="F180" s="1811">
        <f>'Cap Outlay Deprec 26'!I18</f>
        <v>61509.3</v>
      </c>
    </row>
    <row r="181" spans="1:7" ht="12" customHeight="1" x14ac:dyDescent="0.2">
      <c r="A181" s="1792"/>
      <c r="B181" s="1806"/>
      <c r="C181" s="1807"/>
      <c r="D181" s="1808" t="s">
        <v>2014</v>
      </c>
      <c r="E181" s="1809"/>
      <c r="F181" s="1811">
        <f>F179+F180</f>
        <v>116048.3</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2015</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6" t="s">
        <v>1925</v>
      </c>
      <c r="B6" s="1557"/>
      <c r="C6" s="1557"/>
      <c r="D6" s="1557"/>
      <c r="E6" s="1557"/>
      <c r="F6" s="1557"/>
      <c r="G6" s="1558"/>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2075</v>
      </c>
      <c r="B9" s="2293"/>
      <c r="C9" s="2293"/>
      <c r="D9" s="2293"/>
      <c r="E9" s="2293"/>
      <c r="F9" s="2293"/>
      <c r="G9" s="2294"/>
    </row>
    <row r="10" spans="1:7" ht="15" customHeight="1" x14ac:dyDescent="0.25">
      <c r="A10" s="1559" t="s">
        <v>1926</v>
      </c>
      <c r="B10" s="1560"/>
      <c r="C10" s="1560"/>
      <c r="D10" s="1560"/>
      <c r="E10" s="1560"/>
      <c r="F10" s="1560"/>
      <c r="G10" s="1561"/>
    </row>
    <row r="11" spans="1:7" ht="17.25" customHeight="1" x14ac:dyDescent="0.25">
      <c r="A11" s="2292" t="s">
        <v>2074</v>
      </c>
      <c r="B11" s="2293"/>
      <c r="C11" s="2293"/>
      <c r="D11" s="2293"/>
      <c r="E11" s="2293"/>
      <c r="F11" s="2293"/>
      <c r="G11" s="2294"/>
    </row>
    <row r="12" spans="1:7" ht="15" customHeight="1" x14ac:dyDescent="0.25">
      <c r="A12" s="1559" t="s">
        <v>1931</v>
      </c>
      <c r="B12" s="1560"/>
      <c r="C12" s="1560"/>
      <c r="D12" s="1560"/>
      <c r="E12" s="1560"/>
      <c r="F12" s="1560"/>
      <c r="G12" s="1561"/>
    </row>
    <row r="13" spans="1:7" ht="32.25" customHeight="1" x14ac:dyDescent="0.25">
      <c r="A13" s="2283" t="s">
        <v>1932</v>
      </c>
      <c r="B13" s="2284"/>
      <c r="C13" s="2284"/>
      <c r="D13" s="2284"/>
      <c r="E13" s="2284"/>
      <c r="F13" s="2284"/>
      <c r="G13" s="2285"/>
    </row>
    <row r="14" spans="1:7" x14ac:dyDescent="0.25">
      <c r="A14" s="1683" t="s">
        <v>1940</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1941</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30350</v>
      </c>
      <c r="F10" s="975"/>
      <c r="G10" s="976"/>
      <c r="H10" s="162"/>
      <c r="I10" s="162"/>
    </row>
    <row r="11" spans="1:9" s="669" customFormat="1" ht="22.5" customHeight="1" x14ac:dyDescent="0.2">
      <c r="A11" s="2303" t="s">
        <v>1943</v>
      </c>
      <c r="B11" s="2304"/>
      <c r="C11" s="2304"/>
      <c r="D11" s="2305"/>
      <c r="E11" s="978">
        <v>3361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1687088</v>
      </c>
      <c r="F19" s="1822"/>
      <c r="G19" s="1824">
        <f>'Expenditures 15-22'!K33-SUM('Expenditures 15-22'!G33,'Expenditures 15-22'!I33)+'Expenditures 15-22'!D229</f>
        <v>1687088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1693761</v>
      </c>
      <c r="F21" s="1825"/>
      <c r="G21" s="1828">
        <f>'Expenditures 15-22'!K42-SUM('Expenditures 15-22'!G42,'Expenditures 15-22'!I42)+'Expenditures 15-22'!K120-SUM('Expenditures 15-22'!G120,'Expenditures 15-22'!I120)+'Expenditures 15-22'!K180-SUM('Expenditures 15-22'!G180,'Expenditures 15-22'!I180)+'Expenditures 15-22'!D238</f>
        <v>1693761</v>
      </c>
      <c r="H21" s="988"/>
      <c r="I21" s="162"/>
    </row>
    <row r="22" spans="1:9" s="669" customFormat="1" ht="12" customHeight="1" x14ac:dyDescent="0.2">
      <c r="A22" s="995" t="s">
        <v>585</v>
      </c>
      <c r="B22" s="996"/>
      <c r="C22" s="994">
        <v>2200</v>
      </c>
      <c r="D22" s="1825"/>
      <c r="E22" s="1827">
        <f>'Expenditures 15-22'!K47-SUM('Expenditures 15-22'!G47,'Expenditures 15-22'!I47)+'Expenditures 15-22'!D243</f>
        <v>88093</v>
      </c>
      <c r="F22" s="1825"/>
      <c r="G22" s="1828">
        <f>'Expenditures 15-22'!K47-SUM('Expenditures 15-22'!G47,'Expenditures 15-22'!I47)+'Expenditures 15-22'!D243</f>
        <v>88093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625138</v>
      </c>
      <c r="F23" s="1825"/>
      <c r="G23" s="1827">
        <f>'Expenditures 15-22'!K53-SUM('Expenditures 15-22'!G53,'Expenditures 15-22'!I53)+'Expenditures 15-22'!D257+'Expenditures 15-22'!K330-SUM('Expenditures 15-22'!G330,'Expenditures 15-22'!I330)</f>
        <v>625138</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71661</v>
      </c>
      <c r="E27" s="1827">
        <f>E8</f>
        <v>0</v>
      </c>
      <c r="F27" s="1827">
        <f>'Expenditures 15-22'!K60-SUM('Expenditures 15-22'!G60,'Expenditures 15-22'!I60)+'Expenditures 15-22'!D264-E8</f>
        <v>71661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117104</v>
      </c>
      <c r="F28" s="1829">
        <f>'Expenditures 15-22'!K61-SUM('Expenditures 15-22'!G61,'Expenditures 15-22'!I61)+'Expenditures 15-22'!K124-SUM('Expenditures 15-22'!G124,'Expenditures 15-22'!I124)+'Expenditures 15-22'!D266-E9</f>
        <v>117104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4124</v>
      </c>
      <c r="F29" s="1825"/>
      <c r="G29" s="1828">
        <f>'Expenditures 15-22'!K62-SUM('Expenditures 15-22'!G62,'Expenditures 15-22'!I62)+'Expenditures 15-22'!K125-SUM('Expenditures 15-22'!G125,'Expenditures 15-22'!I125)+'Expenditures 15-22'!K182-SUM('Expenditures 15-22'!G182,'Expenditures 15-22'!I182)+'Expenditures 15-22'!D267</f>
        <v>4124</v>
      </c>
      <c r="H29" s="986"/>
    </row>
    <row r="30" spans="1:9" ht="12" customHeight="1" x14ac:dyDescent="0.2">
      <c r="A30" s="995" t="s">
        <v>102</v>
      </c>
      <c r="B30" s="998"/>
      <c r="C30" s="994">
        <v>2560</v>
      </c>
      <c r="D30" s="1825"/>
      <c r="E30" s="1827">
        <f>'Expenditures 15-22'!K63-SUM('Expenditures 15-22'!G63,'Expenditures 15-22'!I63)+'Expenditures 15-22'!D268-E10</f>
        <v>71686</v>
      </c>
      <c r="F30" s="1825"/>
      <c r="G30" s="1827">
        <f>'Expenditures 15-22'!K63-SUM('Expenditures 15-22'!G63,'Expenditures 15-22'!I63)+'Expenditures 15-22'!D268-E10</f>
        <v>71686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12383</v>
      </c>
      <c r="E36" s="1827">
        <f>E13</f>
        <v>0</v>
      </c>
      <c r="F36" s="1827">
        <f>'Expenditures 15-22'!K70-SUM('Expenditures 15-22'!G70,'Expenditures 15-22'!I70)+'Expenditures 15-22'!D275-E13</f>
        <v>12383</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84044</v>
      </c>
      <c r="E41" s="1829">
        <f>SUM(E19:E40)</f>
        <v>4286994</v>
      </c>
      <c r="F41" s="1829">
        <f>SUM(F19:F39)</f>
        <v>201148</v>
      </c>
      <c r="G41" s="1829">
        <f>SUM(G19:G40)</f>
        <v>4169890</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84044</v>
      </c>
      <c r="F43" s="1830" t="s">
        <v>495</v>
      </c>
      <c r="G43" s="1831">
        <f>F41</f>
        <v>201148</v>
      </c>
    </row>
    <row r="44" spans="1:7" ht="12" customHeight="1" x14ac:dyDescent="0.2">
      <c r="A44" s="988"/>
      <c r="B44" s="162"/>
      <c r="C44" s="1002"/>
      <c r="D44" s="1830" t="s">
        <v>494</v>
      </c>
      <c r="E44" s="1831">
        <f>E41</f>
        <v>4286994</v>
      </c>
      <c r="F44" s="1830" t="s">
        <v>494</v>
      </c>
      <c r="G44" s="1831">
        <f>G41</f>
        <v>4169890</v>
      </c>
    </row>
    <row r="45" spans="1:7" ht="12" customHeight="1" x14ac:dyDescent="0.2">
      <c r="A45" s="988"/>
      <c r="B45" s="162"/>
      <c r="C45" s="162"/>
      <c r="D45" s="1832" t="s">
        <v>1063</v>
      </c>
      <c r="E45" s="1833">
        <f>(E43/E44)</f>
        <v>1.9604412789007868E-2</v>
      </c>
      <c r="F45" s="1832" t="s">
        <v>1063</v>
      </c>
      <c r="G45" s="1833">
        <f>(G43/G44)</f>
        <v>4.8238202926216278E-2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2045</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Perandoe SpEd District</v>
      </c>
      <c r="D6" s="2324"/>
      <c r="E6" s="2324"/>
      <c r="F6" s="1877"/>
    </row>
    <row r="7" spans="1:10" ht="11.25" customHeight="1" thickBot="1" x14ac:dyDescent="0.3">
      <c r="A7" s="1875"/>
      <c r="B7" s="1876"/>
      <c r="C7" s="2325">
        <f>COVER!A13</f>
        <v>45079132061</v>
      </c>
      <c r="D7" s="2325"/>
      <c r="E7" s="2325"/>
      <c r="F7" s="1877"/>
    </row>
    <row r="8" spans="1:10" ht="25.5" customHeight="1" thickBot="1" x14ac:dyDescent="0.25">
      <c r="A8" s="1918" t="s">
        <v>2022</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2076</v>
      </c>
      <c r="D14" s="1890" t="s">
        <v>2076</v>
      </c>
      <c r="E14" s="1893"/>
      <c r="F14" s="1892" t="s">
        <v>2089</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2076</v>
      </c>
      <c r="D19" s="1890" t="s">
        <v>2076</v>
      </c>
      <c r="E19" s="1893"/>
      <c r="F19" s="1892" t="s">
        <v>2090</v>
      </c>
      <c r="H19" s="1903">
        <f t="shared" si="0"/>
        <v>5</v>
      </c>
      <c r="I19" s="1903">
        <f t="shared" si="1"/>
        <v>5</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c r="B41" s="2318"/>
      <c r="C41" s="2318"/>
      <c r="D41" s="2318"/>
      <c r="E41" s="2318"/>
      <c r="F41" s="2319"/>
      <c r="H41" s="1904"/>
      <c r="I41" s="1904"/>
      <c r="J41" s="1904"/>
      <c r="K41" s="1904"/>
    </row>
    <row r="42" spans="1:11" s="1895" customFormat="1" ht="12" customHeight="1" x14ac:dyDescent="0.25">
      <c r="A42" s="2317"/>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Perandoe SpEd District</v>
      </c>
      <c r="J6" s="2334"/>
      <c r="Q6" s="1686"/>
    </row>
    <row r="7" spans="1:17" x14ac:dyDescent="0.2">
      <c r="A7" s="2335" t="s">
        <v>924</v>
      </c>
      <c r="B7" s="2336"/>
      <c r="C7" s="2336"/>
      <c r="D7" s="2336"/>
      <c r="E7" s="2337"/>
      <c r="F7" s="1018"/>
      <c r="G7" s="1010"/>
      <c r="H7" s="1017" t="s">
        <v>390</v>
      </c>
      <c r="I7" s="2338">
        <f>COVER!A13</f>
        <v>45079132061</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641981</v>
      </c>
      <c r="F12" s="1040"/>
      <c r="G12" s="1834">
        <f t="shared" ref="G12:G18" si="0">SUM(E12:F12)</f>
        <v>641981</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641981</v>
      </c>
      <c r="F19" s="1836">
        <f t="shared" si="2"/>
        <v>0</v>
      </c>
      <c r="G19" s="1836">
        <f t="shared" si="2"/>
        <v>641981</v>
      </c>
      <c r="H19" s="1836">
        <f t="shared" si="2"/>
        <v>0</v>
      </c>
      <c r="I19" s="1836">
        <f t="shared" si="2"/>
        <v>0</v>
      </c>
      <c r="J19" s="1836">
        <f t="shared" si="2"/>
        <v>0</v>
      </c>
    </row>
    <row r="20" spans="1:10" ht="13.5" thickTop="1" x14ac:dyDescent="0.2">
      <c r="A20" s="1036">
        <v>9</v>
      </c>
      <c r="B20" s="2345" t="s">
        <v>1703</v>
      </c>
      <c r="C20" s="2345"/>
      <c r="D20" s="2346"/>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1942</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2091</v>
      </c>
    </row>
    <row r="6" spans="1:2" x14ac:dyDescent="0.2">
      <c r="A6" s="1069">
        <v>2</v>
      </c>
      <c r="B6" s="329" t="s">
        <v>2092</v>
      </c>
    </row>
    <row r="7" spans="1:2" x14ac:dyDescent="0.2">
      <c r="A7" s="1069">
        <v>3</v>
      </c>
      <c r="B7" s="329" t="s">
        <v>2093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Perandoe SpEd District</v>
      </c>
    </row>
    <row r="65" spans="2:2" x14ac:dyDescent="0.2">
      <c r="B65" s="1071">
        <f>COVER!A13</f>
        <v>45079132061</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933450</xdr:colOff>
                <xdr:row>3</xdr:row>
                <xdr:rowOff>104775</xdr:rowOff>
              </from>
              <to>
                <xdr:col>1</xdr:col>
                <xdr:colOff>1847850</xdr:colOff>
                <xdr:row>7</xdr:row>
                <xdr:rowOff>142875</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2053</v>
      </c>
      <c r="B4" s="2373"/>
      <c r="C4" s="2373"/>
      <c r="D4" s="2373"/>
      <c r="E4" s="2373"/>
      <c r="F4" s="2374"/>
      <c r="G4" s="1075"/>
      <c r="H4" s="1075"/>
    </row>
    <row r="5" spans="1:8" ht="14.25" customHeight="1" x14ac:dyDescent="0.2">
      <c r="A5" s="2375" t="s">
        <v>2054</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6366146</v>
      </c>
      <c r="C8" s="1838">
        <f>'Acct Summary 7-8'!D8</f>
        <v>0</v>
      </c>
      <c r="D8" s="1838">
        <f>'Acct Summary 7-8'!F8</f>
        <v>0</v>
      </c>
      <c r="E8" s="1838">
        <f>'Acct Summary 7-8'!I8</f>
        <v>0</v>
      </c>
      <c r="F8" s="1838">
        <f>SUM(B8:E8)</f>
        <v>6366146</v>
      </c>
    </row>
    <row r="9" spans="1:8" s="1080" customFormat="1" ht="14.25" customHeight="1" thickBot="1" x14ac:dyDescent="0.25">
      <c r="A9" s="1079" t="s">
        <v>1436</v>
      </c>
      <c r="B9" s="1839">
        <f>'Acct Summary 7-8'!C17</f>
        <v>5692473</v>
      </c>
      <c r="C9" s="1839">
        <f>'Acct Summary 7-8'!D17</f>
        <v>0</v>
      </c>
      <c r="D9" s="1839">
        <f>'Acct Summary 7-8'!F17</f>
        <v>0</v>
      </c>
      <c r="E9" s="1838"/>
      <c r="F9" s="1838">
        <f>SUM(B9:E9)</f>
        <v>5692473</v>
      </c>
    </row>
    <row r="10" spans="1:8" s="1080" customFormat="1" ht="14.25" thickTop="1" thickBot="1" x14ac:dyDescent="0.25">
      <c r="A10" s="1081" t="s">
        <v>1437</v>
      </c>
      <c r="B10" s="1840">
        <f>(B8-B9)</f>
        <v>673673</v>
      </c>
      <c r="C10" s="1840">
        <f>(C8-C9)</f>
        <v>0</v>
      </c>
      <c r="D10" s="1840">
        <f>(D8-D9)</f>
        <v>0</v>
      </c>
      <c r="E10" s="1839">
        <f>(E8-E9)</f>
        <v>0</v>
      </c>
      <c r="F10" s="1841">
        <f>SUM(F8-F9)</f>
        <v>673673</v>
      </c>
    </row>
    <row r="11" spans="1:8" s="1080" customFormat="1" ht="14.25" thickTop="1" thickBot="1" x14ac:dyDescent="0.25">
      <c r="A11" s="1082" t="s">
        <v>1785</v>
      </c>
      <c r="B11" s="1842">
        <f>'Acct Summary 7-8'!C81</f>
        <v>2492211</v>
      </c>
      <c r="C11" s="1842">
        <f>'Acct Summary 7-8'!D81</f>
        <v>0</v>
      </c>
      <c r="D11" s="1842">
        <f>'Acct Summary 7-8'!F81</f>
        <v>0</v>
      </c>
      <c r="E11" s="1842">
        <f>'Acct Summary 7-8'!I81</f>
        <v>0</v>
      </c>
      <c r="F11" s="1843">
        <f>SUM(B11:E11)</f>
        <v>2492211</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7"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45079132061</v>
      </c>
    </row>
    <row r="3" spans="1:2" x14ac:dyDescent="0.2">
      <c r="A3" t="s">
        <v>1013</v>
      </c>
      <c r="B3" s="138" t="str">
        <f>COVER!A15</f>
        <v>Randolph</v>
      </c>
    </row>
    <row r="4" spans="1:2" x14ac:dyDescent="0.2">
      <c r="A4" t="s">
        <v>1064</v>
      </c>
      <c r="B4" s="138" t="str">
        <f>COVER!A17</f>
        <v>Perandoe SpEd District</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2492211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2492211</v>
      </c>
      <c r="D92" s="2" t="str">
        <f t="shared" si="0"/>
        <v>Error?</v>
      </c>
    </row>
    <row r="93" spans="1:4" x14ac:dyDescent="0.2">
      <c r="A93" s="5">
        <v>32</v>
      </c>
      <c r="B93" s="138">
        <f>'Assets-Liab 5-6'!C41</f>
        <v>2492211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51015</v>
      </c>
      <c r="D273" s="2" t="str">
        <f t="shared" si="3"/>
        <v>Error?</v>
      </c>
    </row>
    <row r="274" spans="1:4" x14ac:dyDescent="0.2">
      <c r="A274" s="5">
        <v>213</v>
      </c>
      <c r="B274" s="138">
        <f>'Assets-Liab 5-6'!M17</f>
        <v>742128</v>
      </c>
      <c r="D274" s="2" t="str">
        <f t="shared" si="3"/>
        <v>Error?</v>
      </c>
    </row>
    <row r="275" spans="1:4" x14ac:dyDescent="0.2">
      <c r="A275" s="5">
        <v>214</v>
      </c>
      <c r="B275" s="138">
        <f>'Assets-Liab 5-6'!M18</f>
        <v>41198</v>
      </c>
      <c r="D275" s="2" t="str">
        <f t="shared" si="3"/>
        <v>Error?</v>
      </c>
    </row>
    <row r="276" spans="1:4" x14ac:dyDescent="0.2">
      <c r="A276" s="5">
        <v>215</v>
      </c>
      <c r="B276" s="138">
        <f>'Assets-Liab 5-6'!M19</f>
        <v>602100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1436441</v>
      </c>
      <c r="C279" s="2" t="s">
        <v>594</v>
      </c>
      <c r="D279" s="2" t="str">
        <f t="shared" si="3"/>
        <v>Error?</v>
      </c>
    </row>
    <row r="280" spans="1:4" x14ac:dyDescent="0.2">
      <c r="A280" s="5">
        <v>219</v>
      </c>
      <c r="B280" s="138">
        <f>'Assets-Liab 5-6'!M40</f>
        <v>1436441</v>
      </c>
      <c r="D280" s="2" t="str">
        <f t="shared" si="3"/>
        <v>Error?</v>
      </c>
    </row>
    <row r="281" spans="1:4" x14ac:dyDescent="0.2">
      <c r="A281" s="5">
        <v>220</v>
      </c>
      <c r="B281" s="138">
        <f>'Assets-Liab 5-6'!M41</f>
        <v>1436441</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1214659</v>
      </c>
      <c r="C720" s="2" t="s">
        <v>594</v>
      </c>
      <c r="D720" s="2" t="str">
        <f t="shared" si="10"/>
        <v>Error?</v>
      </c>
    </row>
    <row r="721" spans="1:4" x14ac:dyDescent="0.2">
      <c r="A721" s="5">
        <v>660</v>
      </c>
      <c r="B721" s="138">
        <f>'Expenditures 15-22'!C36</f>
        <v>591322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216000</v>
      </c>
      <c r="D723" s="2" t="str">
        <f t="shared" si="10"/>
        <v>Error?</v>
      </c>
    </row>
    <row r="724" spans="1:4" x14ac:dyDescent="0.2">
      <c r="A724" s="5">
        <v>663</v>
      </c>
      <c r="B724" s="138">
        <f>'Expenditures 15-22'!C39</f>
        <v>432161</v>
      </c>
      <c r="D724" s="2" t="str">
        <f t="shared" si="10"/>
        <v>Error?</v>
      </c>
    </row>
    <row r="725" spans="1:4" x14ac:dyDescent="0.2">
      <c r="A725" s="5">
        <v>664</v>
      </c>
      <c r="B725" s="138">
        <f>'Expenditures 15-22'!C40</f>
        <v>41806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1281289</v>
      </c>
      <c r="C727" s="2" t="s">
        <v>594</v>
      </c>
      <c r="D727" s="2" t="str">
        <f t="shared" si="10"/>
        <v>Error?</v>
      </c>
    </row>
    <row r="728" spans="1:4" x14ac:dyDescent="0.2">
      <c r="A728" s="5">
        <v>667</v>
      </c>
      <c r="B728" s="138">
        <f>'Expenditures 15-22'!C44</f>
        <v>22617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22617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360768</v>
      </c>
      <c r="D733" s="2" t="str">
        <f t="shared" si="10"/>
        <v>Error?</v>
      </c>
    </row>
    <row r="734" spans="1:4" x14ac:dyDescent="0.2">
      <c r="A734" s="5">
        <v>673</v>
      </c>
      <c r="B734" s="138">
        <f>'Expenditures 15-22'!C53</f>
        <v>360768</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56100</v>
      </c>
      <c r="D739" s="2" t="str">
        <f t="shared" si="10"/>
        <v>Error?</v>
      </c>
    </row>
    <row r="740" spans="1:4" x14ac:dyDescent="0.2">
      <c r="A740" s="5">
        <v>679</v>
      </c>
      <c r="B740" s="138">
        <f>'Expenditures 15-22'!C61</f>
        <v>33415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49777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139292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1803966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3018625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426280</v>
      </c>
      <c r="C778" s="2" t="s">
        <v>594</v>
      </c>
      <c r="D778" s="2" t="str">
        <f t="shared" si="11"/>
        <v>Error?</v>
      </c>
    </row>
    <row r="779" spans="1:4" x14ac:dyDescent="0.2">
      <c r="A779" s="5">
        <v>718</v>
      </c>
      <c r="B779" s="138">
        <f>'Expenditures 15-22'!D36</f>
        <v>166202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64662</v>
      </c>
      <c r="D781" s="2" t="str">
        <f t="shared" si="11"/>
        <v>Error?</v>
      </c>
    </row>
    <row r="782" spans="1:4" x14ac:dyDescent="0.2">
      <c r="A782" s="5">
        <v>721</v>
      </c>
      <c r="B782" s="138">
        <f>'Expenditures 15-22'!D39</f>
        <v>126771</v>
      </c>
      <c r="D782" s="2" t="str">
        <f t="shared" si="11"/>
        <v>Error?</v>
      </c>
    </row>
    <row r="783" spans="1:4" x14ac:dyDescent="0.2">
      <c r="A783" s="5">
        <v>722</v>
      </c>
      <c r="B783" s="138">
        <f>'Expenditures 15-22'!D40</f>
        <v>13495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371130</v>
      </c>
      <c r="C785" s="2" t="s">
        <v>594</v>
      </c>
      <c r="D785" s="2" t="str">
        <f t="shared" si="11"/>
        <v>Error?</v>
      </c>
    </row>
    <row r="786" spans="1:4" x14ac:dyDescent="0.2">
      <c r="A786" s="5">
        <v>725</v>
      </c>
      <c r="B786" s="138">
        <f>'Expenditures 15-22'!D44</f>
        <v>10490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10490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90323</v>
      </c>
      <c r="D791" s="2" t="str">
        <f t="shared" si="11"/>
        <v>Error?</v>
      </c>
    </row>
    <row r="792" spans="1:4" x14ac:dyDescent="0.2">
      <c r="A792" s="5">
        <v>731</v>
      </c>
      <c r="B792" s="138">
        <f>'Expenditures 15-22'!D53</f>
        <v>90323</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15561</v>
      </c>
      <c r="D797" s="2" t="str">
        <f t="shared" si="11"/>
        <v>Error?</v>
      </c>
    </row>
    <row r="798" spans="1:4" x14ac:dyDescent="0.2">
      <c r="A798" s="5">
        <v>737</v>
      </c>
      <c r="B798" s="138">
        <f>'Expenditures 15-22'!D61</f>
        <v>14285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21909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51755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523698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949978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25186</v>
      </c>
      <c r="C836" s="2" t="s">
        <v>594</v>
      </c>
      <c r="D836" s="2" t="str">
        <f t="shared" si="12"/>
        <v>Error?</v>
      </c>
    </row>
    <row r="837" spans="1:4" x14ac:dyDescent="0.2">
      <c r="A837" s="5">
        <v>776</v>
      </c>
      <c r="B837" s="138">
        <f>'Expenditures 15-22'!E36</f>
        <v>5264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9021</v>
      </c>
      <c r="D839" s="2" t="str">
        <f t="shared" si="12"/>
        <v>Error?</v>
      </c>
    </row>
    <row r="840" spans="1:4" x14ac:dyDescent="0.2">
      <c r="A840" s="5">
        <v>779</v>
      </c>
      <c r="B840" s="138">
        <f>'Expenditures 15-22'!E39</f>
        <v>4861</v>
      </c>
      <c r="D840" s="2" t="str">
        <f t="shared" si="12"/>
        <v>Error?</v>
      </c>
    </row>
    <row r="841" spans="1:4" x14ac:dyDescent="0.2">
      <c r="A841" s="5">
        <v>780</v>
      </c>
      <c r="B841" s="138">
        <f>'Expenditures 15-22'!E40</f>
        <v>3991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23137</v>
      </c>
      <c r="C843" s="2" t="s">
        <v>594</v>
      </c>
      <c r="D843" s="2" t="str">
        <f t="shared" si="12"/>
        <v>Error?</v>
      </c>
    </row>
    <row r="844" spans="1:4" x14ac:dyDescent="0.2">
      <c r="A844" s="5">
        <v>783</v>
      </c>
      <c r="B844" s="138">
        <f>'Expenditures 15-22'!E44</f>
        <v>50802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50802</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138521</v>
      </c>
      <c r="D849" s="2" t="str">
        <f t="shared" si="12"/>
        <v>Error?</v>
      </c>
    </row>
    <row r="850" spans="1:4" x14ac:dyDescent="0.2">
      <c r="A850" s="5">
        <v>789</v>
      </c>
      <c r="B850" s="138">
        <f>'Expenditures 15-22'!E53</f>
        <v>138521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20486</v>
      </c>
      <c r="D856" s="2" t="str">
        <f t="shared" si="12"/>
        <v>Error?</v>
      </c>
    </row>
    <row r="857" spans="1:4" x14ac:dyDescent="0.2">
      <c r="A857" s="5">
        <v>796</v>
      </c>
      <c r="B857" s="138">
        <f>'Expenditures 15-22'!E62</f>
        <v>3410</v>
      </c>
      <c r="D857" s="2" t="str">
        <f t="shared" si="12"/>
        <v>Error?</v>
      </c>
    </row>
    <row r="858" spans="1:4" x14ac:dyDescent="0.2">
      <c r="A858" s="5">
        <v>797</v>
      </c>
      <c r="B858" s="138">
        <f>'Expenditures 15-22'!E63</f>
        <v>495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24391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12383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12383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249234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274420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20963</v>
      </c>
      <c r="C894" s="2" t="s">
        <v>594</v>
      </c>
      <c r="D894" s="2" t="str">
        <f t="shared" si="12"/>
        <v>Error?</v>
      </c>
    </row>
    <row r="895" spans="1:4" x14ac:dyDescent="0.2">
      <c r="A895" s="5">
        <v>834</v>
      </c>
      <c r="B895" s="138">
        <f>'Expenditures 15-22'!F36</f>
        <v>3438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4380</v>
      </c>
      <c r="D897" s="2" t="str">
        <f t="shared" si="13"/>
        <v>Error?</v>
      </c>
    </row>
    <row r="898" spans="1:4" x14ac:dyDescent="0.2">
      <c r="A898" s="5">
        <v>837</v>
      </c>
      <c r="B898" s="138">
        <f>'Expenditures 15-22'!F39</f>
        <v>9867</v>
      </c>
      <c r="D898" s="2" t="str">
        <f t="shared" si="13"/>
        <v>Error?</v>
      </c>
    </row>
    <row r="899" spans="1:4" x14ac:dyDescent="0.2">
      <c r="A899" s="5">
        <v>838</v>
      </c>
      <c r="B899" s="138">
        <f>'Expenditures 15-22'!F40</f>
        <v>520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18205</v>
      </c>
      <c r="C901" s="2" t="s">
        <v>594</v>
      </c>
      <c r="D901" s="2" t="str">
        <f t="shared" si="13"/>
        <v>Error?</v>
      </c>
    </row>
    <row r="902" spans="1:4" x14ac:dyDescent="0.2">
      <c r="A902" s="5">
        <v>841</v>
      </c>
      <c r="B902" s="138">
        <f>'Expenditures 15-22'!F44</f>
        <v>4184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4184</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35526</v>
      </c>
      <c r="D907" s="2" t="str">
        <f t="shared" si="13"/>
        <v>Error?</v>
      </c>
    </row>
    <row r="908" spans="1:4" x14ac:dyDescent="0.2">
      <c r="A908" s="5">
        <v>847</v>
      </c>
      <c r="B908" s="138">
        <f>'Expenditures 15-22'!F53</f>
        <v>35526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48918</v>
      </c>
      <c r="D914" s="2" t="str">
        <f t="shared" si="13"/>
        <v>Error?</v>
      </c>
    </row>
    <row r="915" spans="1:4" x14ac:dyDescent="0.2">
      <c r="A915" s="5">
        <v>854</v>
      </c>
      <c r="B915" s="138">
        <f>'Expenditures 15-22'!F62</f>
        <v>714</v>
      </c>
      <c r="D915" s="2" t="str">
        <f t="shared" si="13"/>
        <v>Error?</v>
      </c>
    </row>
    <row r="916" spans="1:4" x14ac:dyDescent="0.2">
      <c r="A916" s="5">
        <v>855</v>
      </c>
      <c r="B916" s="138">
        <f>'Expenditures 15-22'!F63</f>
        <v>29855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79487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137402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158365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51182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51182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51182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51182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1218020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1218020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1687088</v>
      </c>
      <c r="C1108" s="2" t="s">
        <v>594</v>
      </c>
      <c r="D1108" s="2" t="str">
        <f t="shared" si="16"/>
        <v>Error?</v>
      </c>
    </row>
    <row r="1109" spans="1:4" x14ac:dyDescent="0.2">
      <c r="A1109" s="5">
        <v>1048</v>
      </c>
      <c r="B1109" s="138">
        <f>'Expenditures 15-22'!K36</f>
        <v>766226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294063</v>
      </c>
      <c r="C1111" s="2" t="s">
        <v>594</v>
      </c>
      <c r="D1111" s="2" t="str">
        <f t="shared" si="16"/>
        <v>Error?</v>
      </c>
    </row>
    <row r="1112" spans="1:4" x14ac:dyDescent="0.2">
      <c r="A1112" s="5">
        <v>1051</v>
      </c>
      <c r="B1112" s="138">
        <f>'Expenditures 15-22'!K39</f>
        <v>573660</v>
      </c>
      <c r="C1112" s="2" t="s">
        <v>594</v>
      </c>
      <c r="D1112" s="2" t="str">
        <f t="shared" si="16"/>
        <v>Error?</v>
      </c>
    </row>
    <row r="1113" spans="1:4" x14ac:dyDescent="0.2">
      <c r="A1113" s="5">
        <v>1052</v>
      </c>
      <c r="B1113" s="138">
        <f>'Expenditures 15-22'!K40</f>
        <v>64852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1698801</v>
      </c>
      <c r="C1115" s="2" t="s">
        <v>594</v>
      </c>
      <c r="D1115" s="2" t="str">
        <f t="shared" si="16"/>
        <v>Error?</v>
      </c>
    </row>
    <row r="1116" spans="1:4" x14ac:dyDescent="0.2">
      <c r="A1116" s="5">
        <v>1055</v>
      </c>
      <c r="B1116" s="138">
        <f>'Expenditures 15-22'!K44</f>
        <v>88093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88093</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641981</v>
      </c>
      <c r="C1121" s="2" t="s">
        <v>594</v>
      </c>
      <c r="D1121" s="2" t="str">
        <f t="shared" si="16"/>
        <v>Error?</v>
      </c>
    </row>
    <row r="1122" spans="1:4" x14ac:dyDescent="0.2">
      <c r="A1122" s="5">
        <v>1061</v>
      </c>
      <c r="B1122" s="138">
        <f>'Expenditures 15-22'!K53</f>
        <v>641981</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71661</v>
      </c>
      <c r="C1127" s="2" t="s">
        <v>594</v>
      </c>
      <c r="D1127" s="2" t="str">
        <f t="shared" si="16"/>
        <v>Error?</v>
      </c>
    </row>
    <row r="1128" spans="1:4" x14ac:dyDescent="0.2">
      <c r="A1128" s="5">
        <v>1067</v>
      </c>
      <c r="B1128" s="138">
        <f>'Expenditures 15-22'!K61</f>
        <v>168286</v>
      </c>
      <c r="C1128" s="2" t="s">
        <v>594</v>
      </c>
      <c r="D1128" s="2" t="str">
        <f t="shared" si="16"/>
        <v>Error?</v>
      </c>
    </row>
    <row r="1129" spans="1:4" x14ac:dyDescent="0.2">
      <c r="A1129" s="5">
        <v>1068</v>
      </c>
      <c r="B1129" s="138">
        <f>'Expenditures 15-22'!K62</f>
        <v>4124</v>
      </c>
      <c r="C1129" s="2" t="s">
        <v>594</v>
      </c>
      <c r="D1129" s="2" t="str">
        <f t="shared" si="16"/>
        <v>Error?</v>
      </c>
    </row>
    <row r="1130" spans="1:4" x14ac:dyDescent="0.2">
      <c r="A1130" s="5">
        <v>1069</v>
      </c>
      <c r="B1130" s="138">
        <f>'Expenditures 15-22'!K63</f>
        <v>102036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346107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12383</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12383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2787365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1218020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5692473</v>
      </c>
      <c r="C1152" s="2" t="s">
        <v>594</v>
      </c>
      <c r="D1152" s="2" t="str">
        <f t="shared" si="17"/>
        <v>Error?</v>
      </c>
    </row>
    <row r="1153" spans="1:4" x14ac:dyDescent="0.2">
      <c r="A1153" s="5">
        <v>1092</v>
      </c>
      <c r="B1153" s="138">
        <f>'Expenditures 15-22'!K115</f>
        <v>673673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1818538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2492211</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51015</v>
      </c>
      <c r="D2008" s="2" t="str">
        <f t="shared" si="30"/>
        <v>Error?</v>
      </c>
    </row>
    <row r="2009" spans="1:4" x14ac:dyDescent="0.2">
      <c r="A2009" s="5">
        <v>1948</v>
      </c>
      <c r="B2009" s="138">
        <f>'Cap Outlay Deprec 26'!C8</f>
        <v>724275</v>
      </c>
      <c r="D2009" s="2" t="str">
        <f t="shared" si="30"/>
        <v>Error?</v>
      </c>
    </row>
    <row r="2010" spans="1:4" x14ac:dyDescent="0.2">
      <c r="A2010" s="5">
        <v>1949</v>
      </c>
      <c r="B2010" s="138">
        <f>'Cap Outlay Deprec 26'!C10</f>
        <v>41198</v>
      </c>
      <c r="D2010" s="2" t="str">
        <f t="shared" si="30"/>
        <v>Error?</v>
      </c>
    </row>
    <row r="2011" spans="1:4" x14ac:dyDescent="0.2">
      <c r="A2011" s="5">
        <v>1950</v>
      </c>
      <c r="B2011" s="138">
        <f>'Cap Outlay Deprec 26'!C12</f>
        <v>544490</v>
      </c>
      <c r="D2011" s="2" t="str">
        <f t="shared" si="30"/>
        <v>Error?</v>
      </c>
    </row>
    <row r="2012" spans="1:4" x14ac:dyDescent="0.2">
      <c r="A2012" s="5">
        <v>1951</v>
      </c>
      <c r="B2012" s="138">
        <f>'Cap Outlay Deprec 26'!C13</f>
        <v>24281</v>
      </c>
      <c r="D2012" s="2" t="str">
        <f t="shared" si="30"/>
        <v>Error?</v>
      </c>
    </row>
    <row r="2013" spans="1:4" x14ac:dyDescent="0.2">
      <c r="A2013" s="5">
        <v>1952</v>
      </c>
      <c r="B2013" s="138">
        <f>'Cap Outlay Deprec 26'!C16</f>
        <v>1385259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17853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21801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51182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51015</v>
      </c>
      <c r="C2026" s="2" t="s">
        <v>594</v>
      </c>
      <c r="D2026" s="2" t="str">
        <f t="shared" si="30"/>
        <v>Error?</v>
      </c>
    </row>
    <row r="2027" spans="1:4" x14ac:dyDescent="0.2">
      <c r="A2027" s="5">
        <v>1966</v>
      </c>
      <c r="B2027" s="138">
        <f>'Cap Outlay Deprec 26'!F8</f>
        <v>742128</v>
      </c>
      <c r="C2027" s="2" t="s">
        <v>594</v>
      </c>
      <c r="D2027" s="2" t="str">
        <f t="shared" si="30"/>
        <v>Error?</v>
      </c>
    </row>
    <row r="2028" spans="1:4" x14ac:dyDescent="0.2">
      <c r="A2028" s="5">
        <v>1967</v>
      </c>
      <c r="B2028" s="138">
        <f>'Cap Outlay Deprec 26'!F10</f>
        <v>41198</v>
      </c>
      <c r="C2028" s="2" t="s">
        <v>594</v>
      </c>
      <c r="D2028" s="2" t="str">
        <f t="shared" si="30"/>
        <v>Error?</v>
      </c>
    </row>
    <row r="2029" spans="1:4" x14ac:dyDescent="0.2">
      <c r="A2029" s="5">
        <v>1968</v>
      </c>
      <c r="B2029" s="138">
        <f>'Cap Outlay Deprec 26'!F12</f>
        <v>566291</v>
      </c>
      <c r="C2029" s="2" t="s">
        <v>594</v>
      </c>
      <c r="D2029" s="2" t="str">
        <f t="shared" si="30"/>
        <v>Error?</v>
      </c>
    </row>
    <row r="2030" spans="1:4" x14ac:dyDescent="0.2">
      <c r="A2030" s="5">
        <v>1969</v>
      </c>
      <c r="B2030" s="138">
        <f>'Cap Outlay Deprec 26'!F13</f>
        <v>24281</v>
      </c>
      <c r="C2030" s="2" t="s">
        <v>594</v>
      </c>
      <c r="D2030" s="2" t="str">
        <f t="shared" si="30"/>
        <v>Error?</v>
      </c>
    </row>
    <row r="2031" spans="1:4" x14ac:dyDescent="0.2">
      <c r="A2031" s="5">
        <v>1970</v>
      </c>
      <c r="B2031" s="138">
        <f>'Cap Outlay Deprec 26'!F16</f>
        <v>1436441</v>
      </c>
      <c r="C2031" s="2" t="s">
        <v>594</v>
      </c>
      <c r="D2031" s="2" t="str">
        <f t="shared" si="30"/>
        <v>Error?</v>
      </c>
    </row>
    <row r="2032" spans="1:4" x14ac:dyDescent="0.2">
      <c r="A2032" s="10">
        <v>1971</v>
      </c>
      <c r="D2032" s="2" t="str">
        <f t="shared" si="30"/>
        <v>OK</v>
      </c>
    </row>
    <row r="2033" spans="1:4" x14ac:dyDescent="0.2">
      <c r="A2033" s="5">
        <v>1972</v>
      </c>
      <c r="B2033" s="138">
        <f>'Cap Outlay Deprec 26'!H8</f>
        <v>207169</v>
      </c>
      <c r="D2033" s="2" t="str">
        <f t="shared" si="30"/>
        <v>Error?</v>
      </c>
    </row>
    <row r="2034" spans="1:4" x14ac:dyDescent="0.2">
      <c r="A2034" s="5">
        <v>1973</v>
      </c>
      <c r="B2034" s="138">
        <f>'Cap Outlay Deprec 26'!H10</f>
        <v>4120</v>
      </c>
      <c r="D2034" s="2" t="str">
        <f t="shared" si="30"/>
        <v>Error?</v>
      </c>
    </row>
    <row r="2035" spans="1:4" x14ac:dyDescent="0.2">
      <c r="A2035" s="5">
        <v>1974</v>
      </c>
      <c r="B2035" s="138">
        <f>'Cap Outlay Deprec 26'!H12</f>
        <v>446916</v>
      </c>
      <c r="D2035" s="2" t="str">
        <f t="shared" si="30"/>
        <v>Error?</v>
      </c>
    </row>
    <row r="2036" spans="1:4" x14ac:dyDescent="0.2">
      <c r="A2036" s="5">
        <v>1975</v>
      </c>
      <c r="B2036" s="138">
        <f>'Cap Outlay Deprec 26'!H13</f>
        <v>9712</v>
      </c>
      <c r="D2036" s="2" t="str">
        <f t="shared" si="30"/>
        <v>Error?</v>
      </c>
    </row>
    <row r="2037" spans="1:4" x14ac:dyDescent="0.2">
      <c r="A2037" s="5">
        <v>1976</v>
      </c>
      <c r="B2037" s="138">
        <f>'Cap Outlay Deprec 26'!H16</f>
        <v>667917</v>
      </c>
      <c r="C2037" s="2" t="s">
        <v>594</v>
      </c>
      <c r="D2037" s="2" t="str">
        <f t="shared" si="30"/>
        <v>Error?</v>
      </c>
    </row>
    <row r="2038" spans="1:4" x14ac:dyDescent="0.2">
      <c r="A2038" s="10">
        <v>1977</v>
      </c>
      <c r="D2038" s="2" t="str">
        <f t="shared" si="30"/>
        <v>OK</v>
      </c>
    </row>
    <row r="2039" spans="1:4" x14ac:dyDescent="0.2">
      <c r="A2039" s="5">
        <v>1978</v>
      </c>
      <c r="B2039" s="138">
        <f>'Cap Outlay Deprec 26'!I8</f>
        <v>23649</v>
      </c>
      <c r="D2039" s="2" t="str">
        <f t="shared" si="30"/>
        <v>Error?</v>
      </c>
    </row>
    <row r="2040" spans="1:4" x14ac:dyDescent="0.2">
      <c r="A2040" s="5">
        <v>1979</v>
      </c>
      <c r="B2040" s="138">
        <f>'Cap Outlay Deprec 26'!I10</f>
        <v>2060</v>
      </c>
      <c r="D2040" s="2" t="str">
        <f t="shared" si="30"/>
        <v>Error?</v>
      </c>
    </row>
    <row r="2041" spans="1:4" x14ac:dyDescent="0.2">
      <c r="A2041" s="5">
        <v>1980</v>
      </c>
      <c r="B2041" s="138">
        <f>'Cap Outlay Deprec 26'!I12</f>
        <v>26835</v>
      </c>
      <c r="D2041" s="2" t="str">
        <f t="shared" si="30"/>
        <v>Error?</v>
      </c>
    </row>
    <row r="2042" spans="1:4" x14ac:dyDescent="0.2">
      <c r="A2042" s="5">
        <v>1981</v>
      </c>
      <c r="B2042" s="138">
        <f>'Cap Outlay Deprec 26'!I13</f>
        <v>4856</v>
      </c>
      <c r="D2042" s="2" t="str">
        <f t="shared" si="30"/>
        <v>Error?</v>
      </c>
    </row>
    <row r="2043" spans="1:4" x14ac:dyDescent="0.2">
      <c r="A2043" s="5">
        <v>1982</v>
      </c>
      <c r="B2043" s="138">
        <f>'Cap Outlay Deprec 26'!I16</f>
        <v>59321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230818</v>
      </c>
      <c r="C2051" s="2" t="s">
        <v>594</v>
      </c>
      <c r="D2051" s="2" t="str">
        <f t="shared" si="31"/>
        <v>Error?</v>
      </c>
    </row>
    <row r="2052" spans="1:4" x14ac:dyDescent="0.2">
      <c r="A2052" s="5">
        <v>1991</v>
      </c>
      <c r="B2052" s="138">
        <f>'Cap Outlay Deprec 26'!K10</f>
        <v>6180</v>
      </c>
      <c r="C2052" s="2" t="s">
        <v>594</v>
      </c>
      <c r="D2052" s="2" t="str">
        <f t="shared" si="31"/>
        <v>Error?</v>
      </c>
    </row>
    <row r="2053" spans="1:4" x14ac:dyDescent="0.2">
      <c r="A2053" s="5">
        <v>1992</v>
      </c>
      <c r="B2053" s="138">
        <f>'Cap Outlay Deprec 26'!K12</f>
        <v>473751</v>
      </c>
      <c r="C2053" s="2" t="s">
        <v>594</v>
      </c>
      <c r="D2053" s="2" t="str">
        <f t="shared" si="31"/>
        <v>Error?</v>
      </c>
    </row>
    <row r="2054" spans="1:4" x14ac:dyDescent="0.2">
      <c r="A2054" s="5">
        <v>1993</v>
      </c>
      <c r="B2054" s="138">
        <f>'Cap Outlay Deprec 26'!K13</f>
        <v>14568</v>
      </c>
      <c r="C2054" s="2" t="s">
        <v>594</v>
      </c>
      <c r="D2054" s="2" t="str">
        <f t="shared" si="31"/>
        <v>Error?</v>
      </c>
    </row>
    <row r="2055" spans="1:4" x14ac:dyDescent="0.2">
      <c r="A2055" s="5">
        <v>1994</v>
      </c>
      <c r="B2055" s="138">
        <f>'Cap Outlay Deprec 26'!K16</f>
        <v>727238</v>
      </c>
      <c r="C2055" s="2" t="s">
        <v>594</v>
      </c>
      <c r="D2055" s="2" t="str">
        <f t="shared" si="31"/>
        <v>Error?</v>
      </c>
    </row>
    <row r="2056" spans="1:4" x14ac:dyDescent="0.2">
      <c r="A2056" s="5">
        <v>1995</v>
      </c>
      <c r="B2056" s="138">
        <f>'Cap Outlay Deprec 26'!L5</f>
        <v>51015</v>
      </c>
      <c r="C2056" s="2" t="s">
        <v>594</v>
      </c>
      <c r="D2056" s="2" t="str">
        <f t="shared" si="31"/>
        <v>Error?</v>
      </c>
    </row>
    <row r="2057" spans="1:4" x14ac:dyDescent="0.2">
      <c r="A2057" s="5">
        <v>1996</v>
      </c>
      <c r="B2057" s="138">
        <f>'Cap Outlay Deprec 26'!L8</f>
        <v>511310</v>
      </c>
      <c r="C2057" s="2" t="s">
        <v>594</v>
      </c>
      <c r="D2057" s="2" t="str">
        <f t="shared" si="31"/>
        <v>Error?</v>
      </c>
    </row>
    <row r="2058" spans="1:4" x14ac:dyDescent="0.2">
      <c r="A2058" s="5">
        <v>1997</v>
      </c>
      <c r="B2058" s="138">
        <f>'Cap Outlay Deprec 26'!L10</f>
        <v>35018</v>
      </c>
      <c r="C2058" s="2" t="s">
        <v>594</v>
      </c>
      <c r="D2058" s="2" t="str">
        <f t="shared" si="31"/>
        <v>Error?</v>
      </c>
    </row>
    <row r="2059" spans="1:4" x14ac:dyDescent="0.2">
      <c r="A2059" s="5">
        <v>1998</v>
      </c>
      <c r="B2059" s="138">
        <f>'Cap Outlay Deprec 26'!L12</f>
        <v>92540</v>
      </c>
      <c r="C2059" s="2" t="s">
        <v>594</v>
      </c>
      <c r="D2059" s="2" t="str">
        <f t="shared" si="31"/>
        <v>Error?</v>
      </c>
    </row>
    <row r="2060" spans="1:4" x14ac:dyDescent="0.2">
      <c r="A2060" s="5">
        <v>1999</v>
      </c>
      <c r="B2060" s="138">
        <f>'Cap Outlay Deprec 26'!L13</f>
        <v>9713</v>
      </c>
      <c r="C2060" s="2" t="s">
        <v>594</v>
      </c>
      <c r="D2060" s="2" t="str">
        <f t="shared" si="31"/>
        <v>Error?</v>
      </c>
    </row>
    <row r="2061" spans="1:4" x14ac:dyDescent="0.2">
      <c r="A2061" s="5">
        <v>2000</v>
      </c>
      <c r="B2061" s="138">
        <f>'Cap Outlay Deprec 26'!L16</f>
        <v>709203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1218020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1218020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3207819</v>
      </c>
      <c r="C2551" s="2" t="s">
        <v>594</v>
      </c>
      <c r="D2551" s="2" t="str">
        <f t="shared" si="38"/>
        <v>Error?</v>
      </c>
    </row>
    <row r="2552" spans="1:4" x14ac:dyDescent="0.2">
      <c r="A2552" s="10">
        <v>2491</v>
      </c>
      <c r="D2552" s="2" t="str">
        <f t="shared" si="38"/>
        <v>OK</v>
      </c>
    </row>
    <row r="2553" spans="1:4" x14ac:dyDescent="0.2">
      <c r="A2553" s="5">
        <v>2492</v>
      </c>
      <c r="B2553" s="138">
        <f>'Acct Summary 7-8'!C6</f>
        <v>611904</v>
      </c>
      <c r="C2553" s="2" t="s">
        <v>594</v>
      </c>
      <c r="D2553" s="2" t="str">
        <f t="shared" si="38"/>
        <v>Error?</v>
      </c>
    </row>
    <row r="2554" spans="1:4" x14ac:dyDescent="0.2">
      <c r="A2554" s="5">
        <v>2493</v>
      </c>
      <c r="B2554" s="138">
        <f>'Acct Summary 7-8'!C7</f>
        <v>2546423</v>
      </c>
      <c r="C2554" s="2" t="s">
        <v>594</v>
      </c>
      <c r="D2554" s="2" t="str">
        <f t="shared" si="38"/>
        <v>Error?</v>
      </c>
    </row>
    <row r="2555" spans="1:4" x14ac:dyDescent="0.2">
      <c r="A2555" s="5">
        <v>2494</v>
      </c>
      <c r="B2555" s="138">
        <f>'Acct Summary 7-8'!C8</f>
        <v>6366146</v>
      </c>
      <c r="C2555" s="2" t="s">
        <v>594</v>
      </c>
      <c r="D2555" s="2" t="str">
        <f t="shared" si="38"/>
        <v>Error?</v>
      </c>
    </row>
    <row r="2556" spans="1:4" x14ac:dyDescent="0.2">
      <c r="A2556" s="5">
        <v>2495</v>
      </c>
      <c r="B2556" s="138">
        <f>'Acct Summary 7-8'!C12</f>
        <v>1687088</v>
      </c>
      <c r="C2556" s="2" t="s">
        <v>594</v>
      </c>
      <c r="D2556" s="2" t="str">
        <f t="shared" si="38"/>
        <v>Error?</v>
      </c>
    </row>
    <row r="2557" spans="1:4" x14ac:dyDescent="0.2">
      <c r="A2557" s="5">
        <v>2496</v>
      </c>
      <c r="B2557" s="138">
        <f>'Acct Summary 7-8'!C13</f>
        <v>2787365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1218020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5692473</v>
      </c>
      <c r="C2561" s="2" t="s">
        <v>594</v>
      </c>
      <c r="D2561" s="2" t="str">
        <f t="shared" si="39"/>
        <v>Error?</v>
      </c>
    </row>
    <row r="2562" spans="1:4" x14ac:dyDescent="0.2">
      <c r="A2562" s="5">
        <v>2501</v>
      </c>
      <c r="B2562" s="138">
        <f>'Acct Summary 7-8'!C20</f>
        <v>673673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1218020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1218020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673673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1214659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426280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25186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1687088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2492211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30350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1828134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8194280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1828134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7520607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2492211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51380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407616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1311115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25802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1555286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1555286</v>
      </c>
      <c r="C5087" s="2" t="s">
        <v>594</v>
      </c>
      <c r="D5087" s="2" t="str">
        <f t="shared" si="78"/>
        <v>Error?</v>
      </c>
    </row>
    <row r="5088" spans="1:4" x14ac:dyDescent="0.2">
      <c r="A5088" s="5">
        <v>5027</v>
      </c>
      <c r="B5088" s="138">
        <f>'Revenues 9-14'!C65</f>
        <v>2146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4715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4740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320742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13000</v>
      </c>
      <c r="D5118" s="2" t="str">
        <f t="shared" si="78"/>
        <v>Error?</v>
      </c>
    </row>
    <row r="5119" spans="1:4" x14ac:dyDescent="0.2">
      <c r="A5119" s="5">
        <v>5058</v>
      </c>
      <c r="B5119" s="138">
        <f>'Revenues 9-14'!C107</f>
        <v>790</v>
      </c>
      <c r="D5119" s="2" t="str">
        <f t="shared" ref="D5119:D5182" si="79">IF(ISBLANK(B5119),"OK",IF(A5119-B5119=0,"OK","Error?"))</f>
        <v>Error?</v>
      </c>
    </row>
    <row r="5120" spans="1:4" x14ac:dyDescent="0.2">
      <c r="A5120" s="5">
        <v>5059</v>
      </c>
      <c r="B5120" s="138">
        <f>'Revenues 9-14'!C108</f>
        <v>1645647</v>
      </c>
      <c r="C5120" s="2" t="s">
        <v>594</v>
      </c>
      <c r="D5120" s="2" t="str">
        <f t="shared" si="79"/>
        <v>Error?</v>
      </c>
    </row>
    <row r="5121" spans="1:4" x14ac:dyDescent="0.2">
      <c r="A5121" s="5">
        <v>5060</v>
      </c>
      <c r="B5121" s="138">
        <f>'Revenues 9-14'!C109</f>
        <v>3207819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407442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407442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203720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203720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742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204462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611904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26249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15259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41508</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53633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1966484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2020117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2546423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2546423</v>
      </c>
      <c r="C5326" s="2" t="s">
        <v>594</v>
      </c>
      <c r="D5326" s="2" t="str">
        <f t="shared" si="82"/>
        <v>Error?</v>
      </c>
    </row>
    <row r="5327" spans="1:4" x14ac:dyDescent="0.2">
      <c r="A5327" s="5">
        <v>5266</v>
      </c>
      <c r="B5327" s="138">
        <f>'Revenues 9-14'!C275</f>
        <v>6366146</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3361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673673</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0.27031138214220224</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5040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5040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16843</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16843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21883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21883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11528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11528</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1921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1921</v>
      </c>
      <c r="D7622" s="2" t="str">
        <f t="shared" si="124"/>
        <v>Error?</v>
      </c>
      <c r="E7622" s="2" t="s">
        <v>19</v>
      </c>
    </row>
    <row r="7623" spans="1:5" x14ac:dyDescent="0.2">
      <c r="A7623">
        <f t="shared" si="123"/>
        <v>7562</v>
      </c>
      <c r="B7623" s="138">
        <f>'Cap Outlay Deprec 26'!L14</f>
        <v>9607</v>
      </c>
      <c r="D7623" s="2" t="str">
        <f t="shared" si="124"/>
        <v>Error?</v>
      </c>
      <c r="E7623" s="2" t="s">
        <v>19</v>
      </c>
    </row>
    <row r="7624" spans="1:5" x14ac:dyDescent="0.2">
      <c r="A7624">
        <f t="shared" si="123"/>
        <v>7563</v>
      </c>
      <c r="B7624" s="138">
        <f>'Cap Outlay Deprec 26'!F17</f>
        <v>21883</v>
      </c>
      <c r="D7624" s="2" t="str">
        <f t="shared" si="124"/>
        <v>Error?</v>
      </c>
      <c r="E7624" s="2" t="s">
        <v>19</v>
      </c>
    </row>
    <row r="7625" spans="1:5" x14ac:dyDescent="0.2">
      <c r="A7625">
        <f t="shared" si="123"/>
        <v>7564</v>
      </c>
      <c r="B7625" s="138">
        <f>'Cap Outlay Deprec 26'!I17</f>
        <v>2188.3000000000002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61509.3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0</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3" sqref="A13:F1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Perandoe SpEd District</v>
      </c>
      <c r="B7" s="2401"/>
      <c r="C7" s="2401"/>
      <c r="D7" s="2438"/>
      <c r="E7" s="2439">
        <f>COVER!A13</f>
        <v>45079132061</v>
      </c>
      <c r="F7" s="2440"/>
      <c r="G7" s="2407" t="str">
        <f>COVER!T23</f>
        <v>066-005248</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t="s">
        <v>2094</v>
      </c>
      <c r="B9" s="2411"/>
      <c r="C9" s="2411"/>
      <c r="D9" s="2411"/>
      <c r="E9" s="2411"/>
      <c r="F9" s="2412"/>
      <c r="G9" s="2413" t="str">
        <f>COVER!T13</f>
        <v>Moore &amp; Simonin, PC</v>
      </c>
      <c r="H9" s="2414"/>
      <c r="I9" s="2414"/>
      <c r="J9" s="2414"/>
      <c r="K9" s="2414"/>
      <c r="L9" s="2415"/>
    </row>
    <row r="10" spans="1:29" ht="13.5" customHeight="1" x14ac:dyDescent="0.2">
      <c r="A10" s="2397">
        <f>COVER!A38</f>
        <v>0</v>
      </c>
      <c r="B10" s="2398"/>
      <c r="C10" s="2398"/>
      <c r="D10" s="2398"/>
      <c r="E10" s="2398"/>
      <c r="F10" s="2399"/>
      <c r="G10" s="2413" t="str">
        <f>COVER!T17</f>
        <v>3636 North Belt West</v>
      </c>
      <c r="H10" s="2426"/>
      <c r="I10" s="2426"/>
      <c r="J10" s="2426"/>
      <c r="K10" s="2426"/>
      <c r="L10" s="2427"/>
    </row>
    <row r="11" spans="1:29" ht="13.5" customHeight="1" x14ac:dyDescent="0.2">
      <c r="A11" s="1185" t="s">
        <v>1599</v>
      </c>
      <c r="B11" s="1186"/>
      <c r="C11" s="1187"/>
      <c r="D11" s="1192"/>
      <c r="E11" s="1187"/>
      <c r="F11" s="1191"/>
      <c r="G11" s="2413" t="str">
        <f>COVER!T19</f>
        <v>Belleville</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mooresimonin@mrsaccountants.com</v>
      </c>
      <c r="J13" s="2435"/>
      <c r="K13" s="2435"/>
      <c r="L13" s="2436"/>
    </row>
    <row r="14" spans="1:29" ht="13.5" customHeight="1" x14ac:dyDescent="0.2">
      <c r="A14" s="2413" t="str">
        <f>COVER!A19</f>
        <v>1525 Locust St.</v>
      </c>
      <c r="B14" s="2426"/>
      <c r="C14" s="2426"/>
      <c r="D14" s="2426"/>
      <c r="E14" s="2426"/>
      <c r="F14" s="2427"/>
      <c r="G14" s="1196" t="s">
        <v>1247</v>
      </c>
      <c r="H14" s="1194"/>
      <c r="I14" s="1194"/>
      <c r="J14" s="1194"/>
      <c r="K14" s="1194"/>
      <c r="L14" s="1195"/>
    </row>
    <row r="15" spans="1:29" ht="13.5" customHeight="1" x14ac:dyDescent="0.2">
      <c r="A15" s="2413" t="str">
        <f>COVER!A21</f>
        <v>Red Bud</v>
      </c>
      <c r="B15" s="2426"/>
      <c r="C15" s="2426"/>
      <c r="D15" s="2426"/>
      <c r="E15" s="2426"/>
      <c r="F15" s="2427"/>
      <c r="G15" s="2423" t="str">
        <f>COVER!T15</f>
        <v>Robert E. Moore, CPA</v>
      </c>
      <c r="H15" s="2424"/>
      <c r="I15" s="2424"/>
      <c r="J15" s="2424"/>
      <c r="K15" s="2424"/>
      <c r="L15" s="2425"/>
    </row>
    <row r="16" spans="1:29" ht="12.2" customHeight="1" x14ac:dyDescent="0.2">
      <c r="A16" s="2403">
        <f>COVER!A25</f>
        <v>62278</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618-233-5049</v>
      </c>
      <c r="H18" s="2401"/>
      <c r="I18" s="2401"/>
      <c r="J18" s="2401"/>
      <c r="K18" s="2400" t="str">
        <f>COVER!X21</f>
        <v>618-233-1061</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Perandoe SpEd District</v>
      </c>
      <c r="B1" s="2437"/>
      <c r="C1" s="2437"/>
      <c r="D1" s="2437"/>
    </row>
    <row r="2" spans="1:11" s="1215" customFormat="1" ht="12.75" x14ac:dyDescent="0.2">
      <c r="A2" s="2442">
        <f>'Single Audit Cover'!E7</f>
        <v>45079132061</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Perandoe SpEd District</v>
      </c>
      <c r="B1" s="2445"/>
      <c r="C1" s="2445"/>
      <c r="D1" s="2445"/>
      <c r="E1" s="2445"/>
    </row>
    <row r="2" spans="1:5" x14ac:dyDescent="0.2">
      <c r="A2" s="2446">
        <f>'Single Audit Cover'!E7</f>
        <v>45079132061</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2546423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3361</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-407616</v>
      </c>
    </row>
    <row r="19" spans="1:4" ht="13.5" thickBot="1" x14ac:dyDescent="0.25">
      <c r="A19" s="1265" t="s">
        <v>1297</v>
      </c>
      <c r="D19" s="1266">
        <f>SUM(D10:D17)</f>
        <v>2142168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2142168</v>
      </c>
    </row>
    <row r="33" spans="1:4" x14ac:dyDescent="0.2">
      <c r="D33" s="1269"/>
    </row>
    <row r="34" spans="1:4" x14ac:dyDescent="0.2">
      <c r="A34" s="317" t="s">
        <v>1294</v>
      </c>
    </row>
    <row r="35" spans="1:4" x14ac:dyDescent="0.2">
      <c r="A35" s="317" t="s">
        <v>1293</v>
      </c>
      <c r="B35" s="1258" t="s">
        <v>1292</v>
      </c>
      <c r="D35" s="1270">
        <v>2142168</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2142168</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1" sqref="B1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Perandoe SpEd District</v>
      </c>
      <c r="C1" s="2449"/>
      <c r="D1" s="2449"/>
      <c r="E1" s="2449"/>
      <c r="F1" s="2449"/>
      <c r="G1" s="2449"/>
      <c r="H1" s="2449"/>
      <c r="I1" s="2449"/>
      <c r="J1" s="2449"/>
      <c r="K1" s="2449"/>
      <c r="L1" s="2449"/>
      <c r="M1" s="2449"/>
    </row>
    <row r="2" spans="2:14" ht="15" x14ac:dyDescent="0.2">
      <c r="B2" s="2450">
        <f>'Single Audit Cover'!E7</f>
        <v>45079132061</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2095</v>
      </c>
      <c r="C11" s="1338"/>
      <c r="D11" s="1339"/>
      <c r="E11" s="1340"/>
      <c r="F11" s="1340"/>
      <c r="G11" s="1340"/>
      <c r="H11" s="1340"/>
      <c r="I11" s="1340"/>
      <c r="J11" s="1340"/>
      <c r="K11" s="1340"/>
      <c r="L11" s="1340">
        <f>+G11+I11+K11</f>
        <v>0</v>
      </c>
      <c r="M11" s="1340"/>
    </row>
    <row r="12" spans="2:14" ht="20.100000000000001" customHeight="1" x14ac:dyDescent="0.2">
      <c r="B12" s="1337" t="s">
        <v>2096</v>
      </c>
      <c r="C12" s="1341"/>
      <c r="D12" s="1342"/>
      <c r="E12" s="1343"/>
      <c r="F12" s="1343"/>
      <c r="G12" s="1343"/>
      <c r="H12" s="1343"/>
      <c r="I12" s="1343"/>
      <c r="J12" s="1343"/>
      <c r="K12" s="1343"/>
      <c r="L12" s="1340">
        <f t="shared" ref="L12:L27" si="0">+G12+I12+K12</f>
        <v>0</v>
      </c>
      <c r="M12" s="1343"/>
    </row>
    <row r="13" spans="2:14" ht="20.100000000000001" customHeight="1" x14ac:dyDescent="0.2">
      <c r="B13" s="1337" t="s">
        <v>2097</v>
      </c>
      <c r="C13" s="1341">
        <v>10.555</v>
      </c>
      <c r="D13" s="1342"/>
      <c r="E13" s="1343"/>
      <c r="F13" s="1343">
        <v>3111</v>
      </c>
      <c r="G13" s="1343"/>
      <c r="H13" s="1343"/>
      <c r="I13" s="1343">
        <v>3111</v>
      </c>
      <c r="J13" s="1343"/>
      <c r="K13" s="1343"/>
      <c r="L13" s="1340">
        <f t="shared" si="0"/>
        <v>3111</v>
      </c>
      <c r="M13" s="1343"/>
    </row>
    <row r="14" spans="2:14" ht="20.100000000000001" customHeight="1" x14ac:dyDescent="0.2">
      <c r="B14" s="1337" t="s">
        <v>2098</v>
      </c>
      <c r="C14" s="1341">
        <v>10.555</v>
      </c>
      <c r="D14" s="1342"/>
      <c r="E14" s="1343"/>
      <c r="F14" s="1343">
        <v>250</v>
      </c>
      <c r="G14" s="1343"/>
      <c r="H14" s="1343"/>
      <c r="I14" s="1343">
        <v>250</v>
      </c>
      <c r="J14" s="1343"/>
      <c r="K14" s="1343"/>
      <c r="L14" s="1340">
        <f t="shared" si="0"/>
        <v>250</v>
      </c>
      <c r="M14" s="1343"/>
    </row>
    <row r="15" spans="2:14" ht="20.100000000000001" customHeight="1" x14ac:dyDescent="0.2">
      <c r="B15" s="1337" t="s">
        <v>2099</v>
      </c>
      <c r="C15" s="1341">
        <v>10.555</v>
      </c>
      <c r="D15" s="1342" t="s">
        <v>2100</v>
      </c>
      <c r="E15" s="1343">
        <v>20338</v>
      </c>
      <c r="F15" s="1343">
        <v>594</v>
      </c>
      <c r="G15" s="1343">
        <v>20338</v>
      </c>
      <c r="H15" s="1343"/>
      <c r="I15" s="1343">
        <v>5694</v>
      </c>
      <c r="J15" s="1343"/>
      <c r="K15" s="1343"/>
      <c r="L15" s="1340">
        <f t="shared" si="0"/>
        <v>26032</v>
      </c>
      <c r="M15" s="1343"/>
    </row>
    <row r="16" spans="2:14" ht="20.100000000000001" customHeight="1" x14ac:dyDescent="0.2">
      <c r="B16" s="1337"/>
      <c r="C16" s="1341"/>
      <c r="D16" s="1342" t="s">
        <v>2101</v>
      </c>
      <c r="E16" s="1343"/>
      <c r="F16" s="1343">
        <v>20555</v>
      </c>
      <c r="G16" s="1343"/>
      <c r="H16" s="1343"/>
      <c r="I16" s="1343">
        <v>20555</v>
      </c>
      <c r="J16" s="1343"/>
      <c r="K16" s="1343"/>
      <c r="L16" s="1340">
        <f t="shared" si="0"/>
        <v>20555</v>
      </c>
      <c r="M16" s="1343"/>
    </row>
    <row r="17" spans="2:14" ht="20.100000000000001" customHeight="1" x14ac:dyDescent="0.2">
      <c r="B17" s="1337" t="s">
        <v>2102</v>
      </c>
      <c r="C17" s="1341">
        <v>10.553000000000001</v>
      </c>
      <c r="D17" s="1342" t="s">
        <v>2103</v>
      </c>
      <c r="E17" s="1343">
        <v>11672</v>
      </c>
      <c r="F17" s="1343">
        <v>3218</v>
      </c>
      <c r="G17" s="1343">
        <v>11672</v>
      </c>
      <c r="H17" s="1343"/>
      <c r="I17" s="1343">
        <v>3218</v>
      </c>
      <c r="J17" s="1343"/>
      <c r="K17" s="1343"/>
      <c r="L17" s="1340">
        <f t="shared" si="0"/>
        <v>14890</v>
      </c>
      <c r="M17" s="1343"/>
    </row>
    <row r="18" spans="2:14" ht="20.100000000000001" customHeight="1" x14ac:dyDescent="0.2">
      <c r="B18" s="1337"/>
      <c r="C18" s="1341"/>
      <c r="D18" s="1342" t="s">
        <v>2104</v>
      </c>
      <c r="E18" s="1343"/>
      <c r="F18" s="1343">
        <v>12041</v>
      </c>
      <c r="G18" s="1343"/>
      <c r="H18" s="1343"/>
      <c r="I18" s="1343">
        <v>12041</v>
      </c>
      <c r="J18" s="1343"/>
      <c r="K18" s="1343"/>
      <c r="L18" s="1340">
        <f t="shared" si="0"/>
        <v>12041</v>
      </c>
      <c r="M18" s="1343"/>
    </row>
    <row r="19" spans="2:14" ht="20.100000000000001" customHeight="1" x14ac:dyDescent="0.2">
      <c r="B19" s="1337" t="s">
        <v>2105</v>
      </c>
      <c r="C19" s="1341"/>
      <c r="D19" s="1342"/>
      <c r="E19" s="1343">
        <v>32010</v>
      </c>
      <c r="F19" s="1343">
        <v>44869</v>
      </c>
      <c r="G19" s="1343">
        <v>32010</v>
      </c>
      <c r="H19" s="1343"/>
      <c r="I19" s="1343">
        <v>44869</v>
      </c>
      <c r="J19" s="1343"/>
      <c r="K19" s="1343"/>
      <c r="L19" s="1340">
        <f t="shared" si="0"/>
        <v>76879</v>
      </c>
      <c r="M19" s="1343"/>
    </row>
    <row r="20" spans="2:14" ht="20.100000000000001" customHeight="1" x14ac:dyDescent="0.2">
      <c r="B20" s="1337" t="s">
        <v>2106</v>
      </c>
      <c r="C20" s="1341"/>
      <c r="D20" s="1342"/>
      <c r="E20" s="1343"/>
      <c r="F20" s="1343"/>
      <c r="G20" s="1343"/>
      <c r="H20" s="1343"/>
      <c r="I20" s="1343"/>
      <c r="J20" s="1343"/>
      <c r="K20" s="1343"/>
      <c r="L20" s="1340">
        <f t="shared" si="0"/>
        <v>0</v>
      </c>
      <c r="M20" s="1343"/>
    </row>
    <row r="21" spans="2:14" ht="20.100000000000001" customHeight="1" x14ac:dyDescent="0.2">
      <c r="B21" s="1337" t="s">
        <v>2096</v>
      </c>
      <c r="C21" s="1341"/>
      <c r="D21" s="1342"/>
      <c r="E21" s="1343"/>
      <c r="F21" s="1343"/>
      <c r="G21" s="1343"/>
      <c r="H21" s="1343"/>
      <c r="I21" s="1343"/>
      <c r="J21" s="1343"/>
      <c r="K21" s="1343"/>
      <c r="L21" s="1340">
        <f t="shared" si="0"/>
        <v>0</v>
      </c>
      <c r="M21" s="1343"/>
    </row>
    <row r="22" spans="2:14" ht="20.100000000000001" customHeight="1" x14ac:dyDescent="0.2">
      <c r="B22" s="1337" t="s">
        <v>2107</v>
      </c>
      <c r="C22" s="1341" t="s">
        <v>2108</v>
      </c>
      <c r="D22" s="1342" t="s">
        <v>2109</v>
      </c>
      <c r="E22" s="1343">
        <v>72243</v>
      </c>
      <c r="F22" s="1343">
        <v>18690</v>
      </c>
      <c r="G22" s="1343">
        <v>82015</v>
      </c>
      <c r="H22" s="1343"/>
      <c r="I22" s="1343">
        <v>8918</v>
      </c>
      <c r="J22" s="1343"/>
      <c r="K22" s="1343"/>
      <c r="L22" s="1340">
        <f t="shared" si="0"/>
        <v>90933</v>
      </c>
      <c r="M22" s="1343">
        <v>94981</v>
      </c>
    </row>
    <row r="23" spans="2:14" ht="20.100000000000001" customHeight="1" x14ac:dyDescent="0.2">
      <c r="B23" s="1337"/>
      <c r="C23" s="1341"/>
      <c r="D23" s="1342" t="s">
        <v>2110</v>
      </c>
      <c r="E23" s="1343"/>
      <c r="F23" s="1343">
        <v>34943</v>
      </c>
      <c r="G23" s="1343"/>
      <c r="H23" s="1343"/>
      <c r="I23" s="1343">
        <v>38041</v>
      </c>
      <c r="J23" s="1343"/>
      <c r="K23" s="1343">
        <v>3423</v>
      </c>
      <c r="L23" s="1340">
        <f t="shared" si="0"/>
        <v>41464</v>
      </c>
      <c r="M23" s="1343">
        <v>44137</v>
      </c>
    </row>
    <row r="24" spans="2:14" ht="20.100000000000001" customHeight="1" x14ac:dyDescent="0.2">
      <c r="B24" s="1337" t="s">
        <v>2111</v>
      </c>
      <c r="C24" s="1341" t="s">
        <v>2112</v>
      </c>
      <c r="D24" s="1342" t="s">
        <v>2113</v>
      </c>
      <c r="E24" s="1343">
        <v>1132055</v>
      </c>
      <c r="F24" s="1343">
        <v>577348</v>
      </c>
      <c r="G24" s="1343">
        <v>1686172</v>
      </c>
      <c r="H24" s="1343">
        <v>1225660</v>
      </c>
      <c r="I24" s="1343">
        <v>23231</v>
      </c>
      <c r="J24" s="1343"/>
      <c r="K24" s="1343"/>
      <c r="L24" s="1340">
        <f t="shared" si="0"/>
        <v>1709403</v>
      </c>
      <c r="M24" s="1343">
        <v>1761319</v>
      </c>
    </row>
    <row r="25" spans="2:14" ht="20.100000000000001" customHeight="1" x14ac:dyDescent="0.2">
      <c r="B25" s="1337"/>
      <c r="C25" s="1341"/>
      <c r="D25" s="1342" t="s">
        <v>2114</v>
      </c>
      <c r="E25" s="1343"/>
      <c r="F25" s="1343">
        <v>1389136</v>
      </c>
      <c r="G25" s="1343"/>
      <c r="H25" s="1343"/>
      <c r="I25" s="1343">
        <v>1681375</v>
      </c>
      <c r="J25" s="1343">
        <v>1185760</v>
      </c>
      <c r="K25" s="1343">
        <v>37440</v>
      </c>
      <c r="L25" s="1340">
        <f t="shared" si="0"/>
        <v>1718815</v>
      </c>
      <c r="M25" s="1343">
        <v>1761712</v>
      </c>
    </row>
    <row r="26" spans="2:14" ht="20.100000000000001" customHeight="1" x14ac:dyDescent="0.2">
      <c r="B26" s="1337" t="s">
        <v>2115</v>
      </c>
      <c r="C26" s="1341"/>
      <c r="D26" s="1342"/>
      <c r="E26" s="1343">
        <v>1204298</v>
      </c>
      <c r="F26" s="1343">
        <v>2020117</v>
      </c>
      <c r="G26" s="1343">
        <v>1768187</v>
      </c>
      <c r="H26" s="1343">
        <v>1225660</v>
      </c>
      <c r="I26" s="1343">
        <v>1751565</v>
      </c>
      <c r="J26" s="1343">
        <v>1185760</v>
      </c>
      <c r="K26" s="1343">
        <v>40863</v>
      </c>
      <c r="L26" s="1340">
        <f t="shared" si="0"/>
        <v>3560615</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21" sqref="B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Perandoe SpEd District</v>
      </c>
      <c r="C1" s="2449"/>
      <c r="D1" s="2449"/>
      <c r="E1" s="2449"/>
      <c r="F1" s="2449"/>
      <c r="G1" s="2449"/>
      <c r="H1" s="2449"/>
      <c r="I1" s="2449"/>
      <c r="J1" s="2449"/>
      <c r="K1" s="2449"/>
      <c r="L1" s="2449"/>
      <c r="M1" s="2449"/>
    </row>
    <row r="2" spans="2:14" ht="15" x14ac:dyDescent="0.2">
      <c r="B2" s="2450">
        <f>'Single Audit Cover'!E7</f>
        <v>45079132061</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1948</v>
      </c>
      <c r="K8" s="1319" t="s">
        <v>1323</v>
      </c>
      <c r="L8" s="1320" t="s">
        <v>1319</v>
      </c>
      <c r="M8" s="1321" t="s">
        <v>30</v>
      </c>
    </row>
    <row r="9" spans="2:14" ht="14.25" x14ac:dyDescent="0.2">
      <c r="B9" s="1325" t="s">
        <v>1321</v>
      </c>
      <c r="C9" s="1313" t="s">
        <v>1837</v>
      </c>
      <c r="D9" s="1314" t="s">
        <v>1838</v>
      </c>
      <c r="E9" s="1322" t="s">
        <v>1663</v>
      </c>
      <c r="F9" s="1323" t="s">
        <v>1948</v>
      </c>
      <c r="G9" s="1324" t="s">
        <v>1663</v>
      </c>
      <c r="H9" s="1317" t="s">
        <v>1664</v>
      </c>
      <c r="I9" s="1319" t="s">
        <v>1948</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2116</v>
      </c>
      <c r="C11" s="1338"/>
      <c r="D11" s="1339"/>
      <c r="E11" s="1340"/>
      <c r="F11" s="1340"/>
      <c r="G11" s="1340"/>
      <c r="H11" s="1340"/>
      <c r="I11" s="1340"/>
      <c r="J11" s="1340"/>
      <c r="K11" s="1340"/>
      <c r="L11" s="1340">
        <f>+G11+I11+K11</f>
        <v>0</v>
      </c>
      <c r="M11" s="1340"/>
    </row>
    <row r="12" spans="2:14" ht="20.100000000000001" customHeight="1" x14ac:dyDescent="0.2">
      <c r="B12" s="1337" t="s">
        <v>2117</v>
      </c>
      <c r="C12" s="1341" t="s">
        <v>2118</v>
      </c>
      <c r="D12" s="1342" t="s">
        <v>2119</v>
      </c>
      <c r="E12" s="1343"/>
      <c r="F12" s="1343">
        <v>25802</v>
      </c>
      <c r="G12" s="1343"/>
      <c r="H12" s="1343"/>
      <c r="I12" s="1343">
        <v>24264</v>
      </c>
      <c r="J12" s="1343"/>
      <c r="K12" s="1343"/>
      <c r="L12" s="1340">
        <f t="shared" ref="L12:L27" si="0">+G12+I12+K12</f>
        <v>24264</v>
      </c>
      <c r="M12" s="1343"/>
    </row>
    <row r="13" spans="2:14" ht="20.100000000000001" customHeight="1" x14ac:dyDescent="0.2">
      <c r="B13" s="1337" t="s">
        <v>2120</v>
      </c>
      <c r="C13" s="1341"/>
      <c r="D13" s="1342"/>
      <c r="E13" s="1343">
        <v>1204298</v>
      </c>
      <c r="F13" s="1343">
        <v>2045919</v>
      </c>
      <c r="G13" s="1343">
        <v>1768187</v>
      </c>
      <c r="H13" s="1343">
        <v>1225660</v>
      </c>
      <c r="I13" s="1343">
        <v>1775829</v>
      </c>
      <c r="J13" s="1343">
        <v>1185760</v>
      </c>
      <c r="K13" s="1343">
        <v>40863</v>
      </c>
      <c r="L13" s="1340">
        <f t="shared" si="0"/>
        <v>3584879</v>
      </c>
      <c r="M13" s="1343"/>
    </row>
    <row r="14" spans="2:14" ht="20.100000000000001" customHeight="1" x14ac:dyDescent="0.2">
      <c r="B14" s="1337" t="s">
        <v>2126</v>
      </c>
      <c r="C14" s="1341"/>
      <c r="D14" s="1342"/>
      <c r="E14" s="1343"/>
      <c r="F14" s="1343"/>
      <c r="G14" s="1343"/>
      <c r="H14" s="1343"/>
      <c r="I14" s="1343"/>
      <c r="J14" s="1343"/>
      <c r="K14" s="1343"/>
      <c r="L14" s="1340">
        <f t="shared" si="0"/>
        <v>0</v>
      </c>
      <c r="M14" s="1343"/>
    </row>
    <row r="15" spans="2:14" ht="20.100000000000001" customHeight="1" x14ac:dyDescent="0.2">
      <c r="B15" s="1337" t="s">
        <v>2121</v>
      </c>
      <c r="C15" s="1341"/>
      <c r="D15" s="1342"/>
      <c r="E15" s="1343"/>
      <c r="F15" s="1343"/>
      <c r="G15" s="1343"/>
      <c r="H15" s="1343"/>
      <c r="I15" s="1343"/>
      <c r="J15" s="1343"/>
      <c r="K15" s="1343"/>
      <c r="L15" s="1340">
        <f t="shared" si="0"/>
        <v>0</v>
      </c>
      <c r="M15" s="1343"/>
    </row>
    <row r="16" spans="2:14" ht="20.100000000000001" customHeight="1" x14ac:dyDescent="0.2">
      <c r="B16" s="1337" t="s">
        <v>2122</v>
      </c>
      <c r="C16" s="1341">
        <v>93.778000000000006</v>
      </c>
      <c r="D16" s="1342" t="s">
        <v>2123</v>
      </c>
      <c r="E16" s="1343">
        <v>43289</v>
      </c>
      <c r="F16" s="1343">
        <v>12785</v>
      </c>
      <c r="G16" s="1343">
        <v>43289</v>
      </c>
      <c r="H16" s="1343"/>
      <c r="I16" s="1343">
        <v>12785</v>
      </c>
      <c r="J16" s="1343"/>
      <c r="K16" s="1343"/>
      <c r="L16" s="1340">
        <f t="shared" si="0"/>
        <v>56074</v>
      </c>
      <c r="M16" s="1343"/>
    </row>
    <row r="17" spans="2:14" ht="20.100000000000001" customHeight="1" x14ac:dyDescent="0.2">
      <c r="B17" s="1337"/>
      <c r="C17" s="1341"/>
      <c r="D17" s="1342" t="s">
        <v>2124</v>
      </c>
      <c r="E17" s="1343"/>
      <c r="F17" s="1343">
        <v>38595</v>
      </c>
      <c r="G17" s="1343"/>
      <c r="H17" s="1343"/>
      <c r="I17" s="1343">
        <v>38595</v>
      </c>
      <c r="J17" s="1343"/>
      <c r="K17" s="1343"/>
      <c r="L17" s="1340">
        <f t="shared" si="0"/>
        <v>38595</v>
      </c>
      <c r="M17" s="1343"/>
    </row>
    <row r="18" spans="2:14" ht="20.100000000000001" customHeight="1" x14ac:dyDescent="0.2">
      <c r="B18" s="1337" t="s">
        <v>2125</v>
      </c>
      <c r="C18" s="1341"/>
      <c r="D18" s="1342"/>
      <c r="E18" s="1343">
        <v>43289</v>
      </c>
      <c r="F18" s="1343">
        <v>51380</v>
      </c>
      <c r="G18" s="1343">
        <v>43289</v>
      </c>
      <c r="H18" s="1343"/>
      <c r="I18" s="1343">
        <v>51380</v>
      </c>
      <c r="J18" s="1343"/>
      <c r="K18" s="1343"/>
      <c r="L18" s="1340">
        <f t="shared" si="0"/>
        <v>94669</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2127</v>
      </c>
      <c r="C20" s="1341"/>
      <c r="D20" s="1342"/>
      <c r="E20" s="1343">
        <v>1279597</v>
      </c>
      <c r="F20" s="1343">
        <v>2142168</v>
      </c>
      <c r="G20" s="1343">
        <v>1843486</v>
      </c>
      <c r="H20" s="1343">
        <v>1225660</v>
      </c>
      <c r="I20" s="1343">
        <v>1872078</v>
      </c>
      <c r="J20" s="1343">
        <v>1185760</v>
      </c>
      <c r="K20" s="1343">
        <v>40863</v>
      </c>
      <c r="L20" s="1340">
        <f t="shared" si="0"/>
        <v>3756427</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5" sqref="B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Perandoe SpEd District</v>
      </c>
      <c r="B1" s="2454"/>
      <c r="C1" s="2454"/>
      <c r="D1" s="2454"/>
      <c r="E1" s="2454"/>
      <c r="F1" s="2454"/>
    </row>
    <row r="2" spans="1:7" ht="13.5" customHeight="1" x14ac:dyDescent="0.2">
      <c r="A2" s="2450">
        <f>'Single Audit Cover'!E7</f>
        <v>45079132061</v>
      </c>
      <c r="B2" s="2450"/>
      <c r="C2" s="2450"/>
      <c r="D2" s="2450"/>
      <c r="E2" s="2450"/>
      <c r="F2" s="2450"/>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3" t="s">
        <v>2128</v>
      </c>
      <c r="B7" s="2453"/>
      <c r="C7" s="2453"/>
      <c r="D7" s="2453"/>
      <c r="E7" s="2453"/>
      <c r="F7" s="2453"/>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2076</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3" t="s">
        <v>1833</v>
      </c>
      <c r="B13" s="2453"/>
      <c r="C13" s="2453"/>
      <c r="D13" s="2453"/>
      <c r="E13" s="2453"/>
      <c r="F13" s="2453"/>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t="s">
        <v>2129</v>
      </c>
      <c r="C17" s="1285" t="s">
        <v>2130</v>
      </c>
      <c r="D17" s="2457"/>
      <c r="E17" s="2457"/>
      <c r="F17" s="2457"/>
    </row>
    <row r="18" spans="1:6" ht="20.65" customHeight="1" x14ac:dyDescent="0.2">
      <c r="A18" s="1283"/>
      <c r="B18" s="1284" t="s">
        <v>2131</v>
      </c>
      <c r="C18" s="1285"/>
      <c r="D18" s="2457">
        <v>163994</v>
      </c>
      <c r="E18" s="2457"/>
      <c r="F18" s="2457"/>
    </row>
    <row r="19" spans="1:6" ht="20.65" customHeight="1" x14ac:dyDescent="0.2">
      <c r="A19" s="1283"/>
      <c r="B19" s="1284" t="s">
        <v>2132</v>
      </c>
      <c r="C19" s="1285"/>
      <c r="D19" s="2457">
        <v>254860</v>
      </c>
      <c r="E19" s="2457"/>
      <c r="F19" s="2457"/>
    </row>
    <row r="20" spans="1:6" ht="20.65" customHeight="1" x14ac:dyDescent="0.2">
      <c r="A20" s="1283"/>
      <c r="B20" s="1284" t="s">
        <v>2133</v>
      </c>
      <c r="C20" s="1285"/>
      <c r="D20" s="2457">
        <v>193908</v>
      </c>
      <c r="E20" s="2457"/>
      <c r="F20" s="2457"/>
    </row>
    <row r="21" spans="1:6" ht="20.65" customHeight="1" x14ac:dyDescent="0.2">
      <c r="A21" s="1283"/>
      <c r="B21" s="1284" t="s">
        <v>2134</v>
      </c>
      <c r="C21" s="1285"/>
      <c r="D21" s="2457">
        <v>38120</v>
      </c>
      <c r="E21" s="2457"/>
      <c r="F21" s="2457"/>
    </row>
    <row r="22" spans="1:6" ht="20.65" customHeight="1" x14ac:dyDescent="0.2">
      <c r="A22" s="1283"/>
      <c r="B22" s="1284" t="s">
        <v>2135</v>
      </c>
      <c r="C22" s="1285"/>
      <c r="D22" s="2457">
        <v>29346</v>
      </c>
      <c r="E22" s="2457"/>
      <c r="F22" s="2457"/>
    </row>
    <row r="23" spans="1:6" ht="20.65" customHeight="1" x14ac:dyDescent="0.2">
      <c r="A23" s="1283"/>
      <c r="B23" s="1284" t="s">
        <v>2136</v>
      </c>
      <c r="C23" s="1285"/>
      <c r="D23" s="2457">
        <v>70421</v>
      </c>
      <c r="E23" s="2457"/>
      <c r="F23" s="2457"/>
    </row>
    <row r="24" spans="1:6" ht="20.65" customHeight="1" x14ac:dyDescent="0.2">
      <c r="A24" s="1283"/>
      <c r="B24" s="1284" t="s">
        <v>2137</v>
      </c>
      <c r="C24" s="1285"/>
      <c r="D24" s="2457">
        <v>60160</v>
      </c>
      <c r="E24" s="2457"/>
      <c r="F24" s="2457"/>
    </row>
    <row r="25" spans="1:6" ht="20.65" customHeight="1" x14ac:dyDescent="0.2">
      <c r="A25" s="1283"/>
      <c r="B25" s="1284" t="s">
        <v>2138</v>
      </c>
      <c r="C25" s="1285"/>
      <c r="D25" s="2457">
        <v>374951</v>
      </c>
      <c r="E25" s="2457"/>
      <c r="F25" s="2457"/>
    </row>
    <row r="26" spans="1:6" ht="20.65" customHeight="1" x14ac:dyDescent="0.2">
      <c r="A26" s="1283"/>
      <c r="B26" s="1284"/>
      <c r="C26" s="1285"/>
      <c r="D26" s="2457">
        <v>1185760</v>
      </c>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1834</v>
      </c>
      <c r="B32" s="2461"/>
      <c r="C32" s="2461"/>
      <c r="D32" s="2461"/>
      <c r="E32" s="2461"/>
      <c r="F32" s="2461"/>
    </row>
    <row r="33" spans="1:6" ht="13.5" customHeight="1" x14ac:dyDescent="0.2">
      <c r="A33" s="328" t="s">
        <v>1509</v>
      </c>
      <c r="B33" s="328"/>
      <c r="C33" s="1288">
        <v>3111</v>
      </c>
      <c r="D33" s="1928"/>
      <c r="E33" s="1286"/>
    </row>
    <row r="34" spans="1:6" ht="13.5" customHeight="1" x14ac:dyDescent="0.2">
      <c r="A34" s="328" t="s">
        <v>1947</v>
      </c>
      <c r="B34" s="328"/>
      <c r="C34" s="1289">
        <v>250</v>
      </c>
      <c r="D34" s="1928" t="s">
        <v>1671</v>
      </c>
      <c r="E34" s="2462">
        <f>+C33+C34</f>
        <v>3361</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v>0</v>
      </c>
      <c r="D38" s="1928"/>
      <c r="E38" s="1286"/>
    </row>
    <row r="39" spans="1:6" ht="14.25" customHeight="1" x14ac:dyDescent="0.2">
      <c r="A39" s="328"/>
      <c r="B39" s="328" t="s">
        <v>1511</v>
      </c>
      <c r="C39" s="1292">
        <v>0</v>
      </c>
      <c r="D39" s="1928"/>
      <c r="E39" s="1286"/>
    </row>
    <row r="40" spans="1:6" ht="14.25" customHeight="1" x14ac:dyDescent="0.2">
      <c r="A40" s="328"/>
      <c r="B40" s="328" t="s">
        <v>1512</v>
      </c>
      <c r="C40" s="1292">
        <v>0</v>
      </c>
      <c r="D40" s="1928"/>
      <c r="E40" s="1286"/>
    </row>
    <row r="41" spans="1:6" ht="14.25" customHeight="1" x14ac:dyDescent="0.2">
      <c r="A41" s="328"/>
      <c r="B41" s="328" t="s">
        <v>1513</v>
      </c>
      <c r="C41" s="1292">
        <v>0</v>
      </c>
      <c r="D41" s="1928"/>
      <c r="E41" s="1286"/>
    </row>
    <row r="42" spans="1:6" ht="14.25" customHeight="1" x14ac:dyDescent="0.2">
      <c r="A42" s="328" t="s">
        <v>1514</v>
      </c>
      <c r="B42" s="328"/>
      <c r="C42" s="1926">
        <v>0</v>
      </c>
      <c r="D42" s="1928"/>
      <c r="E42" s="1286"/>
    </row>
    <row r="43" spans="1:6" ht="14.25" customHeight="1" x14ac:dyDescent="0.2">
      <c r="A43" s="328" t="s">
        <v>1515</v>
      </c>
      <c r="B43" s="328"/>
      <c r="C43" s="1293" t="s">
        <v>401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Perandoe SpEd District</v>
      </c>
      <c r="C1" s="2470"/>
      <c r="D1" s="2470"/>
      <c r="E1" s="2470"/>
      <c r="F1" s="2470"/>
      <c r="G1" s="2470"/>
      <c r="H1" s="2470"/>
      <c r="I1" s="2470"/>
      <c r="J1" s="1422"/>
    </row>
    <row r="2" spans="2:10" s="317" customFormat="1" ht="12.75" customHeight="1" x14ac:dyDescent="0.2">
      <c r="B2" s="2471">
        <f>'Single Audit Cover'!E7</f>
        <v>45079132061</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t="s">
        <v>1226</v>
      </c>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2076</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2076</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2076</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2076</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2076</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77" t="s">
        <v>1853</v>
      </c>
      <c r="D37" s="2478"/>
      <c r="E37" s="2478"/>
      <c r="F37" s="2479"/>
      <c r="G37" s="2477" t="s">
        <v>1674</v>
      </c>
      <c r="H37" s="2478"/>
      <c r="I37" s="2479"/>
    </row>
    <row r="38" spans="2:9" ht="16.5" customHeight="1" x14ac:dyDescent="0.2">
      <c r="B38" s="1444">
        <v>84.027000000000001</v>
      </c>
      <c r="C38" s="2465" t="s">
        <v>2139</v>
      </c>
      <c r="D38" s="2466"/>
      <c r="E38" s="2466"/>
      <c r="F38" s="2467"/>
      <c r="G38" s="2480">
        <v>1751565</v>
      </c>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1751565</v>
      </c>
      <c r="H43" s="2486"/>
      <c r="I43" s="2486"/>
    </row>
    <row r="44" spans="2:9" ht="12.75" customHeight="1" x14ac:dyDescent="0.2"/>
    <row r="45" spans="2:9" ht="12.75" customHeight="1" x14ac:dyDescent="0.2">
      <c r="B45" s="1435" t="s">
        <v>1950</v>
      </c>
      <c r="D45" s="2487">
        <v>1872078</v>
      </c>
      <c r="E45" s="2488"/>
    </row>
    <row r="46" spans="2:9" ht="5.25" customHeight="1" x14ac:dyDescent="0.2">
      <c r="B46" s="1445"/>
      <c r="D46" s="1446"/>
      <c r="E46" s="1447"/>
    </row>
    <row r="47" spans="2:9" ht="12.75" customHeight="1" x14ac:dyDescent="0.2">
      <c r="B47" s="1300" t="s">
        <v>1676</v>
      </c>
      <c r="C47" s="1300"/>
      <c r="D47" s="1448">
        <f>+G43/D45</f>
        <v>0.93562607968257738</v>
      </c>
      <c r="E47" s="1449"/>
      <c r="F47" s="1450"/>
      <c r="I47" s="1451"/>
    </row>
    <row r="48" spans="2:9" ht="9.9499999999999993" customHeight="1" x14ac:dyDescent="0.2"/>
    <row r="49" spans="1:9" x14ac:dyDescent="0.2">
      <c r="B49" s="1368" t="s">
        <v>1335</v>
      </c>
      <c r="C49" s="1282"/>
      <c r="D49" s="1282"/>
      <c r="E49" s="2489">
        <v>750000</v>
      </c>
      <c r="F49" s="2489"/>
      <c r="G49" s="2489"/>
      <c r="H49" s="322"/>
    </row>
    <row r="51" spans="1:9" ht="13.5" customHeight="1" x14ac:dyDescent="0.2">
      <c r="B51" s="1368" t="s">
        <v>1334</v>
      </c>
      <c r="C51" s="1282"/>
      <c r="E51" s="1438"/>
      <c r="F51" s="1300" t="s">
        <v>940</v>
      </c>
      <c r="G51" s="1438" t="s">
        <v>2076</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Perandoe SpEd District</v>
      </c>
      <c r="C1" s="2469"/>
      <c r="D1" s="2469"/>
      <c r="E1" s="2469"/>
      <c r="F1" s="2469"/>
      <c r="G1" s="2469"/>
      <c r="H1" s="2469"/>
      <c r="I1" s="2469"/>
      <c r="J1" s="2469"/>
      <c r="K1" s="2469"/>
      <c r="L1" s="1374"/>
      <c r="M1" s="1374"/>
    </row>
    <row r="2" spans="1:13" ht="12" customHeight="1" x14ac:dyDescent="0.2">
      <c r="B2" s="2471">
        <f>'Single Audit Cover'!E7</f>
        <v>45079132061</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1951</v>
      </c>
      <c r="D10" s="1386" t="s">
        <v>2140</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Perandoe SpEd District</v>
      </c>
      <c r="C1" s="2496"/>
      <c r="D1" s="2496"/>
      <c r="E1" s="2496"/>
      <c r="F1" s="2496"/>
      <c r="G1" s="2496"/>
      <c r="H1" s="2496"/>
      <c r="I1" s="2496"/>
      <c r="J1" s="2496"/>
      <c r="K1" s="2496"/>
      <c r="L1" s="1465"/>
    </row>
    <row r="2" spans="1:12" ht="12.75" customHeight="1" x14ac:dyDescent="0.2">
      <c r="B2" s="2497">
        <f>'Single Audit Cover'!E7</f>
        <v>45079132061</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1951</v>
      </c>
      <c r="D8" s="1468" t="s">
        <v>2140</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2" sqref="B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Perandoe SpEd District</v>
      </c>
      <c r="C1" s="2469"/>
      <c r="D1" s="2469"/>
      <c r="E1" s="1491"/>
    </row>
    <row r="2" spans="2:5" s="1282" customFormat="1" ht="12.75" customHeight="1" x14ac:dyDescent="0.2">
      <c r="B2" s="2471">
        <f>'Single Audit Cover'!E7</f>
        <v>45079132061</v>
      </c>
      <c r="C2" s="2471"/>
      <c r="D2" s="2471"/>
      <c r="E2" s="1492"/>
    </row>
    <row r="3" spans="2:5" ht="12.75" customHeight="1" x14ac:dyDescent="0.2">
      <c r="B3" s="2492" t="s">
        <v>1868</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t="s">
        <v>2141</v>
      </c>
      <c r="C8" s="324" t="s">
        <v>2142</v>
      </c>
      <c r="D8" s="324" t="s">
        <v>2145</v>
      </c>
      <c r="E8" s="324"/>
    </row>
    <row r="9" spans="2:5" ht="13.5" customHeight="1" x14ac:dyDescent="0.2">
      <c r="B9" s="1497"/>
      <c r="C9" s="323" t="s">
        <v>2143</v>
      </c>
      <c r="D9" s="323"/>
      <c r="E9" s="323"/>
    </row>
    <row r="10" spans="2:5" ht="13.5" customHeight="1" x14ac:dyDescent="0.2">
      <c r="B10" s="1496"/>
      <c r="C10" s="323" t="s">
        <v>2144</v>
      </c>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d21dc803-237d-4c68-8692-8d731fd29118"/>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d435f69-8686-490b-bd6d-b153bf22ab50"/>
    <ds:schemaRef ds:uri="http://purl.org/dc/dcmitype/"/>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2018-10-09T15:29:20Z</cp:lastPrinted>
  <dcterms:created xsi:type="dcterms:W3CDTF">2003-10-29T19:06:34Z</dcterms:created>
  <dcterms:modified xsi:type="dcterms:W3CDTF">2018-10-23T14:26:58Z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