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0160" windowHeight="847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9" i="4" l="1"/>
  <c r="E81" i="29" l="1"/>
  <c r="H81" i="29" l="1"/>
  <c r="H60" i="29"/>
  <c r="E60" i="29"/>
  <c r="D60" i="29"/>
  <c r="F51" i="29"/>
  <c r="D51" i="29"/>
  <c r="F13" i="29"/>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J12" i="12"/>
  <c r="B7718" i="106" s="1"/>
  <c r="D7718" i="106" s="1"/>
  <c r="J21" i="12"/>
  <c r="B7727" i="106" s="1"/>
  <c r="D7727" i="106" s="1"/>
  <c r="J23" i="12"/>
  <c r="B7729" i="106"/>
  <c r="B7734" i="106"/>
  <c r="B7726" i="106"/>
  <c r="D7726" i="106" s="1"/>
  <c r="D76" i="36"/>
  <c r="F162" i="34"/>
  <c r="B30" i="36"/>
  <c r="B33" i="36" s="1"/>
  <c r="B43" i="36" s="1"/>
  <c r="B56" i="36" s="1"/>
  <c r="B66" i="36" s="1"/>
  <c r="B70" i="36" s="1"/>
  <c r="B74" i="36" s="1"/>
  <c r="D73" i="36"/>
  <c r="C191" i="5"/>
  <c r="C201" i="5"/>
  <c r="B5246" i="106" s="1"/>
  <c r="D5246" i="106" s="1"/>
  <c r="C211" i="5"/>
  <c r="C216" i="5"/>
  <c r="C224" i="5"/>
  <c r="C228" i="5"/>
  <c r="B5304" i="106" s="1"/>
  <c r="D5304" i="106" s="1"/>
  <c r="C259" i="5"/>
  <c r="B6833" i="106" s="1"/>
  <c r="D6833" i="106" s="1"/>
  <c r="B7761" i="106"/>
  <c r="D7761" i="106" s="1"/>
  <c r="L127" i="29"/>
  <c r="L129" i="29" s="1"/>
  <c r="L139" i="29"/>
  <c r="L149" i="29"/>
  <c r="I7" i="145"/>
  <c r="I6" i="145"/>
  <c r="D82" i="36"/>
  <c r="D78" i="36"/>
  <c r="K75" i="29"/>
  <c r="K130" i="29"/>
  <c r="B2805" i="106" s="1"/>
  <c r="D2805" i="106" s="1"/>
  <c r="K185" i="29"/>
  <c r="B2836" i="106" s="1"/>
  <c r="D2836" i="106" s="1"/>
  <c r="K122" i="29"/>
  <c r="F15" i="145" s="1"/>
  <c r="F19" i="145" s="1"/>
  <c r="K67" i="29"/>
  <c r="G33" i="108" s="1"/>
  <c r="K64" i="29"/>
  <c r="K59" i="29"/>
  <c r="D26" i="108" s="1"/>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c r="B5110" i="106"/>
  <c r="D5110" i="106" s="1"/>
  <c r="B5111" i="106"/>
  <c r="D5111" i="106" s="1"/>
  <c r="B5113" i="106"/>
  <c r="D5113" i="106" s="1"/>
  <c r="B5114" i="106"/>
  <c r="D5114" i="106" s="1"/>
  <c r="B5115" i="106"/>
  <c r="D5115" i="106"/>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c r="B6312" i="106"/>
  <c r="D6312" i="106" s="1"/>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s="1"/>
  <c r="B6324" i="106"/>
  <c r="D6324" i="106"/>
  <c r="B6325" i="106"/>
  <c r="D6325" i="106"/>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c r="B6346" i="106"/>
  <c r="D6346" i="106" s="1"/>
  <c r="B6347" i="106"/>
  <c r="D6347" i="106" s="1"/>
  <c r="B6348" i="106"/>
  <c r="D6348" i="106"/>
  <c r="B6349" i="106"/>
  <c r="D6349" i="106" s="1"/>
  <c r="B6350" i="106"/>
  <c r="D6350" i="106" s="1"/>
  <c r="B6353" i="106"/>
  <c r="D6353" i="106" s="1"/>
  <c r="B6354" i="106"/>
  <c r="D6354" i="106" s="1"/>
  <c r="B6355" i="106"/>
  <c r="D6355" i="106"/>
  <c r="B6356" i="106"/>
  <c r="D6356" i="106" s="1"/>
  <c r="B6358" i="106"/>
  <c r="D6358" i="106" s="1"/>
  <c r="B6359" i="106"/>
  <c r="D6359" i="106" s="1"/>
  <c r="B6360" i="106"/>
  <c r="D6360" i="106" s="1"/>
  <c r="B6361" i="106"/>
  <c r="D6361" i="106" s="1"/>
  <c r="B6362" i="106"/>
  <c r="D6362" i="106" s="1"/>
  <c r="B6363" i="106"/>
  <c r="D6363" i="106"/>
  <c r="B6364" i="106"/>
  <c r="D6364" i="106" s="1"/>
  <c r="B6365" i="106"/>
  <c r="D6365" i="106" s="1"/>
  <c r="B6366" i="106"/>
  <c r="D6366" i="106" s="1"/>
  <c r="B6367" i="106"/>
  <c r="D6367" i="106" s="1"/>
  <c r="B6368" i="106"/>
  <c r="D6368" i="106"/>
  <c r="B6369" i="106"/>
  <c r="D6369" i="106" s="1"/>
  <c r="B6370" i="106"/>
  <c r="D6370" i="106" s="1"/>
  <c r="B6371" i="106"/>
  <c r="D6371" i="106"/>
  <c r="B6372" i="106"/>
  <c r="D6372" i="106"/>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c r="B6624" i="106"/>
  <c r="D6624" i="106" s="1"/>
  <c r="B6625" i="106"/>
  <c r="D6625" i="106" s="1"/>
  <c r="B6626" i="106"/>
  <c r="D6626" i="106" s="1"/>
  <c r="B6627" i="106"/>
  <c r="D6627" i="106" s="1"/>
  <c r="B6628" i="106"/>
  <c r="D6628" i="106" s="1"/>
  <c r="B6629" i="106"/>
  <c r="D6629" i="106" s="1"/>
  <c r="B6630" i="106"/>
  <c r="D6630" i="106"/>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c r="B6680" i="106"/>
  <c r="D6680" i="106" s="1"/>
  <c r="B6681" i="106"/>
  <c r="D6681" i="106" s="1"/>
  <c r="B6682" i="106"/>
  <c r="D6682" i="106"/>
  <c r="B6683" i="106"/>
  <c r="D6683" i="106"/>
  <c r="B6684" i="106"/>
  <c r="D6684" i="106" s="1"/>
  <c r="B6685" i="106"/>
  <c r="D6685" i="106" s="1"/>
  <c r="B6686" i="106"/>
  <c r="D6686" i="106" s="1"/>
  <c r="B6687" i="106"/>
  <c r="D6687" i="106"/>
  <c r="B6688" i="106"/>
  <c r="D6688" i="106" s="1"/>
  <c r="B6689" i="106"/>
  <c r="D6689" i="106" s="1"/>
  <c r="B6690" i="106"/>
  <c r="D6690" i="106" s="1"/>
  <c r="B6691" i="106"/>
  <c r="D6691" i="106" s="1"/>
  <c r="B6692" i="106"/>
  <c r="D6692" i="106" s="1"/>
  <c r="B6693" i="106"/>
  <c r="D6693" i="106" s="1"/>
  <c r="B6694" i="106"/>
  <c r="D6694" i="106"/>
  <c r="B6695" i="106"/>
  <c r="D6695" i="106"/>
  <c r="B6696" i="106"/>
  <c r="D6696" i="106" s="1"/>
  <c r="B6697" i="106"/>
  <c r="D6697" i="106" s="1"/>
  <c r="B6698" i="106"/>
  <c r="D6698" i="106" s="1"/>
  <c r="B6699" i="106"/>
  <c r="D6699" i="106"/>
  <c r="B6700" i="106"/>
  <c r="D6700" i="106" s="1"/>
  <c r="B6701" i="106"/>
  <c r="D6701" i="106" s="1"/>
  <c r="B6702" i="106"/>
  <c r="D6702" i="106"/>
  <c r="B6703" i="106"/>
  <c r="D6703" i="106" s="1"/>
  <c r="B6704" i="106"/>
  <c r="D6704" i="106" s="1"/>
  <c r="B6705" i="106"/>
  <c r="D6705" i="106"/>
  <c r="B6706" i="106"/>
  <c r="D6706" i="106" s="1"/>
  <c r="B6707" i="106"/>
  <c r="D6707" i="106" s="1"/>
  <c r="B6708" i="106"/>
  <c r="D6708" i="106" s="1"/>
  <c r="B6709" i="106"/>
  <c r="D6709" i="106" s="1"/>
  <c r="B6710" i="106"/>
  <c r="D6710" i="106"/>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c r="B6742" i="106"/>
  <c r="D6742" i="106"/>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c r="B6753" i="106"/>
  <c r="D6753" i="106" s="1"/>
  <c r="B6754" i="106"/>
  <c r="D6754" i="106" s="1"/>
  <c r="B6755" i="106"/>
  <c r="D6755" i="106" s="1"/>
  <c r="B6756" i="106"/>
  <c r="D6756" i="106" s="1"/>
  <c r="B6757" i="106"/>
  <c r="D6757" i="106" s="1"/>
  <c r="B6758" i="106"/>
  <c r="D6758" i="106" s="1"/>
  <c r="B6759" i="106"/>
  <c r="D6759" i="106" s="1"/>
  <c r="B6760" i="106"/>
  <c r="D6760" i="106"/>
  <c r="B6761" i="106"/>
  <c r="D6761" i="106"/>
  <c r="B6762" i="106"/>
  <c r="D6762" i="106" s="1"/>
  <c r="B6763" i="106"/>
  <c r="D6763" i="106" s="1"/>
  <c r="B6764" i="106"/>
  <c r="D6764" i="106" s="1"/>
  <c r="B6765" i="106"/>
  <c r="D6765" i="106" s="1"/>
  <c r="B6766" i="106"/>
  <c r="D6766" i="106" s="1"/>
  <c r="B6767" i="106"/>
  <c r="D6767" i="106" s="1"/>
  <c r="B6768" i="106"/>
  <c r="D6768" i="106"/>
  <c r="B6769" i="106"/>
  <c r="D6769" i="106" s="1"/>
  <c r="B6770" i="106"/>
  <c r="D6770" i="106" s="1"/>
  <c r="B6771" i="106"/>
  <c r="D6771" i="106" s="1"/>
  <c r="B6772" i="106"/>
  <c r="D6772" i="106" s="1"/>
  <c r="B6773" i="106"/>
  <c r="D6773" i="106" s="1"/>
  <c r="B6774" i="106"/>
  <c r="D6774" i="106" s="1"/>
  <c r="B6775" i="106"/>
  <c r="D6775" i="106" s="1"/>
  <c r="B6776" i="106"/>
  <c r="D6776" i="106" s="1"/>
  <c r="B6777" i="106"/>
  <c r="D6777" i="106"/>
  <c r="B6778" i="106"/>
  <c r="D6778" i="106" s="1"/>
  <c r="B6779" i="106"/>
  <c r="D6779" i="106" s="1"/>
  <c r="B6780" i="106"/>
  <c r="D6780" i="106"/>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c r="B6791" i="106"/>
  <c r="D6791" i="106" s="1"/>
  <c r="B6792" i="106"/>
  <c r="D6792" i="106" s="1"/>
  <c r="B6793" i="106"/>
  <c r="D6793" i="106"/>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c r="B6813" i="106"/>
  <c r="D6813" i="106"/>
  <c r="B6814" i="106"/>
  <c r="D6814" i="106" s="1"/>
  <c r="B6815" i="106"/>
  <c r="D6815" i="106" s="1"/>
  <c r="B6816" i="106"/>
  <c r="D6816" i="106" s="1"/>
  <c r="B6817" i="106"/>
  <c r="D6817" i="106" s="1"/>
  <c r="B6818" i="106"/>
  <c r="D6818" i="106"/>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2" i="127"/>
  <c r="B63" i="127"/>
  <c r="E26" i="108"/>
  <c r="F26" i="108"/>
  <c r="G26" i="108"/>
  <c r="E27" i="108"/>
  <c r="G27" i="108"/>
  <c r="F31" i="108"/>
  <c r="F36" i="108"/>
  <c r="G28" i="108"/>
  <c r="G30" i="108"/>
  <c r="D31" i="108"/>
  <c r="D36" i="108"/>
  <c r="E31" i="108"/>
  <c r="G31" i="108"/>
  <c r="E33"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c r="D5120" i="106" s="1"/>
  <c r="D108" i="5"/>
  <c r="B5355" i="106"/>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5" i="4"/>
  <c r="B3409" i="106" s="1"/>
  <c r="D3409" i="106" s="1"/>
  <c r="B2633" i="106"/>
  <c r="D2633" i="106" s="1"/>
  <c r="D7" i="118"/>
  <c r="D8" i="118"/>
  <c r="D9" i="118"/>
  <c r="H14" i="118"/>
  <c r="H19" i="118"/>
  <c r="H24" i="118"/>
  <c r="D22" i="37"/>
  <c r="D4" i="7"/>
  <c r="B1760" i="106" s="1"/>
  <c r="D1760" i="106" s="1"/>
  <c r="F136" i="34"/>
  <c r="D11" i="7" l="1"/>
  <c r="B1768" i="106" s="1"/>
  <c r="D1768" i="106" s="1"/>
  <c r="D13" i="7"/>
  <c r="B3726" i="106" s="1"/>
  <c r="D3726" i="106" s="1"/>
  <c r="F172" i="5"/>
  <c r="B5644" i="106" s="1"/>
  <c r="D5644" i="106" s="1"/>
  <c r="F71" i="34"/>
  <c r="F42" i="34"/>
  <c r="F37" i="34"/>
  <c r="E38" i="108"/>
  <c r="D37" i="108"/>
  <c r="B7074" i="106"/>
  <c r="D7074" i="106" s="1"/>
  <c r="D6103" i="106"/>
  <c r="B4268" i="106"/>
  <c r="D4268" i="106" s="1"/>
  <c r="B4211" i="106"/>
  <c r="D4211" i="106" s="1"/>
  <c r="B3647" i="106"/>
  <c r="D3647" i="106" s="1"/>
  <c r="H28" i="118"/>
  <c r="G210" i="29"/>
  <c r="B1365" i="106" s="1"/>
  <c r="D1365" i="106" s="1"/>
  <c r="F28" i="108"/>
  <c r="G172" i="5"/>
  <c r="B5770" i="106" s="1"/>
  <c r="D5770" i="106" s="1"/>
  <c r="F44" i="34"/>
  <c r="F34" i="34"/>
  <c r="G29" i="108"/>
  <c r="F27" i="108"/>
  <c r="L15" i="11"/>
  <c r="B3459" i="106" s="1"/>
  <c r="D3459" i="106" s="1"/>
  <c r="E29" i="108"/>
  <c r="C352" i="29"/>
  <c r="D12" i="7"/>
  <c r="B1769" i="106" s="1"/>
  <c r="D1769" i="106" s="1"/>
  <c r="B1746" i="106"/>
  <c r="D1746" i="106" s="1"/>
  <c r="F131" i="34"/>
  <c r="F50" i="34"/>
  <c r="H365" i="29"/>
  <c r="B7242" i="106" s="1"/>
  <c r="D7242" i="106" s="1"/>
  <c r="I24" i="12"/>
  <c r="B1996" i="106" s="1"/>
  <c r="D1996" i="106" s="1"/>
  <c r="K184" i="29"/>
  <c r="F13" i="4" s="1"/>
  <c r="B2596" i="106" s="1"/>
  <c r="D2596" i="106" s="1"/>
  <c r="E174" i="29"/>
  <c r="B1309" i="106" s="1"/>
  <c r="D1309" i="106" s="1"/>
  <c r="B5096" i="106"/>
  <c r="D5096" i="106" s="1"/>
  <c r="F68" i="34"/>
  <c r="J22" i="37"/>
  <c r="F70" i="34"/>
  <c r="F56" i="34"/>
  <c r="F46" i="34"/>
  <c r="F37" i="108"/>
  <c r="D69" i="36"/>
  <c r="B6289" i="106"/>
  <c r="D6289" i="106" s="1"/>
  <c r="B2724" i="106"/>
  <c r="D2724" i="106" s="1"/>
  <c r="J210" i="29"/>
  <c r="B7072" i="106" s="1"/>
  <c r="D7072" i="106" s="1"/>
  <c r="D5" i="4"/>
  <c r="B3406" i="106" s="1"/>
  <c r="D3406" i="106" s="1"/>
  <c r="D7" i="7"/>
  <c r="B1763" i="106" s="1"/>
  <c r="D1763" i="106" s="1"/>
  <c r="L22" i="37"/>
  <c r="B4412" i="106"/>
  <c r="D4412" i="106" s="1"/>
  <c r="F38" i="34"/>
  <c r="F35" i="34"/>
  <c r="C342" i="29"/>
  <c r="B7216" i="106" s="1"/>
  <c r="D7216" i="106" s="1"/>
  <c r="I129" i="29"/>
  <c r="B7037" i="106" s="1"/>
  <c r="D7037" i="106" s="1"/>
  <c r="B1126" i="106"/>
  <c r="D1126" i="106" s="1"/>
  <c r="K350" i="29"/>
  <c r="B3670" i="106" s="1"/>
  <c r="D3670" i="106" s="1"/>
  <c r="F128" i="34"/>
  <c r="B4373" i="106"/>
  <c r="D4373" i="106" s="1"/>
  <c r="K173" i="5"/>
  <c r="K6" i="4" s="1"/>
  <c r="B3570" i="106" s="1"/>
  <c r="D3570" i="106" s="1"/>
  <c r="B4087" i="106"/>
  <c r="D4087" i="106" s="1"/>
  <c r="G39" i="108"/>
  <c r="D5" i="7"/>
  <c r="B1761" i="106" s="1"/>
  <c r="D1761" i="106" s="1"/>
  <c r="D109" i="5"/>
  <c r="B5356" i="106" s="1"/>
  <c r="D5356" i="106" s="1"/>
  <c r="G38" i="108"/>
  <c r="E30" i="108"/>
  <c r="E28" i="108"/>
  <c r="F77" i="4"/>
  <c r="B3255" i="106" s="1"/>
  <c r="D3255" i="106" s="1"/>
  <c r="I210" i="29"/>
  <c r="D24" i="37"/>
  <c r="B4270" i="106" s="1"/>
  <c r="D4270" i="106" s="1"/>
  <c r="J274" i="5"/>
  <c r="B7054" i="106" s="1"/>
  <c r="D7054" i="106" s="1"/>
  <c r="K274" i="5"/>
  <c r="K7" i="4" s="1"/>
  <c r="B3718" i="106" s="1"/>
  <c r="D3718" i="106" s="1"/>
  <c r="G109" i="5"/>
  <c r="G4" i="4" s="1"/>
  <c r="B2603" i="106" s="1"/>
  <c r="D2603" i="106" s="1"/>
  <c r="I26" i="12"/>
  <c r="B7741" i="106" s="1"/>
  <c r="D7741" i="106" s="1"/>
  <c r="J129" i="29"/>
  <c r="B7038" i="106" s="1"/>
  <c r="D7038" i="106" s="1"/>
  <c r="K28" i="118"/>
  <c r="O27" i="118" s="1"/>
  <c r="O29" i="118" s="1"/>
  <c r="D54" i="36"/>
  <c r="D14" i="4"/>
  <c r="B2570" i="106" s="1"/>
  <c r="D2570" i="106" s="1"/>
  <c r="H149" i="29"/>
  <c r="B1272" i="106" s="1"/>
  <c r="D1272" i="106" s="1"/>
  <c r="B7047" i="106"/>
  <c r="D7047" i="106" s="1"/>
  <c r="C14" i="4"/>
  <c r="B2558" i="106" s="1"/>
  <c r="D2558" i="106" s="1"/>
  <c r="H109" i="5"/>
  <c r="F111" i="34"/>
  <c r="B7041" i="106"/>
  <c r="D7041" i="106" s="1"/>
  <c r="E109" i="5"/>
  <c r="E4" i="4" s="1"/>
  <c r="B2630" i="106" s="1"/>
  <c r="D2630" i="106" s="1"/>
  <c r="F72" i="34"/>
  <c r="F69" i="34"/>
  <c r="F52" i="34"/>
  <c r="G35" i="108"/>
  <c r="D31" i="36"/>
  <c r="J352" i="29"/>
  <c r="K76" i="4"/>
  <c r="B3586" i="106" s="1"/>
  <c r="D3586" i="106" s="1"/>
  <c r="L13" i="11"/>
  <c r="B2060" i="106" s="1"/>
  <c r="D2060" i="106" s="1"/>
  <c r="D17" i="7"/>
  <c r="B4104" i="106" s="1"/>
  <c r="D4104" i="106" s="1"/>
  <c r="B3621" i="106"/>
  <c r="D3621" i="106" s="1"/>
  <c r="C367" i="29"/>
  <c r="F127" i="34"/>
  <c r="D11" i="37"/>
  <c r="C109" i="5"/>
  <c r="B5121" i="106" s="1"/>
  <c r="D5121" i="106" s="1"/>
  <c r="F45" i="34"/>
  <c r="F36" i="34"/>
  <c r="E35" i="108"/>
  <c r="B3649" i="106"/>
  <c r="D3649" i="106" s="1"/>
  <c r="G367" i="29"/>
  <c r="B3650" i="106" s="1"/>
  <c r="D3650" i="106" s="1"/>
  <c r="F14" i="4"/>
  <c r="B2597" i="106" s="1"/>
  <c r="D2597" i="106" s="1"/>
  <c r="F106" i="34"/>
  <c r="B7205" i="106"/>
  <c r="D7205" i="106" s="1"/>
  <c r="I342" i="29"/>
  <c r="B7222" i="106" s="1"/>
  <c r="D7222" i="106" s="1"/>
  <c r="F21" i="8"/>
  <c r="B3689" i="106"/>
  <c r="D3689" i="106" s="1"/>
  <c r="C172" i="5"/>
  <c r="H33" i="118"/>
  <c r="L367" i="29"/>
  <c r="F19" i="7"/>
  <c r="B1807" i="106" s="1"/>
  <c r="D1807" i="106" s="1"/>
  <c r="F65" i="34"/>
  <c r="H76" i="4"/>
  <c r="B3298" i="106" s="1"/>
  <c r="D3298" i="106" s="1"/>
  <c r="G173" i="5"/>
  <c r="B5778" i="106" s="1"/>
  <c r="D5778" i="106" s="1"/>
  <c r="D9" i="7"/>
  <c r="B1767" i="106" s="1"/>
  <c r="D1767" i="106" s="1"/>
  <c r="F62" i="34"/>
  <c r="F49" i="34"/>
  <c r="B4395" i="106"/>
  <c r="D4395" i="106" s="1"/>
  <c r="H173" i="5"/>
  <c r="I173" i="5"/>
  <c r="B4216" i="106" s="1"/>
  <c r="D4216" i="106" s="1"/>
  <c r="D15" i="7"/>
  <c r="B1772" i="106" s="1"/>
  <c r="D1772" i="106" s="1"/>
  <c r="F130" i="34"/>
  <c r="L5" i="11"/>
  <c r="B2056" i="106" s="1"/>
  <c r="D2056" i="106" s="1"/>
  <c r="N22" i="3"/>
  <c r="B283" i="106" s="1"/>
  <c r="D283" i="106" s="1"/>
  <c r="G14" i="4"/>
  <c r="B2609" i="106" s="1"/>
  <c r="D2609" i="106" s="1"/>
  <c r="L342" i="29"/>
  <c r="H342" i="29"/>
  <c r="B7221" i="106" s="1"/>
  <c r="D7221" i="106" s="1"/>
  <c r="J41" i="3"/>
  <c r="B6216" i="106" s="1"/>
  <c r="D6216" i="106" s="1"/>
  <c r="K41" i="3"/>
  <c r="C129" i="29"/>
  <c r="B1225" i="106" s="1"/>
  <c r="D1225" i="106" s="1"/>
  <c r="K285" i="29"/>
  <c r="B3724" i="106" s="1"/>
  <c r="D3724" i="106" s="1"/>
  <c r="B1329" i="106"/>
  <c r="D1329" i="106" s="1"/>
  <c r="F61" i="34"/>
  <c r="K24" i="12"/>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J7" i="4"/>
  <c r="B7270" i="106"/>
  <c r="F173" i="5" l="1"/>
  <c r="B5653" i="106" s="1"/>
  <c r="D5653" i="106" s="1"/>
  <c r="F41" i="108"/>
  <c r="G43" i="108" s="1"/>
  <c r="H367" i="29"/>
  <c r="B3660" i="106" s="1"/>
  <c r="D3660" i="106" s="1"/>
  <c r="D51" i="36"/>
  <c r="D4" i="4"/>
  <c r="B2564" i="106" s="1"/>
  <c r="D2564" i="106" s="1"/>
  <c r="B6024" i="106"/>
  <c r="D6024" i="106" s="1"/>
  <c r="B1328" i="106"/>
  <c r="D1328" i="106" s="1"/>
  <c r="B5527" i="106"/>
  <c r="D5527" i="106" s="1"/>
  <c r="B6022" i="106"/>
  <c r="D6022" i="106" s="1"/>
  <c r="H275" i="5"/>
  <c r="B5915" i="106" s="1"/>
  <c r="D5915" i="106" s="1"/>
  <c r="J151" i="29"/>
  <c r="B7052" i="106" s="1"/>
  <c r="D7052" i="106" s="1"/>
  <c r="B1381" i="106"/>
  <c r="D1381" i="106" s="1"/>
  <c r="K352" i="29"/>
  <c r="K13" i="4" s="1"/>
  <c r="B3572" i="106" s="1"/>
  <c r="D3572" i="106" s="1"/>
  <c r="H151" i="29"/>
  <c r="B1273" i="106" s="1"/>
  <c r="D1273" i="106" s="1"/>
  <c r="B5914" i="106"/>
  <c r="D5914" i="106" s="1"/>
  <c r="B7071" i="106"/>
  <c r="D7071" i="106" s="1"/>
  <c r="F66" i="34"/>
  <c r="K342" i="29"/>
  <c r="F13" i="34" s="1"/>
  <c r="B1317" i="106"/>
  <c r="D1317" i="106" s="1"/>
  <c r="D7255" i="106"/>
  <c r="D7250" i="106"/>
  <c r="B6014" i="106"/>
  <c r="D6014" i="106" s="1"/>
  <c r="K365" i="29"/>
  <c r="C151" i="29"/>
  <c r="B1226" i="106" s="1"/>
  <c r="D1226" i="106" s="1"/>
  <c r="J16" i="4"/>
  <c r="B6226" i="106" s="1"/>
  <c r="D6226" i="106" s="1"/>
  <c r="N23" i="3"/>
  <c r="B284" i="106" s="1"/>
  <c r="D284" i="106" s="1"/>
  <c r="L16" i="11"/>
  <c r="B2061" i="106" s="1"/>
  <c r="D2061" i="106" s="1"/>
  <c r="C4" i="4"/>
  <c r="B2551" i="106" s="1"/>
  <c r="D2551" i="106" s="1"/>
  <c r="D44" i="36"/>
  <c r="K367" i="29"/>
  <c r="F6" i="4"/>
  <c r="B2593" i="106" s="1"/>
  <c r="D2593" i="106" s="1"/>
  <c r="D274" i="5"/>
  <c r="D7" i="4" s="1"/>
  <c r="B3628" i="106"/>
  <c r="D3628" i="106" s="1"/>
  <c r="D7256" i="106"/>
  <c r="D7251" i="106"/>
  <c r="C114" i="29"/>
  <c r="B757" i="106" s="1"/>
  <c r="D757" i="106" s="1"/>
  <c r="G6" i="4"/>
  <c r="B2604" i="106" s="1"/>
  <c r="D2604" i="106" s="1"/>
  <c r="B5906" i="106"/>
  <c r="D5906" i="106" s="1"/>
  <c r="H6" i="4"/>
  <c r="B2656" i="106" s="1"/>
  <c r="D2656" i="106" s="1"/>
  <c r="F73" i="34"/>
  <c r="G15" i="4"/>
  <c r="B6032" i="106" s="1"/>
  <c r="D6032" i="106" s="1"/>
  <c r="D19" i="7"/>
  <c r="B1775" i="106" s="1"/>
  <c r="D1775" i="106" s="1"/>
  <c r="H77" i="4"/>
  <c r="B3299" i="106" s="1"/>
  <c r="D3299" i="106" s="1"/>
  <c r="D7253" i="106"/>
  <c r="B7733" i="106"/>
  <c r="D7733" i="106" s="1"/>
  <c r="K26" i="12"/>
  <c r="B7743" i="106" s="1"/>
  <c r="D7743" i="106" s="1"/>
  <c r="B1879" i="106"/>
  <c r="D1879" i="106" s="1"/>
  <c r="H22" i="37"/>
  <c r="B3568" i="106"/>
  <c r="D3568" i="106" s="1"/>
  <c r="D52" i="36"/>
  <c r="J367" i="29"/>
  <c r="B7245" i="106" s="1"/>
  <c r="D7245" i="106" s="1"/>
  <c r="B7235" i="106"/>
  <c r="D7235" i="106" s="1"/>
  <c r="F274" i="5"/>
  <c r="F275" i="5" s="1"/>
  <c r="B3672" i="106"/>
  <c r="D3672" i="106" s="1"/>
  <c r="L114" i="29"/>
  <c r="B5214" i="106"/>
  <c r="D5214" i="106" s="1"/>
  <c r="C173" i="5"/>
  <c r="B6025" i="106"/>
  <c r="D6025" i="106" s="1"/>
  <c r="H4" i="4"/>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720" i="106"/>
  <c r="D5720" i="106" s="1"/>
  <c r="B6222" i="106"/>
  <c r="D6222" i="106" s="1"/>
  <c r="B7298" i="106"/>
  <c r="B7299" i="106"/>
  <c r="B5507" i="106" l="1"/>
  <c r="D5507" i="106" s="1"/>
  <c r="B7224" i="106"/>
  <c r="D7224" i="106" s="1"/>
  <c r="J17" i="4"/>
  <c r="F7" i="4"/>
  <c r="B2594" i="106" s="1"/>
  <c r="D2594" i="106" s="1"/>
  <c r="F24" i="37"/>
  <c r="D275" i="5"/>
  <c r="B2655" i="106"/>
  <c r="D2655" i="106" s="1"/>
  <c r="H8" i="4"/>
  <c r="G41" i="108"/>
  <c r="G44" i="108" s="1"/>
  <c r="G45" i="108" s="1"/>
  <c r="B5223" i="106"/>
  <c r="D5223" i="106" s="1"/>
  <c r="C6" i="4"/>
  <c r="B2553" i="106" s="1"/>
  <c r="D2553" i="106" s="1"/>
  <c r="E41" i="108"/>
  <c r="E44" i="108" s="1"/>
  <c r="E45" i="108" s="1"/>
  <c r="B5719" i="106"/>
  <c r="D5719"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8" i="4" l="1"/>
  <c r="D8" i="4"/>
  <c r="J10" i="4"/>
  <c r="B6225" i="106" s="1"/>
  <c r="D6225" i="106" s="1"/>
  <c r="J20" i="4"/>
  <c r="J78" i="4" s="1"/>
  <c r="D10" i="171"/>
  <c r="D19" i="171" s="1"/>
  <c r="D32" i="171" s="1"/>
  <c r="D49" i="171" s="1"/>
  <c r="B2658" i="106"/>
  <c r="D2658" i="106" s="1"/>
  <c r="H10" i="4"/>
  <c r="B4127" i="106" s="1"/>
  <c r="D4127"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B2595" i="106" l="1"/>
  <c r="D2595" i="106" s="1"/>
  <c r="D8" i="146"/>
  <c r="F10" i="4"/>
  <c r="B4125" i="106" s="1"/>
  <c r="D4125" i="106" s="1"/>
  <c r="F14" i="34"/>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<sst xmlns="http://schemas.openxmlformats.org/spreadsheetml/2006/main" count="5055" uniqueCount="2107">
  <si>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</si>
  <si>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</si>
  <si>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</si>
  <si>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</si>
  <si>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</si>
  <si>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</si>
  <si>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</si>
  <si>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</si>
  <si>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</si>
  <si>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</si>
  <si>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</si>
  <si>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</si>
  <si>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</si>
  <si>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</si>
  <si>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</si>
  <si>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</si>
  <si>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</si>
  <si>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</si>
  <si>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</si>
  <si>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</si>
  <si>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</si>
  <si>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</si>
  <si>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</si>
  <si>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</si>
  <si>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</si>
  <si>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</si>
  <si>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</si>
  <si>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</si>
  <si>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</si>
  <si>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</si>
  <si>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</si>
  <si>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</si>
  <si>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</si>
  <si>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</si>
  <si>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</si>
  <si>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</si>
  <si>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</si>
  <si>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</si>
  <si>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</si>
  <si>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</si>
  <si>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</si>
  <si>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</si>
  <si>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</si>
  <si>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</si>
  <si>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</si>
  <si>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</si>
  <si>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</si>
  <si>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</si>
  <si>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</si>
  <si>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</si>
  <si>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</si>
  <si>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</si>
  <si>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</si>
  <si>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</si>
  <si>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</si>
  <si>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</si>
  <si>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</si>
  <si>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</si>
  <si>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</si>
  <si>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</si>
  <si>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</si>
  <si>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</si>
  <si>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</si>
  <si>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</si>
  <si>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</si>
  <si>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</si>
  <si>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</si>
  <si>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</si>
  <si>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</si>
  <si>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</si>
  <si>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</si>
  <si>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</si>
  <si>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</si>
  <si>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</si>
  <si>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</si>
  <si>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</si>
  <si>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</si>
  <si>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</si>
  <si>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</si>
  <si>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</si>
  <si>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</si>
  <si>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</si>
  <si>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</si>
  <si>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</si>
  <si>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</si>
  <si>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</si>
  <si>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</si>
  <si>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</si>
  <si>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</si>
  <si>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</si>
  <si>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</si>
  <si>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</si>
  <si>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</si>
  <si>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</si>
  <si>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</si>
  <si>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</si>
  <si>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</si>
  <si>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</si>
  <si>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</si>
  <si>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</si>
  <si>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</si>
  <si>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</si>
  <si>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</si>
  <si>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</si>
  <si>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</si>
  <si>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</si>
  <si>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</si>
  <si>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</si>
  <si>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</si>
  <si>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</si>
  <si>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</si>
  <si>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</si>
  <si>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</si>
  <si>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</si>
  <si>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</si>
  <si>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</si>
  <si>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</si>
  <si>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</si>
  <si>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</si>
  <si>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</si>
  <si>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</si>
  <si>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</si>
  <si>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</si>
  <si>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</si>
  <si>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</si>
  <si>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</si>
  <si>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</si>
  <si>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</si>
  <si>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</si>
  <si>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</si>
  <si>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</si>
  <si>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</si>
  <si>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</si>
  <si>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</si>
  <si>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</si>
  <si>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</si>
  <si>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</si>
  <si>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</si>
  <si>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</si>
  <si>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</si>
  <si>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</si>
  <si>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</si>
  <si>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</si>
  <si>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</si>
  <si>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</si>
  <si>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</si>
  <si>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</si>
  <si>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</si>
  <si>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</si>
  <si>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</si>
  <si>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</si>
  <si>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</si>
  <si>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</si>
  <si>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</si>
  <si>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</si>
  <si>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</si>
  <si>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</si>
  <si>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</si>
  <si>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</si>
  <si>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</si>
  <si>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</si>
  <si>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</si>
  <si>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</si>
  <si>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</si>
  <si>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</si>
  <si>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</si>
  <si>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</si>
  <si>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</si>
  <si>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</si>
  <si>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</si>
  <si>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</si>
  <si>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</si>
  <si>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</si>
  <si>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</si>
  <si>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</si>
  <si>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</si>
  <si>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</si>
  <si>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</si>
  <si>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</si>
  <si>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</si>
  <si>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</si>
  <si>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</si>
  <si>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</si>
  <si>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</si>
  <si>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</si>
  <si>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</si>
  <si>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</si>
  <si>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</si>
  <si>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</si>
  <si>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</si>
  <si>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</si>
  <si>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</si>
  <si>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</si>
  <si>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</si>
  <si>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</si>
  <si>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</si>
  <si>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</si>
  <si>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</si>
  <si>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</si>
  <si>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</si>
  <si>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</si>
  <si>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</si>
  <si>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</si>
  <si>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</si>
  <si>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</si>
  <si>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</si>
  <si>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</si>
  <si>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</si>
  <si>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</si>
  <si>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</si>
  <si>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</si>
  <si>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</si>
  <si>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</si>
  <si>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</si>
  <si>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</si>
  <si>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</si>
  <si>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</si>
  <si>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</si>
  <si>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</si>
  <si>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</si>
  <si>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</si>
  <si>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</si>
  <si>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</si>
  <si>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</si>
  <si>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</si>
  <si>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</si>
  <si>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</si>
  <si>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</si>
  <si>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</si>
  <si>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</si>
  <si>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</si>
  <si>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</si>
  <si>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</si>
  <si>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</si>
  <si>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</si>
  <si>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</si>
  <si>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</si>
  <si>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</si>
  <si>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</si>
  <si>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</si>
  <si>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</si>
  <si>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</si>
  <si>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</si>
  <si>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</si>
  <si>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</si>
  <si>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</si>
  <si>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</si>
  <si>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</si>
  <si>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</si>
  <si>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</si>
  <si>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</si>
  <si>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</si>
  <si>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</si>
  <si>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</si>
  <si>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</si>
  <si>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</si>
  <si>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</si>
  <si>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</si>
  <si>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</si>
  <si>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</si>
  <si>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</si>
  <si>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</si>
  <si>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</si>
  <si>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</si>
  <si>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</si>
  <si>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</si>
  <si>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</si>
  <si>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</si>
  <si>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</si>
  <si>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</si>
  <si>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</si>
  <si>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</si>
  <si>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</si>
  <si>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</si>
  <si>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</si>
  <si>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</si>
  <si>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</si>
  <si>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</si>
  <si>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</si>
  <si>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</si>
  <si>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</si>
  <si>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</si>
  <si>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</si>
  <si>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</si>
  <si>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</si>
  <si>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</si>
  <si>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</si>
  <si>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</si>
  <si>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</si>
  <si>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</si>
  <si>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</si>
  <si>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</si>
  <si>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</si>
  <si>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</si>
  <si>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</si>
  <si>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</si>
  <si>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</si>
  <si>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</si>
  <si>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</si>
  <si>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</si>
  <si>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</si>
  <si>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</si>
  <si>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</si>
  <si>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</si>
  <si>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</si>
  <si>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</si>
  <si>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</si>
  <si>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</si>
  <si>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</si>
  <si>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</si>
  <si>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</si>
  <si>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</si>
  <si>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</si>
  <si>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</si>
  <si>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</si>
  <si>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</si>
  <si>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</si>
  <si>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</si>
  <si>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</si>
  <si>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</si>
  <si>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</si>
  <si>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</si>
  <si>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</si>
  <si>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</si>
  <si>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</si>
  <si>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</si>
  <si>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</si>
  <si>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</si>
  <si>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</si>
  <si>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</si>
  <si>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</si>
  <si>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</si>
  <si>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</si>
  <si>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</si>
  <si>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</si>
  <si>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</si>
  <si>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</si>
  <si>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</si>
  <si>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</si>
  <si>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</si>
  <si>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</si>
  <si>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</si>
  <si>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</si>
  <si>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</si>
  <si>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</si>
  <si>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</si>
  <si>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</si>
  <si>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</si>
  <si>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</si>
  <si>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</si>
  <si>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</si>
  <si>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</si>
  <si>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</si>
  <si>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</si>
  <si>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</si>
  <si>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</si>
  <si>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</si>
  <si>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</si>
  <si>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</si>
  <si>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</si>
  <si>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</si>
  <si>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</si>
  <si>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</si>
  <si>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</si>
  <si>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</si>
  <si>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</si>
  <si>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</si>
  <si>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</si>
  <si>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</si>
  <si>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</si>
  <si>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</si>
  <si>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</si>
  <si>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</si>
  <si>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</si>
  <si>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</si>
  <si>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</si>
  <si>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</si>
  <si>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</si>
  <si>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</si>
  <si>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</si>
  <si>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</si>
  <si>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</si>
  <si>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</si>
  <si>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</si>
  <si>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</si>
  <si>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</si>
  <si>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</si>
  <si>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</si>
  <si>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</si>
  <si>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</si>
  <si>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</si>
  <si>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</si>
  <si>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</si>
  <si>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</si>
  <si>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</si>
  <si>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</si>
  <si>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</si>
  <si>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</si>
  <si>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</si>
  <si>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</si>
  <si>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</si>
  <si>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</si>
  <si>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</si>
  <si>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</si>
  <si>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</si>
  <si>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</si>
  <si>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</si>
  <si>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</si>
  <si>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</si>
  <si>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</si>
  <si>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</si>
  <si>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</si>
  <si>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</si>
  <si>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</si>
  <si>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</si>
  <si>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</si>
  <si>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</si>
  <si>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</si>
  <si>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</si>
  <si>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</si>
  <si>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</si>
  <si>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</si>
  <si>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</si>
  <si>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</si>
  <si>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</si>
  <si>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</si>
  <si>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</si>
  <si>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</si>
  <si>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</si>
  <si>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</si>
  <si>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</si>
  <si>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</si>
  <si>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</si>
  <si>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</si>
  <si>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</si>
  <si>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</si>
  <si>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</si>
  <si>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</si>
  <si>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</si>
  <si>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</si>
  <si>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</si>
  <si>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</si>
  <si>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</si>
  <si>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</si>
  <si>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</si>
  <si>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</si>
  <si>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</si>
  <si>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</si>
  <si>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</si>
  <si>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</si>
  <si>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</si>
  <si>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</si>
  <si>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</si>
  <si>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</si>
  <si>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</si>
  <si>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</si>
  <si>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</si>
  <si>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</si>
  <si>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</si>
  <si>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</si>
  <si>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</si>
  <si>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</si>
  <si>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</si>
  <si>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</si>
  <si>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</si>
  <si>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</si>
  <si>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</si>
  <si>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</si>
  <si>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</si>
  <si>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</si>
  <si>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</si>
  <si>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</si>
  <si>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</si>
  <si>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</si>
  <si>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</si>
  <si>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</si>
  <si>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</si>
  <si>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</si>
  <si>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</si>
  <si>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</si>
  <si>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</si>
  <si>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</si>
  <si>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</si>
  <si>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</si>
  <si>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</si>
  <si>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</si>
  <si>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</si>
  <si>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</si>
  <si>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</si>
  <si>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</si>
  <si>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</si>
  <si>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</si>
  <si>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</si>
  <si>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</si>
  <si>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</si>
  <si>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</si>
  <si>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</si>
  <si>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</si>
  <si>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</si>
  <si>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</si>
  <si>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</si>
  <si>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</si>
  <si>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</si>
  <si>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</si>
  <si>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</si>
  <si>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</si>
  <si>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</si>
  <si>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</si>
  <si>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</si>
  <si>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</si>
  <si>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</si>
  <si>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</si>
  <si>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</si>
  <si>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</si>
  <si>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</si>
  <si>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</si>
  <si>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</si>
  <si>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</si>
  <si>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</si>
  <si>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</si>
  <si>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</si>
  <si>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</si>
  <si>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</si>
  <si>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</si>
  <si>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</si>
  <si>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</si>
  <si>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</si>
  <si>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</si>
  <si>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</si>
  <si>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</si>
  <si>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</si>
  <si>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</si>
  <si>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</si>
  <si>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</si>
  <si>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</si>
  <si>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</si>
  <si>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</si>
  <si>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</si>
  <si>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</si>
  <si>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</si>
  <si>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</si>
  <si>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</si>
  <si>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</si>
  <si>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</si>
  <si>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</si>
  <si>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</si>
  <si>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</si>
  <si>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</si>
  <si>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</si>
  <si>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</si>
  <si>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</si>
  <si>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</si>
  <si>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</si>
  <si>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</si>
  <si>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</si>
  <si>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</si>
  <si>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</si>
  <si>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</si>
  <si>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</si>
  <si>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</si>
  <si>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</si>
  <si>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</si>
  <si>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</si>
  <si>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</si>
  <si>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</si>
  <si>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</si>
  <si>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</si>
  <si>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</si>
  <si>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</si>
  <si>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</si>
  <si>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</si>
  <si>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</si>
  <si>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</si>
  <si>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</si>
  <si>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</si>
  <si>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</si>
  <si>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</si>
  <si>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</si>
  <si>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</si>
  <si>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</si>
  <si>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</si>
  <si>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</si>
  <si>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</si>
  <si>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</si>
  <si>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</si>
  <si>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</si>
  <si>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</si>
  <si>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</si>
  <si>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</si>
  <si>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</si>
  <si>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</si>
  <si>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</si>
  <si>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</si>
  <si>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</si>
  <si>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</si>
  <si>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</si>
  <si>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</si>
  <si>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</si>
  <si>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</si>
  <si>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</si>
  <si>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</si>
  <si>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</si>
  <si>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</si>
  <si>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</si>
  <si>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</si>
  <si>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</si>
  <si>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</si>
  <si>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</si>
  <si>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</si>
  <si>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</si>
  <si>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</si>
  <si>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</si>
  <si>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</si>
  <si>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</si>
  <si>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</si>
  <si>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</si>
  <si>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</si>
  <si>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</si>
  <si>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</si>
  <si>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</si>
  <si>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</si>
  <si>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</si>
  <si>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</si>
  <si>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</si>
  <si>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</si>
  <si>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</si>
  <si>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</si>
  <si>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</si>
  <si>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</si>
  <si>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</si>
  <si>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</si>
  <si>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</si>
  <si>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</si>
  <si>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</si>
  <si>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</si>
  <si>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</si>
  <si>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</si>
  <si>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</si>
  <si>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</si>
  <si>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</si>
  <si>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</si>
  <si>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</si>
  <si>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</si>
  <si>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</si>
  <si>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</si>
  <si>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</si>
  <si>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</si>
  <si>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</si>
  <si>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</si>
  <si>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</si>
  <si>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</si>
  <si>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</si>
  <si>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</si>
  <si>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</si>
  <si>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</si>
  <si>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</si>
  <si>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</si>
  <si>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</si>
  <si>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</si>
  <si>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</si>
  <si>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</si>
  <si>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</si>
  <si>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</si>
  <si>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</si>
  <si>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</si>
  <si>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</si>
  <si>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</si>
  <si>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</si>
  <si>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</si>
  <si>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</si>
  <si>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</si>
  <si>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</si>
  <si>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</si>
  <si>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</si>
  <si>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</si>
  <si>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</si>
  <si>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</si>
  <si>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</si>
  <si>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</si>
  <si>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</si>
  <si>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</si>
  <si>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</si>
  <si>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</si>
  <si>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</si>
  <si>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</si>
  <si>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</si>
  <si>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</si>
  <si>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</si>
  <si>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</si>
  <si>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</si>
  <si>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</si>
  <si>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</si>
  <si>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</si>
  <si>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</si>
  <si>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</si>
  <si>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</si>
  <si>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</si>
  <si>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</si>
  <si>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</si>
  <si>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</si>
  <si>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</si>
  <si>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</si>
  <si>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</si>
  <si>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</si>
  <si>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</si>
  <si>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</si>
  <si>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</si>
  <si>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</si>
  <si>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</si>
  <si>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</si>
  <si>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</si>
  <si>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</si>
  <si>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</si>
  <si>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</si>
  <si>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</si>
  <si>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</si>
  <si>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</si>
  <si>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</si>
  <si>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</si>
  <si>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</si>
  <si>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</si>
  <si>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</si>
  <si>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</si>
  <si>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</si>
  <si>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</si>
  <si>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</si>
  <si>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</si>
  <si>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</si>
  <si>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</si>
  <si>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</si>
  <si>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</si>
  <si>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</si>
  <si>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</si>
  <si>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</si>
  <si>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</si>
  <si>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</si>
  <si>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</si>
  <si>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</si>
  <si>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</si>
  <si>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</si>
  <si>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</si>
  <si>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</si>
  <si>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</si>
  <si>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</si>
  <si>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</si>
  <si>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</si>
  <si>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</si>
  <si>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</si>
  <si>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</si>
  <si>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</si>
  <si>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</si>
  <si>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</si>
  <si>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</si>
  <si>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</si>
  <si>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</si>
  <si>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</si>
  <si>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</si>
  <si>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</si>
  <si>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</si>
  <si>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</si>
  <si>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</si>
  <si>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</si>
  <si>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</si>
  <si>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</si>
  <si>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</si>
  <si>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</si>
  <si>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</si>
  <si>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</si>
  <si>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</si>
  <si>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</si>
  <si>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</si>
  <si>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</si>
  <si>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</si>
  <si>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</si>
  <si>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</si>
  <si>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</si>
  <si>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</si>
  <si>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</si>
  <si>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</si>
  <si>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</si>
  <si>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</si>
  <si>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</si>
  <si>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</si>
  <si>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</si>
  <si>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</si>
  <si>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</si>
  <si>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</si>
  <si>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</si>
  <si>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</si>
  <si>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</si>
  <si>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</si>
  <si>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</si>
  <si>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</si>
  <si>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</si>
  <si>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</si>
  <si>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</si>
  <si>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</si>
  <si>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</si>
  <si>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</si>
  <si>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</si>
  <si>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</si>
  <si>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</si>
  <si>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</si>
  <si>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</si>
  <si>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</si>
  <si>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</si>
  <si>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</si>
  <si>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</si>
  <si>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</si>
  <si>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</si>
  <si>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</si>
  <si>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</si>
  <si>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</si>
  <si>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</si>
  <si>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</si>
  <si>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</si>
  <si>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</si>
  <si>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</si>
  <si>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</si>
  <si>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</si>
  <si>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</si>
  <si>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</si>
  <si>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</si>
  <si>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</si>
  <si>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</si>
  <si>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</si>
  <si>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</si>
  <si>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</si>
  <si>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</si>
  <si>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</si>
  <si>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</si>
  <si>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</si>
  <si>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</si>
  <si>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</si>
  <si>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</si>
  <si>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</si>
  <si>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</si>
  <si>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</si>
  <si>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</si>
  <si>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</si>
  <si>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</si>
  <si>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</si>
  <si>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</si>
  <si>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</si>
  <si>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</si>
  <si>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</si>
  <si>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</si>
  <si>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</si>
  <si>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</si>
  <si>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</si>
  <si>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</si>
  <si>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</si>
  <si>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</si>
  <si>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</si>
  <si>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</si>
  <si>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</si>
  <si>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</si>
  <si>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</si>
  <si>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</si>
  <si>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</si>
  <si>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</si>
  <si>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</si>
  <si>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</si>
  <si>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</si>
  <si>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</si>
  <si>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</si>
  <si>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</si>
  <si>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</si>
  <si>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</si>
  <si>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</si>
  <si>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</si>
  <si>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</si>
  <si>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</si>
  <si>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</si>
  <si>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</si>
  <si>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</si>
  <si>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</si>
  <si>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</si>
  <si>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</si>
  <si>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</si>
  <si>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</si>
  <si>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</si>
  <si>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</si>
  <si>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</si>
  <si>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</si>
  <si>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</si>
  <si>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</si>
  <si>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</si>
  <si>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</si>
  <si>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</si>
  <si>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</si>
  <si>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</si>
  <si>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</si>
  <si>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</si>
  <si>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</si>
  <si>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</si>
  <si>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</si>
  <si>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</si>
  <si>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</si>
  <si>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</si>
  <si>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</si>
  <si>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</si>
  <si>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</si>
  <si>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</si>
  <si>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</si>
  <si>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</si>
  <si>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</si>
  <si>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</si>
  <si>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</si>
  <si>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</si>
  <si>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</si>
  <si>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</si>
  <si>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</si>
  <si>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</si>
  <si>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</si>
  <si>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</si>
  <si>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</si>
  <si>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</si>
  <si>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</si>
  <si>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</si>
  <si>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</si>
  <si>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</si>
  <si>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</si>
  <si>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</si>
  <si>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</si>
  <si>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</si>
  <si>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</si>
  <si>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</si>
  <si>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</si>
  <si>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</si>
  <si>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</si>
  <si>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</si>
  <si>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</si>
  <si>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</si>
  <si>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</si>
  <si>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</si>
  <si>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</si>
  <si>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</si>
  <si>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</si>
  <si>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</si>
  <si>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</si>
  <si>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</si>
  <si>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</si>
  <si>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</si>
  <si>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</si>
  <si>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</si>
  <si>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</si>
  <si>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</si>
  <si>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</si>
  <si>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</si>
  <si>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</si>
  <si>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</si>
  <si>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</si>
  <si>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</si>
  <si>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</si>
  <si>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</si>
  <si>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</si>
  <si>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</si>
  <si>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</si>
  <si>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</si>
  <si>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</si>
  <si>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</si>
  <si>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</si>
  <si>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</si>
  <si>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</si>
  <si>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</si>
  <si>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</si>
  <si>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</si>
  <si>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</si>
  <si>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</si>
  <si>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</si>
  <si>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</si>
  <si>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</si>
  <si>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</si>
  <si>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</si>
  <si>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</si>
  <si>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</si>
  <si>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</si>
  <si>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</si>
  <si>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</si>
  <si>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</si>
  <si>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</si>
  <si>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</si>
  <si>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</si>
  <si>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</si>
  <si>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</si>
  <si>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</si>
  <si>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</si>
  <si>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</si>
  <si>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</si>
  <si>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</si>
  <si>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</si>
  <si>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</si>
  <si>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</si>
  <si>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</si>
  <si>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</si>
  <si>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</si>
  <si>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</si>
  <si>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</si>
  <si>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</si>
  <si>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</si>
  <si>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</si>
  <si>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</si>
  <si>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</si>
  <si>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</si>
  <si>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</si>
  <si>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</si>
  <si>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</si>
  <si>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</si>
  <si>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</si>
  <si>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</si>
  <si>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</si>
  <si>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</si>
  <si>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</si>
  <si>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</si>
  <si>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</si>
  <si>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</si>
  <si>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</si>
  <si>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</si>
  <si>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</si>
  <si>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</si>
  <si>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</si>
  <si>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</si>
  <si>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</si>
  <si>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</si>
  <si>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</si>
  <si>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</si>
  <si>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</si>
  <si>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</si>
  <si>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</si>
  <si>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</si>
  <si>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</si>
  <si>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</si>
  <si>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</si>
  <si>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</si>
  <si>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</si>
  <si>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</si>
  <si>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</si>
  <si>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</si>
  <si>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</si>
  <si>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</si>
  <si>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</si>
  <si>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</si>
  <si>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</si>
  <si>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</si>
  <si>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</si>
  <si>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</si>
  <si>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</si>
  <si>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</si>
  <si>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</si>
  <si>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</si>
  <si>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</si>
  <si>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</si>
  <si>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</si>
  <si>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</si>
  <si>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</si>
  <si>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</si>
  <si>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</si>
  <si>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</si>
  <si>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</si>
  <si>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</si>
  <si>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</si>
  <si>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</si>
  <si>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</si>
  <si>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</si>
  <si>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</si>
  <si>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</si>
  <si>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</si>
  <si>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</si>
  <si>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</si>
  <si>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</si>
  <si>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</si>
  <si>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</si>
  <si>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</si>
  <si>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</si>
  <si>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</si>
  <si>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</si>
  <si>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</si>
  <si>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</si>
  <si>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</si>
  <si>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</si>
  <si>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</si>
  <si>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</si>
  <si>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</si>
  <si>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</si>
  <si>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</si>
  <si>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</si>
  <si>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</si>
  <si>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</si>
  <si>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</si>
  <si>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</si>
  <si>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</si>
  <si>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</si>
  <si>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</si>
  <si>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</si>
  <si>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</si>
  <si>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</si>
  <si>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</si>
  <si>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</si>
  <si>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</si>
  <si>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</si>
  <si>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</si>
  <si>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</si>
  <si>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</si>
  <si>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</si>
  <si>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</si>
  <si>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</si>
  <si>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</si>
  <si>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</si>
  <si>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</si>
  <si>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</si>
  <si>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</si>
  <si>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</si>
  <si>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</si>
  <si>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</si>
  <si>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</si>
  <si>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</si>
  <si>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</si>
  <si>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</si>
  <si>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</si>
  <si>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</si>
  <si>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</si>
  <si>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</si>
  <si>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</si>
  <si>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</si>
  <si>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</si>
  <si>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</si>
  <si>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</si>
  <si>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</si>
  <si>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</si>
  <si>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</si>
  <si>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</si>
  <si>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</si>
  <si>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</si>
  <si>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</si>
  <si>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</si>
  <si>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</si>
  <si>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</si>
  <si>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</si>
  <si>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</si>
  <si>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</si>
  <si>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</si>
  <si>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</si>
  <si>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</si>
  <si>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</si>
  <si>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</si>
  <si>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</si>
  <si>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</si>
  <si>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</si>
  <si>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</si>
  <si>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</si>
  <si>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</si>
  <si>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</si>
  <si>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</si>
  <si>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</si>
  <si>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</si>
  <si>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</si>
  <si>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</si>
  <si>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</si>
  <si>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</si>
  <si>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</si>
  <si>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</si>
  <si>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</si>
  <si>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</si>
  <si>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</si>
  <si>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</si>
  <si>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</si>
  <si>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</si>
  <si>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</si>
  <si>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</si>
  <si>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</si>
  <si>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</si>
  <si>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</si>
  <si>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</si>
  <si>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</si>
  <si>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</si>
  <si>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</si>
  <si>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</si>
  <si>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</si>
  <si>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</si>
  <si>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</si>
  <si>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</si>
  <si>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</si>
  <si>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</si>
  <si>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</si>
  <si>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</si>
  <si>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</si>
  <si>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</si>
  <si>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</si>
  <si>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</si>
  <si>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</si>
  <si>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</si>
  <si>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</si>
  <si>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</si>
  <si>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</si>
  <si>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</si>
  <si>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</si>
  <si>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</si>
  <si>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</si>
  <si>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</si>
  <si>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</si>
  <si>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</si>
  <si>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</si>
  <si>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</si>
  <si>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</si>
  <si>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</si>
  <si>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</si>
  <si>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</si>
  <si>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</si>
  <si>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</si>
  <si>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</si>
  <si>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</si>
  <si>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</si>
  <si>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</si>
  <si>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</si>
  <si>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</si>
  <si>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</si>
  <si>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</si>
  <si>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</si>
  <si>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</si>
  <si>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</si>
  <si>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</si>
  <si>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</si>
  <si>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</si>
  <si>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</si>
  <si>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</si>
  <si>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</si>
  <si>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</si>
  <si>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</si>
  <si>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</si>
  <si>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</si>
  <si>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</si>
  <si>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</si>
  <si>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</si>
  <si>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</si>
  <si>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</si>
  <si>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</si>
  <si>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</si>
  <si>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</si>
  <si>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</si>
  <si>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</si>
  <si>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</si>
  <si>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</si>
  <si>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</si>
  <si>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</si>
  <si>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</si>
  <si>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</si>
  <si>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</si>
  <si>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</si>
  <si>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</si>
  <si>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</si>
  <si>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</si>
  <si>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</si>
  <si>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</si>
  <si>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</si>
  <si>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</si>
  <si>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</si>
  <si>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</si>
  <si>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</si>
  <si>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</si>
  <si>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</si>
  <si>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</si>
  <si>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</si>
  <si>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</si>
  <si>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</si>
  <si>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</si>
  <si>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</si>
  <si>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</si>
  <si>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</si>
  <si>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</si>
  <si>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</si>
  <si>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</si>
  <si>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</si>
  <si>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</si>
  <si>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</si>
  <si>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</si>
  <si>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</si>
  <si>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</si>
  <si>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</si>
  <si>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</si>
  <si>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</si>
  <si>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</si>
  <si>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</si>
  <si>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</si>
  <si>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</si>
  <si>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</si>
  <si>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</si>
  <si>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</si>
  <si>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</si>
  <si>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</si>
  <si>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</si>
  <si>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</si>
  <si>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</si>
  <si>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</si>
  <si>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</si>
  <si>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</si>
  <si>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</si>
  <si>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</si>
  <si>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</si>
  <si>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</si>
  <si>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</si>
  <si>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</si>
  <si>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</si>
  <si>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</si>
  <si>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</si>
  <si>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</si>
  <si>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</si>
  <si>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</si>
  <si>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</si>
  <si>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</si>
  <si>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</si>
  <si>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</si>
  <si>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</si>
  <si>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</si>
  <si>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</si>
  <si>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</si>
  <si>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</si>
  <si>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</si>
  <si>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</si>
  <si>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</si>
  <si>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</si>
  <si>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</si>
  <si>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</si>
  <si>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</si>
  <si>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</si>
  <si>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</si>
  <si>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</si>
  <si>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</si>
  <si>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</si>
  <si>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</si>
  <si>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</si>
  <si>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</si>
  <si>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</si>
  <si>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</si>
  <si>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</si>
  <si>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</si>
  <si>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</si>
  <si>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</si>
  <si>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</si>
  <si>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</si>
  <si>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</si>
  <si>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</si>
  <si>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</si>
  <si>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</si>
  <si>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</si>
  <si>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</si>
  <si>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</si>
  <si>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</si>
  <si>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</si>
  <si>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</si>
  <si>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</si>
  <si>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</si>
  <si>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</si>
  <si>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</si>
  <si>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</si>
  <si>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</si>
  <si>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</si>
  <si>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</si>
  <si>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</si>
  <si>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</si>
  <si>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</si>
  <si>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</si>
  <si>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</si>
  <si>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</si>
  <si>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</si>
  <si>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</si>
  <si>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</si>
  <si>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</si>
  <si>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</si>
  <si>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</si>
  <si>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</si>
  <si>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</si>
  <si>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</si>
  <si>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</si>
  <si>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</si>
  <si>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</si>
  <si>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</si>
  <si>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</si>
  <si>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</si>
  <si>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</si>
  <si>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</si>
  <si>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</si>
  <si>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</si>
  <si>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</si>
  <si>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</si>
  <si>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</si>
  <si>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</si>
  <si>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</si>
  <si>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</si>
  <si>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</si>
  <si>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</si>
  <si>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</si>
  <si>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</si>
  <si>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</si>
  <si>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</si>
  <si>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</si>
  <si>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</si>
  <si>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</si>
  <si>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</si>
  <si>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</si>
  <si>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</si>
  <si>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</si>
  <si>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</si>
  <si>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</si>
  <si>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</si>
  <si>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</si>
  <si>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</si>
  <si>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</si>
  <si>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</si>
  <si>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</si>
  <si>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</si>
  <si>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</si>
  <si>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</si>
  <si>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</si>
  <si>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</si>
  <si>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</si>
  <si>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</si>
  <si>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</si>
  <si>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</si>
  <si>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</si>
  <si>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</si>
  <si>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</si>
  <si>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</si>
  <si>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</si>
  <si>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</si>
  <si>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</si>
  <si>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</si>
  <si>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</si>
  <si>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</si>
  <si>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</si>
  <si>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</si>
  <si>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</si>
  <si>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</si>
  <si>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</si>
  <si>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</si>
  <si>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</si>
  <si>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</si>
  <si>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</si>
  <si>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</si>
  <si>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</si>
  <si>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</si>
  <si>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</si>
  <si>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</si>
  <si>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</si>
  <si>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</si>
  <si>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</si>
  <si>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</si>
  <si>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</si>
  <si>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</si>
  <si>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</si>
  <si>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</si>
  <si>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</si>
  <si>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</si>
  <si>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</si>
  <si>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</si>
  <si>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</si>
  <si>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</si>
  <si>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</si>
  <si>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</si>
  <si>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</si>
  <si>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</si>
  <si>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</si>
  <si>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</si>
  <si>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</si>
  <si>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</si>
  <si>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</si>
  <si>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</si>
  <si>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</si>
  <si>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</si>
  <si>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</si>
  <si>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</si>
  <si>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</si>
  <si>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</si>
  <si>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</si>
  <si>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</si>
  <si>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</si>
  <si>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</si>
  <si>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</si>
  <si>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</si>
  <si>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</si>
  <si>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</si>
  <si>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</si>
  <si>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</si>
  <si>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</si>
  <si>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</si>
  <si>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</si>
  <si>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</si>
  <si>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</si>
  <si>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</si>
  <si>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</si>
  <si>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</si>
  <si>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</si>
  <si>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</si>
  <si>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</si>
  <si>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</si>
  <si>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</si>
  <si>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</si>
  <si>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</si>
  <si>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</si>
  <si>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</si>
  <si>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</si>
  <si>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</si>
  <si>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</si>
  <si>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</si>
  <si>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</si>
  <si>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</si>
  <si>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</si>
  <si>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</si>
  <si>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</si>
  <si>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</si>
  <si>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</si>
  <si>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</si>
  <si>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</si>
  <si>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</si>
  <si>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</si>
  <si>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</si>
  <si>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</si>
  <si>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</si>
  <si>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</si>
  <si>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</si>
  <si>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</si>
  <si>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</si>
  <si>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</si>
  <si>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</si>
  <si>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</si>
  <si>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</si>
  <si>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</si>
  <si>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</si>
  <si>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</si>
  <si>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</si>
  <si>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</si>
  <si>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</si>
  <si>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</si>
  <si>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</si>
  <si>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</si>
  <si>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</si>
  <si>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</si>
  <si>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</si>
  <si>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</si>
  <si>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</si>
  <si>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</si>
  <si>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</si>
  <si>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</si>
  <si>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</si>
  <si>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</si>
  <si>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</si>
  <si>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</si>
  <si>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</si>
  <si>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</si>
  <si>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</si>
  <si>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</si>
  <si>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</si>
  <si>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</si>
  <si>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</si>
  <si>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</si>
  <si>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</si>
  <si>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</si>
  <si>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</si>
  <si>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</si>
  <si>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</si>
  <si>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</si>
  <si>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</si>
  <si>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</si>
  <si>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</si>
  <si>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</si>
  <si>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</si>
  <si>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</si>
  <si>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</si>
  <si>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</si>
  <si>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</si>
  <si>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</si>
  <si>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</si>
  <si>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</si>
  <si>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</si>
  <si>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</si>
  <si>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</si>
  <si>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</si>
  <si>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</si>
  <si>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</si>
  <si>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</si>
  <si>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</si>
  <si>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</si>
  <si>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</si>
  <si>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</si>
  <si>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</si>
  <si>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</si>
  <si>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</si>
  <si>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</si>
  <si>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</si>
  <si>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</si>
  <si>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</si>
  <si>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</si>
  <si>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</si>
  <si>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</si>
  <si>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</si>
  <si>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</si>
  <si>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</si>
  <si>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</si>
  <si>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</si>
  <si>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</si>
  <si>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</si>
  <si>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</si>
  <si>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</si>
  <si>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</si>
  <si>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</si>
  <si>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</si>
  <si>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</si>
  <si>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</si>
  <si>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</si>
  <si>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</si>
  <si>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</si>
  <si>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</si>
  <si>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</si>
  <si>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</si>
  <si>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</si>
  <si>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</si>
  <si>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</si>
  <si>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</si>
  <si>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</si>
  <si>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</si>
  <si>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</si>
  <si>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</si>
  <si>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</si>
  <si>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</si>
  <si>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</si>
  <si>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</si>
  <si>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</si>
  <si>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</si>
  <si>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</si>
  <si>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</si>
  <si>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</si>
  <si>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</si>
  <si>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</si>
  <si>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</si>
  <si>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</si>
  <si>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</si>
  <si>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</si>
  <si>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</si>
  <si>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</si>
  <si>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</si>
  <si>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</si>
  <si>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</si>
  <si>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</si>
  <si>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</si>
  <si>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</si>
  <si>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</si>
  <si>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</si>
  <si>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</si>
  <si>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</si>
  <si>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</si>
  <si>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</si>
  <si>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</si>
  <si>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</si>
  <si>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</si>
  <si>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</si>
  <si>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</si>
  <si>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</si>
  <si>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</si>
  <si>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</si>
  <si>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</si>
  <si>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</si>
  <si>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</si>
  <si>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</si>
  <si>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</si>
  <si>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</si>
  <si>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</si>
  <si>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</si>
  <si>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</si>
  <si>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</si>
  <si>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</si>
  <si>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</si>
  <si>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</si>
  <si>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</si>
  <si>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</si>
  <si>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</si>
  <si>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</si>
  <si>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</si>
  <si>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</si>
  <si>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</si>
  <si>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</si>
  <si>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</si>
  <si>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</si>
  <si>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</si>
  <si>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</si>
  <si>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</si>
  <si>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</si>
  <si>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</si>
  <si>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</si>
  <si>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</si>
  <si>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</si>
  <si>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</si>
  <si>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</si>
  <si>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</si>
  <si>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</si>
  <si>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</si>
  <si>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</si>
  <si>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</si>
  <si>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</si>
  <si>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</si>
  <si>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</si>
  <si>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</si>
  <si>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</si>
  <si>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</si>
  <si>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</si>
  <si>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</si>
  <si>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</si>
  <si>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</si>
  <si>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</si>
  <si>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</si>
  <si>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</si>
  <si>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</si>
  <si>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</si>
  <si>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</si>
  <si>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</si>
  <si>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</si>
  <si>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</si>
  <si>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</si>
  <si>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</si>
  <si>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</si>
  <si>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</si>
  <si>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</si>
  <si>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</si>
  <si>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</si>
  <si>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</si>
  <si>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</si>
  <si>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</si>
  <si>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</si>
  <si>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</si>
  <si>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</si>
  <si>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</si>
  <si>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</si>
  <si>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</si>
  <si>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</si>
  <si>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</si>
  <si>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</si>
  <si>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</si>
  <si>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</si>
  <si>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</si>
  <si>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</si>
  <si>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</si>
  <si>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</si>
  <si>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</si>
  <si>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</si>
  <si>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</si>
  <si>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</si>
  <si>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</si>
  <si>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</si>
  <si>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</si>
  <si>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</si>
  <si>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</si>
  <si>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</si>
  <si>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</si>
  <si>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</si>
  <si>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</si>
  <si>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</si>
  <si>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</si>
  <si>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</si>
  <si>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</si>
  <si>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</si>
  <si>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</si>
  <si>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</si>
  <si>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</si>
  <si>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</si>
  <si>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</si>
  <si>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</si>
  <si>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</si>
  <si>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</si>
  <si>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</si>
  <si>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</si>
  <si>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</si>
  <si>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</si>
  <si>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</si>
  <si>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</si>
  <si>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</si>
  <si>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</si>
  <si>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</si>
  <si>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</si>
  <si>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</si>
  <si>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</si>
  <si>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</si>
  <si>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</si>
  <si>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</si>
  <si>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</si>
  <si>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</si>
  <si>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</si>
  <si>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</si>
  <si>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</si>
  <si>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</si>
  <si>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</si>
  <si>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</si>
  <si>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</si>
  <si>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</si>
  <si>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</si>
  <si>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</si>
  <si>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</si>
  <si>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</si>
  <si>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</si>
  <si>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</si>
  <si>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</si>
  <si>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</si>
  <si>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</si>
  <si>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</si>
  <si>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</si>
  <si>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</si>
  <si>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</si>
  <si>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</si>
  <si>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</si>
  <si>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</si>
  <si>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</si>
  <si>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</si>
  <si>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</si>
  <si>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</si>
  <si>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</si>
  <si>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</si>
  <si>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</si>
  <si>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</si>
  <si>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</si>
  <si>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</si>
  <si>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</si>
  <si>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</si>
  <si>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</si>
  <si>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</si>
  <si>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</si>
  <si>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</si>
  <si>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</si>
  <si>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</si>
  <si>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</si>
  <si>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</si>
  <si>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</si>
  <si>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</si>
  <si>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</si>
  <si>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</si>
  <si>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</si>
  <si>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</si>
  <si>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</si>
  <si>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</si>
  <si>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</si>
  <si>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</si>
  <si>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</si>
  <si>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</si>
  <si>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</si>
  <si>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</si>
  <si>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</si>
  <si>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</si>
  <si>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</si>
  <si>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</si>
  <si>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</si>
  <si>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</si>
  <si>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</si>
  <si>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</si>
  <si>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</si>
  <si>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</si>
  <si>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</si>
  <si>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</si>
  <si>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</si>
  <si>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</si>
  <si>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</si>
  <si>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</si>
  <si>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</si>
  <si>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</si>
  <si>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</si>
  <si>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</si>
  <si>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</si>
  <si>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</si>
  <si>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</si>
  <si>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</si>
  <si>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</si>
  <si>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</si>
  <si>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</si>
  <si>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</si>
  <si>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</si>
  <si>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</si>
  <si>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</si>
  <si>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</si>
  <si>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</si>
  <si>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</si>
  <si>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</si>
  <si>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</si>
  <si>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</si>
  <si>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</si>
  <si>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</si>
  <si>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</si>
  <si>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</si>
  <si>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</si>
  <si>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</si>
  <si>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</si>
  <si>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</si>
  <si>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</si>
  <si>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</si>
  <si>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</si>
  <si>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</si>
  <si>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</si>
  <si>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</si>
  <si>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</si>
  <si>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</si>
  <si>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</si>
  <si>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</si>
  <si>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</si>
  <si>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</si>
  <si>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</si>
  <si>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</si>
  <si>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</si>
  <si>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</si>
  <si>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</si>
  <si>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</si>
  <si>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</si>
  <si>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</si>
  <si>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</si>
  <si>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</si>
  <si>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</si>
  <si>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</si>
  <si>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</si>
  <si>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</si>
  <si>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</si>
  <si>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</si>
  <si>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</si>
  <si>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</si>
  <si>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</si>
  <si>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</si>
  <si>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</si>
  <si>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</si>
  <si>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</si>
  <si>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</si>
  <si>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</si>
  <si>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</si>
  <si>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</si>
  <si>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</si>
  <si>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</si>
  <si>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</si>
  <si>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</si>
  <si>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</si>
  <si>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</si>
  <si>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</si>
  <si>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</si>
  <si>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</si>
  <si>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</si>
  <si>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</si>
  <si>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</si>
  <si>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</si>
  <si>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</si>
  <si>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</si>
  <si>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</si>
  <si>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</si>
  <si>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</si>
  <si>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</si>
  <si>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</si>
  <si>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</si>
  <si>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</si>
  <si>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</si>
  <si>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</si>
  <si>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</si>
  <si>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</si>
  <si>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</si>
  <si>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</si>
  <si>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</si>
  <si>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</si>
  <si>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</si>
  <si>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</si>
  <si>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</si>
  <si>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</si>
  <si>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</si>
  <si>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</si>
  <si>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</si>
  <si>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</si>
  <si>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</si>
  <si>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</si>
  <si>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</si>
  <si>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</si>
  <si>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</si>
  <si>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</si>
  <si>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</si>
  <si>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</si>
  <si>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</si>
  <si>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</si>
  <si>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</si>
  <si>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</si>
  <si>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</si>
  <si>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</si>
  <si>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</si>
  <si>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</si>
  <si>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</si>
  <si>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</si>
  <si>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</si>
  <si>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</si>
  <si>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</si>
  <si>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</si>
  <si>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</si>
  <si>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</si>
  <si>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</si>
  <si>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</si>
  <si>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</si>
  <si>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</si>
  <si>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</si>
  <si>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</si>
  <si>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</si>
  <si>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</si>
  <si>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</si>
  <si>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</si>
  <si>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</si>
  <si>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</si>
  <si>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</si>
  <si>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</si>
  <si>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</si>
  <si>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</si>
  <si>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</si>
  <si>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</si>
  <si>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</si>
  <si>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</si>
  <si>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</si>
  <si>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</si>
  <si>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</si>
  <si>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</si>
  <si>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</si>
  <si>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</si>
  <si>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</si>
  <si>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</si>
  <si>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</si>
  <si>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</si>
  <si>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</si>
  <si>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</si>
  <si>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</si>
  <si>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</si>
  <si>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</si>
  <si>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</si>
  <si>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</si>
  <si>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</si>
  <si>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</si>
  <si>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</si>
  <si>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</si>
  <si>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</si>
  <si>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</si>
  <si>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</si>
  <si>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</si>
  <si>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</si>
  <si>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</si>
  <si>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</si>
  <si>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</si>
  <si>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</si>
  <si>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</si>
  <si>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</si>
  <si>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</si>
  <si>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</si>
  <si>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</si>
  <si>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</si>
  <si>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</si>
  <si>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</si>
  <si>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</si>
  <si>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</si>
  <si>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</si>
  <si>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</si>
  <si>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</si>
  <si>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</si>
  <si>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</si>
  <si>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</si>
  <si>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</si>
  <si>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</si>
  <si>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</si>
  <si>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</si>
  <si>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</si>
  <si>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</si>
  <si>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</si>
  <si>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</si>
  <si>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</si>
  <si>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</si>
  <si>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</si>
  <si>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</si>
  <si>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</si>
  <si>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</si>
  <si>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</si>
  <si>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</si>
  <si>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</si>
  <si>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</si>
  <si>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</si>
  <si>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</si>
  <si>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</si>
  <si>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</si>
  <si>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</si>
  <si>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Monroe, Randolph, and St. Clair</t>
  </si>
  <si>
    <t>#1 Taylor Street, Room 101</t>
  </si>
  <si>
    <t>Chester</t>
  </si>
  <si>
    <t>X</t>
  </si>
  <si>
    <t>Scheffel Boyle CPAs</t>
  </si>
  <si>
    <t>Dale Holtman, CPA</t>
  </si>
  <si>
    <t>222 East Main Street</t>
  </si>
  <si>
    <t>Belleville</t>
  </si>
  <si>
    <t>IL</t>
  </si>
  <si>
    <t>618-277-8100</t>
  </si>
  <si>
    <t>618-277-9307</t>
  </si>
  <si>
    <t>Dian Keil</t>
  </si>
  <si>
    <t>dkeil@roe45.org</t>
  </si>
  <si>
    <t>618-826-5471</t>
  </si>
  <si>
    <t>618-826-5474</t>
  </si>
  <si>
    <t>Mr. Kelton Davis</t>
  </si>
  <si>
    <t>kdavis@roe45.org</t>
  </si>
  <si>
    <t>618-939-5650</t>
  </si>
  <si>
    <t>618-939-5332</t>
  </si>
  <si>
    <t>SCHEFFEL BOYLE</t>
  </si>
  <si>
    <t>x</t>
  </si>
  <si>
    <t>St. Clair and Madison Counties EFE's</t>
  </si>
  <si>
    <t>Monroe-Randolph ROE</t>
  </si>
  <si>
    <t>St. Clair and Madison Counties EFE's and Monroe-Randolph ROE</t>
  </si>
  <si>
    <t>065-026956</t>
  </si>
  <si>
    <t>ED-Support Services-General administration</t>
  </si>
  <si>
    <t>Scheffel Boyle</t>
  </si>
  <si>
    <t>10-2300-300</t>
  </si>
  <si>
    <t>Page 18 - Account 4799 - 93,598 is Perkins grants</t>
  </si>
  <si>
    <t>OKAW RVS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</si>
</sst>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L32" sqref="L3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c r="C5" s="26" t="s">
        <v>966</v>
      </c>
      <c r="D5" s="84"/>
      <c r="E5" s="84"/>
      <c r="H5" s="38"/>
      <c r="I5" s="2011" t="s">
        <v>701</v>
      </c>
      <c r="J5" s="2010"/>
      <c r="K5" s="2010"/>
      <c r="L5" s="2010"/>
      <c r="M5" s="2010"/>
      <c r="N5" s="2010"/>
      <c r="O5" s="2010"/>
      <c r="P5" s="2010"/>
      <c r="Q5" s="2010"/>
      <c r="R5" s="2010"/>
      <c r="S5" s="2010"/>
    </row>
    <row r="6" spans="1:28" ht="14.1" customHeight="1" x14ac:dyDescent="0.2">
      <c r="B6" s="104" t="s">
        <v>2080</v>
      </c>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2080</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45000000046</v>
      </c>
      <c r="B13" s="2037"/>
      <c r="C13" s="2037"/>
      <c r="D13" s="2037"/>
      <c r="E13" s="2037"/>
      <c r="F13" s="2037"/>
      <c r="G13" s="2037"/>
      <c r="H13" s="2038"/>
      <c r="I13" s="31"/>
      <c r="J13" s="30"/>
      <c r="K13" s="28"/>
      <c r="L13" s="30"/>
      <c r="M13" s="30"/>
      <c r="N13" s="30"/>
      <c r="O13" s="30"/>
      <c r="P13" s="30"/>
      <c r="Q13" s="30"/>
      <c r="R13" s="30"/>
      <c r="S13" s="30"/>
      <c r="T13" s="2041" t="s">
        <v>2081</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2077</v>
      </c>
      <c r="B15" s="2039"/>
      <c r="C15" s="2039"/>
      <c r="D15" s="2039"/>
      <c r="E15" s="2039"/>
      <c r="F15" s="2039"/>
      <c r="G15" s="2039"/>
      <c r="H15" s="2040"/>
      <c r="T15" s="2045" t="s">
        <v>2082</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2106</v>
      </c>
      <c r="B17" s="1996"/>
      <c r="C17" s="1996"/>
      <c r="D17" s="1996"/>
      <c r="E17" s="1996"/>
      <c r="F17" s="1996"/>
      <c r="G17" s="1996"/>
      <c r="H17" s="2021"/>
      <c r="T17" s="2052" t="s">
        <v>2083</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2078</v>
      </c>
      <c r="B19" s="1981"/>
      <c r="C19" s="1981"/>
      <c r="D19" s="1981"/>
      <c r="E19" s="1981"/>
      <c r="F19" s="1981"/>
      <c r="G19" s="1981"/>
      <c r="H19" s="1961"/>
      <c r="I19" s="30"/>
      <c r="J19" s="99"/>
      <c r="K19" s="40"/>
      <c r="L19" s="38"/>
      <c r="M19" s="112" t="s">
        <v>333</v>
      </c>
      <c r="P19" s="27"/>
      <c r="Q19" s="27"/>
      <c r="R19" s="27"/>
      <c r="S19" s="31"/>
      <c r="T19" s="2035" t="s">
        <v>2084</v>
      </c>
      <c r="U19" s="1960"/>
      <c r="V19" s="1960"/>
      <c r="W19" s="1961"/>
      <c r="X19" s="2050" t="s">
        <v>2085</v>
      </c>
      <c r="Y19" s="2051"/>
      <c r="Z19" s="2048">
        <v>62220</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2079</v>
      </c>
      <c r="B21" s="1960"/>
      <c r="C21" s="1960"/>
      <c r="D21" s="1960"/>
      <c r="E21" s="1960"/>
      <c r="F21" s="1960"/>
      <c r="G21" s="1960"/>
      <c r="H21" s="1961"/>
      <c r="I21" s="2015" t="s">
        <v>699</v>
      </c>
      <c r="J21" s="2010"/>
      <c r="K21" s="2010"/>
      <c r="L21" s="2010"/>
      <c r="M21" s="2010"/>
      <c r="N21" s="2010"/>
      <c r="O21" s="2010"/>
      <c r="P21" s="2010"/>
      <c r="Q21" s="2010"/>
      <c r="R21" s="2010"/>
      <c r="S21" s="2016"/>
      <c r="T21" s="2059" t="s">
        <v>2086</v>
      </c>
      <c r="U21" s="2060"/>
      <c r="V21" s="2060"/>
      <c r="W21" s="2060"/>
      <c r="X21" s="2065" t="s">
        <v>2087</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2101</v>
      </c>
      <c r="U23" s="2058"/>
      <c r="V23" s="2058"/>
      <c r="W23" s="2058"/>
      <c r="X23" s="2062">
        <v>44469</v>
      </c>
      <c r="Y23" s="2063"/>
      <c r="Z23" s="2063"/>
      <c r="AA23" s="2064"/>
    </row>
    <row r="24" spans="1:27" ht="14.1" customHeight="1" x14ac:dyDescent="0.2">
      <c r="A24" s="88" t="s">
        <v>698</v>
      </c>
      <c r="B24" s="49"/>
      <c r="C24" s="49"/>
      <c r="D24" s="49"/>
      <c r="E24" s="49"/>
      <c r="F24" s="49"/>
      <c r="G24" s="49"/>
      <c r="H24" s="61"/>
      <c r="J24" s="1982" t="str">
        <f>IF(B5="x",IF(AUDITCHECK!D29="AFR form Incomplete.","",IF(AUDITCHECK!D29="Deficit reduction plan is required.","School District must complete a deficit reduction plan in the 2018-2019 Budget",)),"")</f>
        <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62233</v>
      </c>
      <c r="B25" s="1960"/>
      <c r="C25" s="1960"/>
      <c r="D25" s="1960"/>
      <c r="E25" s="1960"/>
      <c r="F25" s="1960"/>
      <c r="G25" s="1960"/>
      <c r="H25" s="1961"/>
      <c r="I25" s="113"/>
      <c r="J25" s="1984"/>
      <c r="K25" s="1984"/>
      <c r="L25" s="1984"/>
      <c r="M25" s="1984"/>
      <c r="N25" s="1984"/>
      <c r="O25" s="1984"/>
      <c r="P25" s="1984"/>
      <c r="Q25" s="1984"/>
      <c r="R25" s="1984"/>
      <c r="S25" s="1985"/>
      <c r="T25" s="2055"/>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1231</v>
      </c>
      <c r="F29" s="141" t="s">
        <v>1383</v>
      </c>
      <c r="G29" s="114"/>
      <c r="I29" s="54"/>
      <c r="J29" s="102"/>
      <c r="K29" s="28" t="s">
        <v>597</v>
      </c>
      <c r="L29" s="148" t="s">
        <v>2080</v>
      </c>
      <c r="M29" s="40" t="s">
        <v>101</v>
      </c>
      <c r="N29" s="32" t="s">
        <v>1604</v>
      </c>
      <c r="O29" s="32"/>
      <c r="P29" s="32"/>
      <c r="Q29" s="32"/>
      <c r="R29" s="32"/>
      <c r="S29" s="123"/>
      <c r="T29" s="6"/>
      <c r="U29" s="6"/>
      <c r="V29" s="6"/>
      <c r="W29" s="6"/>
      <c r="X29" s="6"/>
      <c r="Y29" s="6"/>
      <c r="Z29" s="6"/>
      <c r="AA29" s="132"/>
    </row>
    <row r="30" spans="1:27" ht="13.5" customHeight="1" x14ac:dyDescent="0.2">
      <c r="A30" s="153"/>
      <c r="B30" s="136" t="s">
        <v>2097</v>
      </c>
      <c r="C30" s="124" t="s">
        <v>1226</v>
      </c>
      <c r="D30" s="28"/>
      <c r="E30" s="28"/>
      <c r="F30" s="140"/>
      <c r="G30" s="114"/>
      <c r="H30" s="114"/>
      <c r="I30" s="54"/>
      <c r="J30" s="102"/>
      <c r="K30" s="28" t="s">
        <v>597</v>
      </c>
      <c r="L30" s="148" t="s">
        <v>2097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2097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2088</v>
      </c>
      <c r="B38" s="1996"/>
      <c r="C38" s="1996"/>
      <c r="D38" s="1996"/>
      <c r="E38" s="1996"/>
      <c r="F38" s="1960"/>
      <c r="G38" s="1960"/>
      <c r="H38" s="1961"/>
      <c r="I38" s="1988"/>
      <c r="J38" s="1989"/>
      <c r="K38" s="1989"/>
      <c r="L38" s="1989"/>
      <c r="M38" s="1989"/>
      <c r="N38" s="1989"/>
      <c r="O38" s="1989"/>
      <c r="P38" s="1990"/>
      <c r="Q38" s="1990"/>
      <c r="R38" s="1990"/>
      <c r="S38" s="1991"/>
      <c r="T38" s="2045" t="s">
        <v>2092</v>
      </c>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2089</v>
      </c>
      <c r="B40" s="1974"/>
      <c r="C40" s="1975"/>
      <c r="D40" s="1975"/>
      <c r="E40" s="1975"/>
      <c r="F40" s="1976"/>
      <c r="G40" s="1976"/>
      <c r="H40" s="1977"/>
      <c r="I40" s="1998"/>
      <c r="J40" s="1999"/>
      <c r="K40" s="1999"/>
      <c r="L40" s="1999"/>
      <c r="M40" s="1999"/>
      <c r="N40" s="1999"/>
      <c r="O40" s="1999"/>
      <c r="P40" s="1999"/>
      <c r="Q40" s="1999"/>
      <c r="R40" s="1999"/>
      <c r="S40" s="2000"/>
      <c r="T40" s="1998" t="s">
        <v>2093</v>
      </c>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2090</v>
      </c>
      <c r="B42" s="1979"/>
      <c r="C42" s="1980"/>
      <c r="D42" s="1978" t="s">
        <v>2091</v>
      </c>
      <c r="E42" s="1979"/>
      <c r="F42" s="1979"/>
      <c r="G42" s="1979"/>
      <c r="H42" s="1980"/>
      <c r="I42" s="1962"/>
      <c r="J42" s="1963"/>
      <c r="K42" s="1963"/>
      <c r="L42" s="1963"/>
      <c r="M42" s="1963"/>
      <c r="N42" s="1963"/>
      <c r="O42" s="1964"/>
      <c r="P42" s="1997"/>
      <c r="Q42" s="1963"/>
      <c r="R42" s="1963"/>
      <c r="S42" s="1964"/>
      <c r="T42" s="1962" t="s">
        <v>2094</v>
      </c>
      <c r="U42" s="1963"/>
      <c r="V42" s="1963"/>
      <c r="W42" s="1964"/>
      <c r="X42" s="1997" t="s">
        <v>2095</v>
      </c>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7" sqref="A7:D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110" zoomScaleNormal="110" workbookViewId="0">
      <selection activeCell="A7" sqref="A7:D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7" sqref="A7:D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12" sqref="E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836705</v>
      </c>
      <c r="D12" s="845">
        <v>197836</v>
      </c>
      <c r="E12" s="845"/>
      <c r="F12" s="1782">
        <f>(C12+D12)-E12</f>
        <v>1034541</v>
      </c>
      <c r="G12" s="844">
        <v>10</v>
      </c>
      <c r="H12" s="766">
        <v>777389</v>
      </c>
      <c r="I12" s="766">
        <v>59316</v>
      </c>
      <c r="J12" s="766"/>
      <c r="K12" s="1791">
        <f>(H12+I12)-J12</f>
        <v>836705</v>
      </c>
      <c r="L12" s="1791">
        <f>F12-K12</f>
        <v>197836</v>
      </c>
    </row>
    <row r="13" spans="1:14" ht="14.25" thickTop="1" thickBot="1" x14ac:dyDescent="0.25">
      <c r="A13" s="849" t="s">
        <v>1184</v>
      </c>
      <c r="B13" s="841">
        <v>252</v>
      </c>
      <c r="C13" s="845">
        <v>891084</v>
      </c>
      <c r="D13" s="845"/>
      <c r="E13" s="845"/>
      <c r="F13" s="1782">
        <f>(C13+D13)-E13</f>
        <v>891084</v>
      </c>
      <c r="G13" s="844">
        <v>5</v>
      </c>
      <c r="H13" s="766">
        <v>623959</v>
      </c>
      <c r="I13" s="766">
        <v>97410</v>
      </c>
      <c r="J13" s="766"/>
      <c r="K13" s="1791">
        <f>(H13+I13)-J13</f>
        <v>721369</v>
      </c>
      <c r="L13" s="1791">
        <f>F13-K13</f>
        <v>169715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1727789</v>
      </c>
      <c r="D16" s="1782">
        <f>SUM(D3,D5:D6,D8:D10,D12:D15)</f>
        <v>197836</v>
      </c>
      <c r="E16" s="1782">
        <f>SUM(E3,E5:E6,E8:E10,E12:E15)</f>
        <v>0</v>
      </c>
      <c r="F16" s="1782">
        <f>SUM(F3,F5:F6,F8:F10,F12:F15)</f>
        <v>1925625</v>
      </c>
      <c r="G16" s="844"/>
      <c r="H16" s="1782">
        <f>SUM(H3,H6,H8:H10,H12:H14,)</f>
        <v>1401348</v>
      </c>
      <c r="I16" s="1782">
        <f>SUM(I3,I6,I8:I10,I12:I14,)</f>
        <v>156726</v>
      </c>
      <c r="J16" s="1782">
        <f>SUM(J3,J6,J8:J10,J12:J14,)</f>
        <v>0</v>
      </c>
      <c r="K16" s="1782">
        <f>(H16+I16)-J16</f>
        <v>1558074</v>
      </c>
      <c r="L16" s="1782">
        <f>F16-K16</f>
        <v>367551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156726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A7" sqref="A7:D7"/>
      <selection pane="bottomLeft" activeCell="A78" sqref="A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728088</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728088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263356</v>
      </c>
      <c r="G53" s="866"/>
    </row>
    <row r="54" spans="1:7" x14ac:dyDescent="0.2">
      <c r="A54" s="870" t="s">
        <v>479</v>
      </c>
      <c r="B54" s="870" t="s">
        <v>1552</v>
      </c>
      <c r="C54" s="890" t="s">
        <v>1039</v>
      </c>
      <c r="D54" s="886" t="s">
        <v>1157</v>
      </c>
      <c r="E54" s="869"/>
      <c r="F54" s="1939">
        <f>'Expenditures 15-22'!G114</f>
        <v>198556</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461912</v>
      </c>
      <c r="G76" s="866"/>
    </row>
    <row r="77" spans="1:8" s="894" customFormat="1" ht="12" customHeight="1" thickTop="1" thickBot="1" x14ac:dyDescent="0.25">
      <c r="A77" s="1801"/>
      <c r="B77" s="1798"/>
      <c r="C77" s="1794"/>
      <c r="D77" s="1799" t="s">
        <v>2012</v>
      </c>
      <c r="E77" s="1796"/>
      <c r="F77" s="1802">
        <f>(F14-F76)</f>
        <v>266176</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627991</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93598</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721589</v>
      </c>
    </row>
    <row r="179" spans="1:7" ht="12" customHeight="1" x14ac:dyDescent="0.2">
      <c r="A179" s="1792"/>
      <c r="B179" s="1806"/>
      <c r="C179" s="1807"/>
      <c r="D179" s="1808" t="s">
        <v>2015</v>
      </c>
      <c r="E179" s="1809"/>
      <c r="F179" s="1811">
        <f>'PCTC-OEPP 27-28'!F77-F178</f>
        <v>-455413</v>
      </c>
    </row>
    <row r="180" spans="1:7" ht="12" customHeight="1" x14ac:dyDescent="0.2">
      <c r="A180" s="1792"/>
      <c r="B180" s="1806"/>
      <c r="C180" s="1807"/>
      <c r="D180" s="1808" t="s">
        <v>1924</v>
      </c>
      <c r="E180" s="1809"/>
      <c r="F180" s="1811">
        <f>'Cap Outlay Deprec 26'!I18</f>
        <v>156726</v>
      </c>
    </row>
    <row r="181" spans="1:7" ht="12" customHeight="1" x14ac:dyDescent="0.2">
      <c r="A181" s="1792"/>
      <c r="B181" s="1806"/>
      <c r="C181" s="1807"/>
      <c r="D181" s="1808" t="s">
        <v>2016</v>
      </c>
      <c r="E181" s="1809"/>
      <c r="F181" s="1811">
        <f>F179+F180</f>
        <v>-298687</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4" zoomScaleNormal="100" workbookViewId="0">
      <selection activeCell="B18" sqref="B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2102</v>
      </c>
      <c r="B17" s="1957" t="s">
        <v>2104</v>
      </c>
      <c r="C17" s="1958" t="s">
        <v>2103</v>
      </c>
      <c r="D17" s="1867">
        <v>4000</v>
      </c>
      <c r="E17" s="1562">
        <f t="shared" ref="E17:E141" si="1">IF(D17&lt;=25000,D17,IF(D17&gt;25000,25000,0))</f>
        <v>4000</v>
      </c>
      <c r="F17" s="1815">
        <f t="shared" si="0"/>
        <v>4000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4000</v>
      </c>
      <c r="E141" s="1563">
        <f t="shared" si="1"/>
        <v>4000</v>
      </c>
      <c r="F141" s="1817">
        <f>SUM(F17:F140)</f>
        <v>4000</v>
      </c>
      <c r="G141" s="1818">
        <f>SUM(G17:G140)</f>
        <v>0</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A10" colorId="8" zoomScaleNormal="110" workbookViewId="0">
      <selection activeCell="E22" sqref="E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201268</v>
      </c>
      <c r="F19" s="1822"/>
      <c r="G19" s="1824">
        <f>'Expenditures 15-22'!K33-SUM('Expenditures 15-22'!G33,'Expenditures 15-22'!I33)+'Expenditures 15-22'!D229</f>
        <v>201268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3254</v>
      </c>
      <c r="F21" s="1825"/>
      <c r="G21" s="1828">
        <f>'Expenditures 15-22'!K42-SUM('Expenditures 15-22'!G42,'Expenditures 15-22'!I42)+'Expenditures 15-22'!K120-SUM('Expenditures 15-22'!G120,'Expenditures 15-22'!I120)+'Expenditures 15-22'!K180-SUM('Expenditures 15-22'!G180,'Expenditures 15-22'!I180)+'Expenditures 15-22'!D238</f>
        <v>3254</v>
      </c>
      <c r="H21" s="988"/>
      <c r="I21" s="162"/>
    </row>
    <row r="22" spans="1:9" s="669" customFormat="1" ht="12" customHeight="1" x14ac:dyDescent="0.2">
      <c r="A22" s="995" t="s">
        <v>585</v>
      </c>
      <c r="B22" s="996"/>
      <c r="C22" s="994">
        <v>2200</v>
      </c>
      <c r="D22" s="1825"/>
      <c r="E22" s="1827">
        <f>'Expenditures 15-22'!K47-SUM('Expenditures 15-22'!G47,'Expenditures 15-22'!I47)+'Expenditures 15-22'!D243</f>
        <v>4606</v>
      </c>
      <c r="F22" s="1825"/>
      <c r="G22" s="1828">
        <f>'Expenditures 15-22'!K47-SUM('Expenditures 15-22'!G47,'Expenditures 15-22'!I47)+'Expenditures 15-22'!D243</f>
        <v>4606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33042</v>
      </c>
      <c r="F23" s="1825"/>
      <c r="G23" s="1827">
        <f>'Expenditures 15-22'!K53-SUM('Expenditures 15-22'!G53,'Expenditures 15-22'!I53)+'Expenditures 15-22'!D257+'Expenditures 15-22'!K330-SUM('Expenditures 15-22'!G330,'Expenditures 15-22'!I330)</f>
        <v>33042</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24006</v>
      </c>
      <c r="E27" s="1827">
        <f>E8</f>
        <v>0</v>
      </c>
      <c r="F27" s="1827">
        <f>'Expenditures 15-22'!K60-SUM('Expenditures 15-22'!G60,'Expenditures 15-22'!I60)+'Expenditures 15-22'!D264-E8</f>
        <v>24006</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24006</v>
      </c>
      <c r="E41" s="1829">
        <f>SUM(E19:E40)</f>
        <v>242170</v>
      </c>
      <c r="F41" s="1829">
        <f>SUM(F19:F39)</f>
        <v>24006</v>
      </c>
      <c r="G41" s="1829">
        <f>SUM(G19:G40)</f>
        <v>242170</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24006</v>
      </c>
      <c r="F43" s="1830" t="s">
        <v>495</v>
      </c>
      <c r="G43" s="1831">
        <f>F41</f>
        <v>24006</v>
      </c>
    </row>
    <row r="44" spans="1:7" ht="12" customHeight="1" x14ac:dyDescent="0.2">
      <c r="A44" s="988"/>
      <c r="B44" s="162"/>
      <c r="C44" s="1002"/>
      <c r="D44" s="1830" t="s">
        <v>494</v>
      </c>
      <c r="E44" s="1831">
        <f>E41</f>
        <v>242170</v>
      </c>
      <c r="F44" s="1830" t="s">
        <v>494</v>
      </c>
      <c r="G44" s="1831">
        <f>G41</f>
        <v>242170</v>
      </c>
    </row>
    <row r="45" spans="1:7" ht="12" customHeight="1" x14ac:dyDescent="0.2">
      <c r="A45" s="988"/>
      <c r="B45" s="162"/>
      <c r="C45" s="162"/>
      <c r="D45" s="1832" t="s">
        <v>1063</v>
      </c>
      <c r="E45" s="1833">
        <f>(E43/E44)</f>
        <v>9.9128711235908662E-2</v>
      </c>
      <c r="F45" s="1832" t="s">
        <v>1063</v>
      </c>
      <c r="G45" s="1833">
        <f>(G43/G44)</f>
        <v>9.9128711235908662E-2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7" sqref="A7:D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OKAW RVS</v>
      </c>
      <c r="D6" s="2326"/>
      <c r="E6" s="2326"/>
      <c r="F6" s="1877"/>
    </row>
    <row r="7" spans="1:10" ht="11.25" customHeight="1" thickBot="1" x14ac:dyDescent="0.3">
      <c r="A7" s="1875"/>
      <c r="B7" s="1876"/>
      <c r="C7" s="2327">
        <f>COVER!A13</f>
        <v>45000000046</v>
      </c>
      <c r="D7" s="2327"/>
      <c r="E7" s="232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2097</v>
      </c>
      <c r="D13" s="1890" t="s">
        <v>2097</v>
      </c>
      <c r="E13" s="1893" t="s">
        <v>2097</v>
      </c>
      <c r="F13" s="1892" t="s">
        <v>2098</v>
      </c>
      <c r="H13" s="1903">
        <f t="shared" si="0"/>
        <v>5</v>
      </c>
      <c r="I13" s="1903">
        <f t="shared" si="1"/>
        <v>5</v>
      </c>
      <c r="J13" s="1903">
        <f t="shared" si="2"/>
        <v>5</v>
      </c>
    </row>
    <row r="14" spans="1:10" ht="12" customHeight="1" x14ac:dyDescent="0.2">
      <c r="A14" s="1888" t="s">
        <v>1453</v>
      </c>
      <c r="B14" s="1889"/>
      <c r="C14" s="1890" t="s">
        <v>2097</v>
      </c>
      <c r="D14" s="1890" t="s">
        <v>2097</v>
      </c>
      <c r="E14" s="1893" t="s">
        <v>2097</v>
      </c>
      <c r="F14" s="1892" t="s">
        <v>2099</v>
      </c>
      <c r="H14" s="1903">
        <f t="shared" si="0"/>
        <v>5</v>
      </c>
      <c r="I14" s="1903">
        <f t="shared" si="1"/>
        <v>5</v>
      </c>
      <c r="J14" s="1903">
        <f t="shared" si="2"/>
        <v>5</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2097</v>
      </c>
      <c r="D19" s="1890" t="s">
        <v>2097</v>
      </c>
      <c r="E19" s="1893" t="s">
        <v>2097</v>
      </c>
      <c r="F19" s="1892" t="s">
        <v>2099</v>
      </c>
      <c r="H19" s="1903">
        <f t="shared" si="0"/>
        <v>5</v>
      </c>
      <c r="I19" s="1903">
        <f t="shared" si="1"/>
        <v>5</v>
      </c>
      <c r="J19" s="1903">
        <f t="shared" si="2"/>
        <v>5</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t="s">
        <v>2097</v>
      </c>
      <c r="D22" s="1890" t="s">
        <v>2097</v>
      </c>
      <c r="E22" s="1893" t="s">
        <v>2097</v>
      </c>
      <c r="F22" s="1892" t="s">
        <v>2099</v>
      </c>
      <c r="H22" s="1903">
        <f t="shared" si="0"/>
        <v>5</v>
      </c>
      <c r="I22" s="1903">
        <f t="shared" si="1"/>
        <v>5</v>
      </c>
      <c r="J22" s="1903">
        <f t="shared" si="2"/>
        <v>5</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t="s">
        <v>2097</v>
      </c>
      <c r="D24" s="1890" t="s">
        <v>2097</v>
      </c>
      <c r="E24" s="1893" t="s">
        <v>2097</v>
      </c>
      <c r="F24" s="1892" t="s">
        <v>2100</v>
      </c>
      <c r="H24" s="1903">
        <f t="shared" si="0"/>
        <v>5</v>
      </c>
      <c r="I24" s="1903">
        <f t="shared" si="1"/>
        <v>5</v>
      </c>
      <c r="J24" s="1903">
        <f t="shared" si="2"/>
        <v>5</v>
      </c>
    </row>
    <row r="25" spans="1:12" ht="12" customHeight="1" x14ac:dyDescent="0.2">
      <c r="A25" s="1888" t="s">
        <v>1614</v>
      </c>
      <c r="B25" s="1889"/>
      <c r="C25" s="1890" t="s">
        <v>2097</v>
      </c>
      <c r="D25" s="1890" t="s">
        <v>2097</v>
      </c>
      <c r="E25" s="1893" t="s">
        <v>2097</v>
      </c>
      <c r="F25" s="1892" t="s">
        <v>2099</v>
      </c>
      <c r="H25" s="1903">
        <f t="shared" si="0"/>
        <v>5</v>
      </c>
      <c r="I25" s="1903">
        <f t="shared" si="1"/>
        <v>5</v>
      </c>
      <c r="J25" s="1903">
        <f t="shared" si="2"/>
        <v>5</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2097</v>
      </c>
      <c r="D28" s="1890" t="s">
        <v>2097</v>
      </c>
      <c r="E28" s="1893" t="s">
        <v>2097</v>
      </c>
      <c r="F28" s="1892" t="s">
        <v>2099</v>
      </c>
      <c r="H28" s="1903">
        <f t="shared" si="0"/>
        <v>5</v>
      </c>
      <c r="I28" s="1903">
        <f t="shared" si="1"/>
        <v>5</v>
      </c>
      <c r="J28" s="1903">
        <f t="shared" si="2"/>
        <v>5</v>
      </c>
    </row>
    <row r="29" spans="1:12" ht="12" customHeight="1" x14ac:dyDescent="0.2">
      <c r="A29" s="1888" t="s">
        <v>1618</v>
      </c>
      <c r="B29" s="1889"/>
      <c r="C29" s="1890" t="s">
        <v>2097</v>
      </c>
      <c r="D29" s="1890" t="s">
        <v>2097</v>
      </c>
      <c r="E29" s="1893" t="s">
        <v>2097</v>
      </c>
      <c r="F29" s="1892" t="s">
        <v>2099</v>
      </c>
      <c r="H29" s="1903">
        <f t="shared" si="0"/>
        <v>5</v>
      </c>
      <c r="I29" s="1903">
        <f t="shared" si="1"/>
        <v>5</v>
      </c>
      <c r="J29" s="1903">
        <f t="shared" si="2"/>
        <v>5</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40</v>
      </c>
      <c r="I34" s="1903">
        <f>SUM(I11:I32)</f>
        <v>40</v>
      </c>
      <c r="J34" s="1903">
        <f>SUM(J11:J32)</f>
        <v>40</v>
      </c>
      <c r="K34" s="1903">
        <f>SUM(H34:J34)</f>
        <v>120</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E18" sqref="E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OKAW RVS</v>
      </c>
      <c r="J6" s="2336"/>
      <c r="Q6" s="1686"/>
    </row>
    <row r="7" spans="1:17" x14ac:dyDescent="0.2">
      <c r="A7" s="2337" t="s">
        <v>924</v>
      </c>
      <c r="B7" s="2338"/>
      <c r="C7" s="2338"/>
      <c r="D7" s="2338"/>
      <c r="E7" s="2339"/>
      <c r="F7" s="1018"/>
      <c r="G7" s="1010"/>
      <c r="H7" s="1017" t="s">
        <v>390</v>
      </c>
      <c r="I7" s="2340">
        <f>COVER!A13</f>
        <v>45000000046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33762</v>
      </c>
      <c r="F13" s="1040"/>
      <c r="G13" s="1834">
        <f t="shared" si="0"/>
        <v>33762</v>
      </c>
      <c r="H13" s="1041">
        <v>35306</v>
      </c>
      <c r="I13" s="1040"/>
      <c r="J13" s="1834">
        <f t="shared" si="1"/>
        <v>35306</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33762</v>
      </c>
      <c r="F19" s="1836">
        <f t="shared" si="2"/>
        <v>0</v>
      </c>
      <c r="G19" s="1836">
        <f t="shared" si="2"/>
        <v>33762</v>
      </c>
      <c r="H19" s="1836">
        <f t="shared" si="2"/>
        <v>35306</v>
      </c>
      <c r="I19" s="1836">
        <f t="shared" si="2"/>
        <v>0</v>
      </c>
      <c r="J19" s="1836">
        <f t="shared" si="2"/>
        <v>35306</v>
      </c>
    </row>
    <row r="20" spans="1:10" ht="13.5" thickTop="1" x14ac:dyDescent="0.2">
      <c r="A20" s="1036">
        <v>9</v>
      </c>
      <c r="B20" s="2347" t="s">
        <v>1703</v>
      </c>
      <c r="C20" s="2347"/>
      <c r="D20" s="2348"/>
      <c r="E20" s="1047"/>
      <c r="F20" s="1047"/>
      <c r="G20" s="1047"/>
      <c r="H20" s="1047"/>
      <c r="I20" s="1047"/>
      <c r="J20" s="1837">
        <f>IF(AND(G19&gt;0,J19&gt;0),(((J19-G19)/G19)),"Enter Budget Data")</f>
        <v>4.5731887921331676E-2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3"/>
  <sheetViews>
    <sheetView showGridLines="0" view="pageBreakPreview" zoomScaleNormal="110" zoomScaleSheetLayoutView="100" workbookViewId="0">
      <selection activeCell="B14" sqref="B1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2105</v>
      </c>
    </row>
    <row r="6" spans="1:2" x14ac:dyDescent="0.2">
      <c r="A6" s="1069">
        <v>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c r="B62" s="258" t="str">
        <f>COVER!A17</f>
        <v>OKAW RVS</v>
      </c>
    </row>
    <row r="63" spans="1:2" x14ac:dyDescent="0.2">
      <c r="B63" s="1071">
        <f>COVER!A13</f>
        <v>45000000046</v>
      </c>
    </row>
  </sheetData>
  <phoneticPr fontId="13" type="noConversion"/>
  <pageMargins left="0.2"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22" zoomScale="110" zoomScaleNormal="110" workbookViewId="0">
      <selection activeCell="A7" sqref="A7:D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B11" sqref="B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721635</v>
      </c>
      <c r="C8" s="1838">
        <f>'Acct Summary 7-8'!D8</f>
        <v>0</v>
      </c>
      <c r="D8" s="1838">
        <f>'Acct Summary 7-8'!F8</f>
        <v>0</v>
      </c>
      <c r="E8" s="1838">
        <f>'Acct Summary 7-8'!I8</f>
        <v>0</v>
      </c>
      <c r="F8" s="1838">
        <f>SUM(B8:E8)</f>
        <v>721635</v>
      </c>
    </row>
    <row r="9" spans="1:8" s="1080" customFormat="1" ht="14.25" customHeight="1" thickBot="1" x14ac:dyDescent="0.25">
      <c r="A9" s="1079" t="s">
        <v>1436</v>
      </c>
      <c r="B9" s="1839">
        <f>'Acct Summary 7-8'!C17</f>
        <v>728088</v>
      </c>
      <c r="C9" s="1839">
        <f>'Acct Summary 7-8'!D17</f>
        <v>0</v>
      </c>
      <c r="D9" s="1839">
        <f>'Acct Summary 7-8'!F17</f>
        <v>0</v>
      </c>
      <c r="E9" s="1838"/>
      <c r="F9" s="1838">
        <f>SUM(B9:E9)</f>
        <v>728088</v>
      </c>
    </row>
    <row r="10" spans="1:8" s="1080" customFormat="1" ht="14.25" thickTop="1" thickBot="1" x14ac:dyDescent="0.25">
      <c r="A10" s="1081" t="s">
        <v>1437</v>
      </c>
      <c r="B10" s="1840">
        <f>(B8-B9)</f>
        <v>-6453</v>
      </c>
      <c r="C10" s="1840">
        <f>(C8-C9)</f>
        <v>0</v>
      </c>
      <c r="D10" s="1840">
        <f>(D8-D9)</f>
        <v>0</v>
      </c>
      <c r="E10" s="1839">
        <f>(E8-E9)</f>
        <v>0</v>
      </c>
      <c r="F10" s="1841">
        <f>SUM(F8-F9)</f>
        <v>-6453</v>
      </c>
    </row>
    <row r="11" spans="1:8" s="1080" customFormat="1" ht="14.25" thickTop="1" thickBot="1" x14ac:dyDescent="0.25">
      <c r="A11" s="1082" t="s">
        <v>1785</v>
      </c>
      <c r="B11" s="1842">
        <f>'Acct Summary 7-8'!C81</f>
        <v>-46127</v>
      </c>
      <c r="C11" s="1842">
        <f>'Acct Summary 7-8'!D81</f>
        <v>0</v>
      </c>
      <c r="D11" s="1842">
        <f>'Acct Summary 7-8'!F81</f>
        <v>0</v>
      </c>
      <c r="E11" s="1842">
        <f>'Acct Summary 7-8'!I81</f>
        <v>0</v>
      </c>
      <c r="F11" s="1843">
        <f>SUM(B11:E11)</f>
        <v>-46127</v>
      </c>
    </row>
    <row r="12" spans="1:8" ht="16.5" customHeight="1" thickTop="1" x14ac:dyDescent="0.2">
      <c r="A12" s="1083"/>
      <c r="B12" s="1084"/>
      <c r="C12" s="2359"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ENTRY IS REQUIRED!</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45000000046</v>
      </c>
    </row>
    <row r="3" spans="1:2" x14ac:dyDescent="0.2">
      <c r="A3" t="s">
        <v>1013</v>
      </c>
      <c r="B3" s="138" t="str">
        <f>COVER!A15</f>
        <v>Monroe, Randolph, and St. Clair</v>
      </c>
    </row>
    <row r="4" spans="1:2" x14ac:dyDescent="0.2">
      <c r="A4" t="s">
        <v>1064</v>
      </c>
      <c r="B4" s="138" t="str">
        <f>COVER!A17</f>
        <v>OKAW RVS</v>
      </c>
    </row>
    <row r="5" spans="1:2" x14ac:dyDescent="0.2">
      <c r="A5" t="s">
        <v>728</v>
      </c>
      <c r="B5" s="138" t="str">
        <f>COVER!A38</f>
        <v>Dian Keil</v>
      </c>
    </row>
    <row r="6" spans="1:2" x14ac:dyDescent="0.2">
      <c r="A6" t="s">
        <v>733</v>
      </c>
      <c r="B6" s="138">
        <f>COVER!P35</f>
        <v>0</v>
      </c>
    </row>
    <row r="7" spans="1:2" x14ac:dyDescent="0.2">
      <c r="A7" t="s">
        <v>729</v>
      </c>
      <c r="B7" s="138">
        <f>COVER!I38</f>
        <v>0</v>
      </c>
    </row>
    <row r="8" spans="1:2" x14ac:dyDescent="0.2">
      <c r="A8" t="s">
        <v>730</v>
      </c>
      <c r="B8" s="138" t="str">
        <f>COVER!T38</f>
        <v>Mr. Kelton Davis</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065-026956</v>
      </c>
    </row>
    <row r="16" spans="1:2" x14ac:dyDescent="0.2">
      <c r="A16" t="s">
        <v>442</v>
      </c>
      <c r="B16" s="138" t="str">
        <f>COVER!T13</f>
        <v>Scheffel Boyle CPAs</v>
      </c>
    </row>
    <row r="17" spans="1:2" x14ac:dyDescent="0.2">
      <c r="A17" t="s">
        <v>939</v>
      </c>
      <c r="B17" s="138" t="str">
        <f>COVER!T15</f>
        <v>Dale Holtman, CPA</v>
      </c>
    </row>
    <row r="18" spans="1:2" x14ac:dyDescent="0.2">
      <c r="A18" t="s">
        <v>1212</v>
      </c>
      <c r="B18" s="138" t="str">
        <f>COVER!T17</f>
        <v>222 East Main Street</v>
      </c>
    </row>
    <row r="19" spans="1:2" x14ac:dyDescent="0.2">
      <c r="A19" t="s">
        <v>941</v>
      </c>
      <c r="B19" s="138">
        <f>COVER!T25</f>
        <v>0</v>
      </c>
    </row>
    <row r="20" spans="1:2" x14ac:dyDescent="0.2">
      <c r="A20" t="s">
        <v>942</v>
      </c>
      <c r="B20" s="138" t="str">
        <f>COVER!T19</f>
        <v>Belleville</v>
      </c>
    </row>
    <row r="21" spans="1:2" x14ac:dyDescent="0.2">
      <c r="A21" t="s">
        <v>500</v>
      </c>
      <c r="B21" s="138" t="str">
        <f>COVER!X19</f>
        <v>IL</v>
      </c>
    </row>
    <row r="22" spans="1:2" x14ac:dyDescent="0.2">
      <c r="A22" t="s">
        <v>943</v>
      </c>
      <c r="B22" s="138">
        <f>COVER!Z19</f>
        <v>62220</v>
      </c>
    </row>
    <row r="23" spans="1:2" x14ac:dyDescent="0.2">
      <c r="A23" t="s">
        <v>1214</v>
      </c>
      <c r="B23" s="138" t="str">
        <f>COVER!T21</f>
        <v>618-277-8100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7987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46127</v>
      </c>
      <c r="C91" s="2" t="s">
        <v>594</v>
      </c>
      <c r="D91" s="2" t="str">
        <f t="shared" si="0"/>
        <v>Error?</v>
      </c>
    </row>
    <row r="92" spans="1:4" x14ac:dyDescent="0.2">
      <c r="A92" s="5">
        <v>31</v>
      </c>
      <c r="B92" s="138">
        <f>'Assets-Liab 5-6'!C39</f>
        <v>-46127</v>
      </c>
      <c r="D92" s="2" t="str">
        <f t="shared" si="0"/>
        <v>Error?</v>
      </c>
    </row>
    <row r="93" spans="1:4" x14ac:dyDescent="0.2">
      <c r="A93" s="5">
        <v>32</v>
      </c>
      <c r="B93" s="138">
        <f>'Assets-Liab 5-6'!C41</f>
        <v>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367551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367551</v>
      </c>
      <c r="C279" s="2" t="s">
        <v>594</v>
      </c>
      <c r="D279" s="2" t="str">
        <f t="shared" si="3"/>
        <v>Error?</v>
      </c>
    </row>
    <row r="280" spans="1:4" x14ac:dyDescent="0.2">
      <c r="A280" s="5">
        <v>219</v>
      </c>
      <c r="B280" s="138">
        <f>'Assets-Liab 5-6'!M40</f>
        <v>367551</v>
      </c>
      <c r="D280" s="2" t="str">
        <f t="shared" si="3"/>
        <v>Error?</v>
      </c>
    </row>
    <row r="281" spans="1:4" x14ac:dyDescent="0.2">
      <c r="A281" s="5">
        <v>220</v>
      </c>
      <c r="B281" s="138">
        <f>'Assets-Liab 5-6'!M41</f>
        <v>367551</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1899</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1899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16070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18543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18543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34613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36512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4223</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4047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4047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8270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8270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19503</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19503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1373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1373</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11439</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1310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1310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14122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80434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179866</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179866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3254</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3254</v>
      </c>
      <c r="C901" s="2" t="s">
        <v>594</v>
      </c>
      <c r="D901" s="2" t="str">
        <f t="shared" si="13"/>
        <v>Error?</v>
      </c>
    </row>
    <row r="902" spans="1:4" x14ac:dyDescent="0.2">
      <c r="A902" s="5">
        <v>841</v>
      </c>
      <c r="B902" s="138">
        <f>'Expenditures 15-22'!F44</f>
        <v>1465</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1768</v>
      </c>
      <c r="D904" s="2" t="str">
        <f t="shared" si="13"/>
        <v>Error?</v>
      </c>
    </row>
    <row r="905" spans="1:4" x14ac:dyDescent="0.2">
      <c r="A905" s="5">
        <v>844</v>
      </c>
      <c r="B905" s="138">
        <f>'Expenditures 15-22'!F47</f>
        <v>3233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1310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7897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187763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197836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197836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720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720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198556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216547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216553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399104</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399104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3254</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3254</v>
      </c>
      <c r="C1115" s="2" t="s">
        <v>594</v>
      </c>
      <c r="D1115" s="2" t="str">
        <f t="shared" si="16"/>
        <v>Error?</v>
      </c>
    </row>
    <row r="1116" spans="1:4" x14ac:dyDescent="0.2">
      <c r="A1116" s="5">
        <v>1055</v>
      </c>
      <c r="B1116" s="138">
        <f>'Expenditures 15-22'!K44</f>
        <v>2838</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1768</v>
      </c>
      <c r="C1118" s="2" t="s">
        <v>594</v>
      </c>
      <c r="D1118" s="2" t="str">
        <f t="shared" si="16"/>
        <v>Error?</v>
      </c>
    </row>
    <row r="1119" spans="1:4" x14ac:dyDescent="0.2">
      <c r="A1119" s="5">
        <v>1058</v>
      </c>
      <c r="B1119" s="138">
        <f>'Expenditures 15-22'!K47</f>
        <v>4606</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33762</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24006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24006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65628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263356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728088</v>
      </c>
      <c r="C1152" s="2" t="s">
        <v>594</v>
      </c>
      <c r="D1152" s="2" t="str">
        <f t="shared" si="17"/>
        <v>Error?</v>
      </c>
    </row>
    <row r="1153" spans="1:4" x14ac:dyDescent="0.2">
      <c r="A1153" s="5">
        <v>1092</v>
      </c>
      <c r="B1153" s="138">
        <f>'Expenditures 15-22'!K115</f>
        <v>-6453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-39674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-46127</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836705</v>
      </c>
      <c r="D2011" s="2" t="str">
        <f t="shared" si="30"/>
        <v>Error?</v>
      </c>
    </row>
    <row r="2012" spans="1:4" x14ac:dyDescent="0.2">
      <c r="A2012" s="5">
        <v>1951</v>
      </c>
      <c r="B2012" s="138">
        <f>'Cap Outlay Deprec 26'!C13</f>
        <v>891084</v>
      </c>
      <c r="D2012" s="2" t="str">
        <f t="shared" si="30"/>
        <v>Error?</v>
      </c>
    </row>
    <row r="2013" spans="1:4" x14ac:dyDescent="0.2">
      <c r="A2013" s="5">
        <v>1952</v>
      </c>
      <c r="B2013" s="138">
        <f>'Cap Outlay Deprec 26'!C16</f>
        <v>1727789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197836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197836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1034541</v>
      </c>
      <c r="C2029" s="2" t="s">
        <v>594</v>
      </c>
      <c r="D2029" s="2" t="str">
        <f t="shared" si="30"/>
        <v>Error?</v>
      </c>
    </row>
    <row r="2030" spans="1:4" x14ac:dyDescent="0.2">
      <c r="A2030" s="5">
        <v>1969</v>
      </c>
      <c r="B2030" s="138">
        <f>'Cap Outlay Deprec 26'!F13</f>
        <v>891084</v>
      </c>
      <c r="C2030" s="2" t="s">
        <v>594</v>
      </c>
      <c r="D2030" s="2" t="str">
        <f t="shared" si="30"/>
        <v>Error?</v>
      </c>
    </row>
    <row r="2031" spans="1:4" x14ac:dyDescent="0.2">
      <c r="A2031" s="5">
        <v>1970</v>
      </c>
      <c r="B2031" s="138">
        <f>'Cap Outlay Deprec 26'!F16</f>
        <v>1925625</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777389</v>
      </c>
      <c r="D2035" s="2" t="str">
        <f t="shared" si="30"/>
        <v>Error?</v>
      </c>
    </row>
    <row r="2036" spans="1:4" x14ac:dyDescent="0.2">
      <c r="A2036" s="5">
        <v>1975</v>
      </c>
      <c r="B2036" s="138">
        <f>'Cap Outlay Deprec 26'!H13</f>
        <v>623959</v>
      </c>
      <c r="D2036" s="2" t="str">
        <f t="shared" si="30"/>
        <v>Error?</v>
      </c>
    </row>
    <row r="2037" spans="1:4" x14ac:dyDescent="0.2">
      <c r="A2037" s="5">
        <v>1976</v>
      </c>
      <c r="B2037" s="138">
        <f>'Cap Outlay Deprec 26'!H16</f>
        <v>1401348</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59316</v>
      </c>
      <c r="D2041" s="2" t="str">
        <f t="shared" si="30"/>
        <v>Error?</v>
      </c>
    </row>
    <row r="2042" spans="1:4" x14ac:dyDescent="0.2">
      <c r="A2042" s="5">
        <v>1981</v>
      </c>
      <c r="B2042" s="138">
        <f>'Cap Outlay Deprec 26'!I13</f>
        <v>97410</v>
      </c>
      <c r="D2042" s="2" t="str">
        <f t="shared" si="30"/>
        <v>Error?</v>
      </c>
    </row>
    <row r="2043" spans="1:4" x14ac:dyDescent="0.2">
      <c r="A2043" s="5">
        <v>1982</v>
      </c>
      <c r="B2043" s="138">
        <f>'Cap Outlay Deprec 26'!I16</f>
        <v>156726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836705</v>
      </c>
      <c r="C2053" s="2" t="s">
        <v>594</v>
      </c>
      <c r="D2053" s="2" t="str">
        <f t="shared" si="31"/>
        <v>Error?</v>
      </c>
    </row>
    <row r="2054" spans="1:4" x14ac:dyDescent="0.2">
      <c r="A2054" s="5">
        <v>1993</v>
      </c>
      <c r="B2054" s="138">
        <f>'Cap Outlay Deprec 26'!K13</f>
        <v>721369</v>
      </c>
      <c r="C2054" s="2" t="s">
        <v>594</v>
      </c>
      <c r="D2054" s="2" t="str">
        <f t="shared" si="31"/>
        <v>Error?</v>
      </c>
    </row>
    <row r="2055" spans="1:4" x14ac:dyDescent="0.2">
      <c r="A2055" s="5">
        <v>1994</v>
      </c>
      <c r="B2055" s="138">
        <f>'Cap Outlay Deprec 26'!K16</f>
        <v>1558074</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197836</v>
      </c>
      <c r="C2059" s="2" t="s">
        <v>594</v>
      </c>
      <c r="D2059" s="2" t="str">
        <f t="shared" si="31"/>
        <v>Error?</v>
      </c>
    </row>
    <row r="2060" spans="1:4" x14ac:dyDescent="0.2">
      <c r="A2060" s="5">
        <v>1999</v>
      </c>
      <c r="B2060" s="138">
        <f>'Cap Outlay Deprec 26'!L13</f>
        <v>169715</v>
      </c>
      <c r="C2060" s="2" t="s">
        <v>594</v>
      </c>
      <c r="D2060" s="2" t="str">
        <f t="shared" si="31"/>
        <v>Error?</v>
      </c>
    </row>
    <row r="2061" spans="1:4" x14ac:dyDescent="0.2">
      <c r="A2061" s="5">
        <v>2000</v>
      </c>
      <c r="B2061" s="138">
        <f>'Cap Outlay Deprec 26'!L16</f>
        <v>367551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216547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263356</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46</v>
      </c>
      <c r="C2551" s="2" t="s">
        <v>594</v>
      </c>
      <c r="D2551" s="2" t="str">
        <f t="shared" si="38"/>
        <v>Error?</v>
      </c>
    </row>
    <row r="2552" spans="1:4" x14ac:dyDescent="0.2">
      <c r="A2552" s="10">
        <v>2491</v>
      </c>
      <c r="D2552" s="2" t="str">
        <f t="shared" si="38"/>
        <v>OK</v>
      </c>
    </row>
    <row r="2553" spans="1:4" x14ac:dyDescent="0.2">
      <c r="A2553" s="5">
        <v>2492</v>
      </c>
      <c r="B2553" s="138">
        <f>'Acct Summary 7-8'!C6</f>
        <v>627991</v>
      </c>
      <c r="C2553" s="2" t="s">
        <v>594</v>
      </c>
      <c r="D2553" s="2" t="str">
        <f t="shared" si="38"/>
        <v>Error?</v>
      </c>
    </row>
    <row r="2554" spans="1:4" x14ac:dyDescent="0.2">
      <c r="A2554" s="5">
        <v>2493</v>
      </c>
      <c r="B2554" s="138">
        <f>'Acct Summary 7-8'!C7</f>
        <v>93598</v>
      </c>
      <c r="C2554" s="2" t="s">
        <v>594</v>
      </c>
      <c r="D2554" s="2" t="str">
        <f t="shared" si="38"/>
        <v>Error?</v>
      </c>
    </row>
    <row r="2555" spans="1:4" x14ac:dyDescent="0.2">
      <c r="A2555" s="5">
        <v>2494</v>
      </c>
      <c r="B2555" s="138">
        <f>'Acct Summary 7-8'!C8</f>
        <v>721635</v>
      </c>
      <c r="C2555" s="2" t="s">
        <v>594</v>
      </c>
      <c r="D2555" s="2" t="str">
        <f t="shared" si="38"/>
        <v>Error?</v>
      </c>
    </row>
    <row r="2556" spans="1:4" x14ac:dyDescent="0.2">
      <c r="A2556" s="5">
        <v>2495</v>
      </c>
      <c r="B2556" s="138">
        <f>'Acct Summary 7-8'!C12</f>
        <v>399104</v>
      </c>
      <c r="C2556" s="2" t="s">
        <v>594</v>
      </c>
      <c r="D2556" s="2" t="str">
        <f t="shared" si="38"/>
        <v>Error?</v>
      </c>
    </row>
    <row r="2557" spans="1:4" x14ac:dyDescent="0.2">
      <c r="A2557" s="5">
        <v>2496</v>
      </c>
      <c r="B2557" s="138">
        <f>'Acct Summary 7-8'!C13</f>
        <v>65628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263356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728088</v>
      </c>
      <c r="C2561" s="2" t="s">
        <v>594</v>
      </c>
      <c r="D2561" s="2" t="str">
        <f t="shared" si="39"/>
        <v>Error?</v>
      </c>
    </row>
    <row r="2562" spans="1:4" x14ac:dyDescent="0.2">
      <c r="A2562" s="5">
        <v>2501</v>
      </c>
      <c r="B2562" s="138">
        <f>'Acct Summary 7-8'!C20</f>
        <v>-6453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16070</v>
      </c>
      <c r="D2718" s="2" t="str">
        <f t="shared" si="41"/>
        <v>Error?</v>
      </c>
    </row>
    <row r="2719" spans="1:4" x14ac:dyDescent="0.2">
      <c r="A2719" s="5">
        <v>2658</v>
      </c>
      <c r="B2719" s="138">
        <f>'Expenditures 15-22'!D51</f>
        <v>4223</v>
      </c>
      <c r="D2719" s="2" t="str">
        <f t="shared" si="41"/>
        <v>Error?</v>
      </c>
    </row>
    <row r="2720" spans="1:4" x14ac:dyDescent="0.2">
      <c r="A2720" s="5">
        <v>2659</v>
      </c>
      <c r="B2720" s="138">
        <f>'Expenditures 15-22'!E51</f>
        <v>11439</v>
      </c>
      <c r="D2720" s="2" t="str">
        <f t="shared" si="41"/>
        <v>Error?</v>
      </c>
    </row>
    <row r="2721" spans="1:4" x14ac:dyDescent="0.2">
      <c r="A2721" s="5">
        <v>2660</v>
      </c>
      <c r="B2721" s="138">
        <f>'Expenditures 15-22'!F51</f>
        <v>1310</v>
      </c>
      <c r="D2721" s="2" t="str">
        <f t="shared" si="41"/>
        <v>Error?</v>
      </c>
    </row>
    <row r="2722" spans="1:4" x14ac:dyDescent="0.2">
      <c r="A2722" s="5">
        <v>2661</v>
      </c>
      <c r="B2722" s="138">
        <f>'Expenditures 15-22'!G51</f>
        <v>720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33762</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46809</v>
      </c>
      <c r="C2789" s="2" t="s">
        <v>594</v>
      </c>
      <c r="D2789" s="2" t="str">
        <f t="shared" si="42"/>
        <v>Error?</v>
      </c>
    </row>
    <row r="2790" spans="1:4" x14ac:dyDescent="0.2">
      <c r="A2790" s="5">
        <v>2729</v>
      </c>
      <c r="B2790" s="138">
        <f>'Expenditures 15-22'!E102</f>
        <v>46809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46809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216547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263356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-6453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29263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750898</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29263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757351</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-46127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93598</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46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627991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627991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627991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627991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93598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93598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93598</v>
      </c>
      <c r="C5326" s="2" t="s">
        <v>594</v>
      </c>
      <c r="D5326" s="2" t="str">
        <f t="shared" si="82"/>
        <v>Error?</v>
      </c>
    </row>
    <row r="5327" spans="1:4" x14ac:dyDescent="0.2">
      <c r="A5327" s="5">
        <v>5266</v>
      </c>
      <c r="B5327" s="138">
        <f>'Revenues 9-14'!C275</f>
        <v>721635</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38140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-6453</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0.13989637305699482</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156726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4000</v>
      </c>
      <c r="D7797" s="2" t="str">
        <f t="shared" si="127"/>
        <v>Error?</v>
      </c>
      <c r="E7797" s="4" t="s">
        <v>2020</v>
      </c>
    </row>
    <row r="7798" spans="1:5" x14ac:dyDescent="0.2">
      <c r="A7798">
        <v>7737</v>
      </c>
      <c r="B7798" s="138">
        <f>'Contracts Paid in CY 29'!F141</f>
        <v>4000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OKAW RVS</v>
      </c>
      <c r="B7" s="2403"/>
      <c r="C7" s="2403"/>
      <c r="D7" s="2440"/>
      <c r="E7" s="2441">
        <f>COVER!A13</f>
        <v>45000000046</v>
      </c>
      <c r="F7" s="2442"/>
      <c r="G7" s="2409" t="str">
        <f>COVER!T23</f>
        <v>065-026956</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Scheffel Boyle CPAs</v>
      </c>
      <c r="H9" s="2416"/>
      <c r="I9" s="2416"/>
      <c r="J9" s="2416"/>
      <c r="K9" s="2416"/>
      <c r="L9" s="2417"/>
    </row>
    <row r="10" spans="1:29" ht="13.5" customHeight="1" x14ac:dyDescent="0.2">
      <c r="A10" s="2399" t="str">
        <f>COVER!A38</f>
        <v>Dian Keil</v>
      </c>
      <c r="B10" s="2400"/>
      <c r="C10" s="2400"/>
      <c r="D10" s="2400"/>
      <c r="E10" s="2400"/>
      <c r="F10" s="2401"/>
      <c r="G10" s="2415" t="str">
        <f>COVER!T17</f>
        <v>222 East Main Street</v>
      </c>
      <c r="H10" s="2428"/>
      <c r="I10" s="2428"/>
      <c r="J10" s="2428"/>
      <c r="K10" s="2428"/>
      <c r="L10" s="2429"/>
    </row>
    <row r="11" spans="1:29" ht="13.5" customHeight="1" x14ac:dyDescent="0.2">
      <c r="A11" s="1185" t="s">
        <v>1599</v>
      </c>
      <c r="B11" s="1186"/>
      <c r="C11" s="1187"/>
      <c r="D11" s="1192"/>
      <c r="E11" s="1187"/>
      <c r="F11" s="1191"/>
      <c r="G11" s="2415" t="str">
        <f>COVER!T19</f>
        <v>Belleville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f>COVER!T25</f>
        <v>0</v>
      </c>
      <c r="J13" s="2437"/>
      <c r="K13" s="2437"/>
      <c r="L13" s="2438"/>
    </row>
    <row r="14" spans="1:29" ht="13.5" customHeight="1" x14ac:dyDescent="0.2">
      <c r="A14" s="2415" t="str">
        <f>COVER!A19</f>
        <v>#1 Taylor Street, Room 101</v>
      </c>
      <c r="B14" s="2428"/>
      <c r="C14" s="2428"/>
      <c r="D14" s="2428"/>
      <c r="E14" s="2428"/>
      <c r="F14" s="2429"/>
      <c r="G14" s="1196" t="s">
        <v>1247</v>
      </c>
      <c r="H14" s="1194"/>
      <c r="I14" s="1194"/>
      <c r="J14" s="1194"/>
      <c r="K14" s="1194"/>
      <c r="L14" s="1195"/>
    </row>
    <row r="15" spans="1:29" ht="13.5" customHeight="1" x14ac:dyDescent="0.2">
      <c r="A15" s="2415" t="str">
        <f>COVER!A21</f>
        <v>Chester</v>
      </c>
      <c r="B15" s="2428"/>
      <c r="C15" s="2428"/>
      <c r="D15" s="2428"/>
      <c r="E15" s="2428"/>
      <c r="F15" s="2429"/>
      <c r="G15" s="2425" t="str">
        <f>COVER!T15</f>
        <v>Dale Holtman, CPA</v>
      </c>
      <c r="H15" s="2426"/>
      <c r="I15" s="2426"/>
      <c r="J15" s="2426"/>
      <c r="K15" s="2426"/>
      <c r="L15" s="2427"/>
    </row>
    <row r="16" spans="1:29" ht="12.2" customHeight="1" x14ac:dyDescent="0.2">
      <c r="A16" s="2405">
        <f>COVER!A25</f>
        <v>62233</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618-277-8100</v>
      </c>
      <c r="H18" s="2403"/>
      <c r="I18" s="2403"/>
      <c r="J18" s="2403"/>
      <c r="K18" s="2402" t="str">
        <f>COVER!X21</f>
        <v>618-277-9307</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OKAW RVS</v>
      </c>
      <c r="B1" s="2439"/>
      <c r="C1" s="2439"/>
      <c r="D1" s="2439"/>
    </row>
    <row r="2" spans="1:11" s="1215" customFormat="1" ht="12.75" x14ac:dyDescent="0.2">
      <c r="A2" s="2444">
        <f>'Single Audit Cover'!E7</f>
        <v>45000000046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OKAW RVS</v>
      </c>
      <c r="B1" s="2447"/>
      <c r="C1" s="2447"/>
      <c r="D1" s="2447"/>
      <c r="E1" s="2447"/>
    </row>
    <row r="2" spans="1:5" x14ac:dyDescent="0.2">
      <c r="A2" s="2448">
        <f>'Single Audit Cover'!E7</f>
        <v>45000000046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93598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93598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93598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93598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OKAW RVS</v>
      </c>
      <c r="B1" s="2452"/>
      <c r="C1" s="2452"/>
      <c r="D1" s="2452"/>
      <c r="E1" s="2452"/>
      <c r="F1" s="2452"/>
    </row>
    <row r="2" spans="1:7" ht="13.5" customHeight="1" x14ac:dyDescent="0.2">
      <c r="A2" s="2453">
        <f>'Single Audit Cover'!E7</f>
        <v>45000000046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OKAW RVS</v>
      </c>
      <c r="C1" s="2464"/>
      <c r="D1" s="2464"/>
      <c r="E1" s="2464"/>
      <c r="F1" s="2464"/>
      <c r="G1" s="2464"/>
      <c r="H1" s="2464"/>
      <c r="I1" s="2464"/>
      <c r="J1" s="2464"/>
      <c r="K1" s="2464"/>
      <c r="L1" s="2464"/>
      <c r="M1" s="2464"/>
    </row>
    <row r="2" spans="2:14" ht="15" x14ac:dyDescent="0.2">
      <c r="B2" s="2453">
        <f>'Single Audit Cover'!E7</f>
        <v>45000000046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2096</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9" zoomScale="110" zoomScaleNormal="110" workbookViewId="0">
      <selection activeCell="B7" sqref="B7:I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OKAW RVS</v>
      </c>
      <c r="C1" s="2472"/>
      <c r="D1" s="2472"/>
      <c r="E1" s="2472"/>
      <c r="F1" s="2472"/>
      <c r="G1" s="2472"/>
      <c r="H1" s="2472"/>
      <c r="I1" s="2472"/>
      <c r="J1" s="1422"/>
    </row>
    <row r="2" spans="2:10" s="317" customFormat="1" ht="12.75" customHeight="1" x14ac:dyDescent="0.2">
      <c r="B2" s="2473">
        <f>'Single Audit Cover'!E7</f>
        <v>45000000046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OKAW RVS</v>
      </c>
      <c r="C1" s="2471"/>
      <c r="D1" s="2471"/>
      <c r="E1" s="2471"/>
      <c r="F1" s="2471"/>
      <c r="G1" s="2471"/>
      <c r="H1" s="2471"/>
      <c r="I1" s="2471"/>
      <c r="J1" s="2471"/>
      <c r="K1" s="2471"/>
      <c r="L1" s="1374"/>
      <c r="M1" s="1374"/>
    </row>
    <row r="2" spans="1:13" ht="12" customHeight="1" x14ac:dyDescent="0.2">
      <c r="B2" s="2473">
        <f>'Single Audit Cover'!E7</f>
        <v>45000000046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OKAW RVS</v>
      </c>
      <c r="C1" s="2498"/>
      <c r="D1" s="2498"/>
      <c r="E1" s="2498"/>
      <c r="F1" s="2498"/>
      <c r="G1" s="2498"/>
      <c r="H1" s="2498"/>
      <c r="I1" s="2498"/>
      <c r="J1" s="2498"/>
      <c r="K1" s="2498"/>
      <c r="L1" s="1465"/>
    </row>
    <row r="2" spans="1:12" ht="12.75" customHeight="1" x14ac:dyDescent="0.2">
      <c r="B2" s="2499">
        <f>'Single Audit Cover'!E7</f>
        <v>45000000046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OKAW RVS</v>
      </c>
      <c r="C1" s="2471"/>
      <c r="D1" s="2471"/>
      <c r="E1" s="1491"/>
    </row>
    <row r="2" spans="2:5" s="1282" customFormat="1" ht="12.75" customHeight="1" x14ac:dyDescent="0.2">
      <c r="B2" s="2473">
        <f>'Single Audit Cover'!E7</f>
        <v>45000000046</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721635</v>
      </c>
      <c r="E16" s="356"/>
      <c r="F16" s="1755">
        <f>SUM('Acct Summary 7-8'!C17,'Acct Summary 7-8'!D17,'Acct Summary 7-8'!F17)</f>
        <v>728088</v>
      </c>
      <c r="G16" s="356"/>
      <c r="H16" s="1755">
        <f>SUM(D16-F16)</f>
        <v>-6453</v>
      </c>
      <c r="I16" s="222"/>
      <c r="J16" s="1755">
        <f>SUM('Acct Summary 7-8'!C81,'Acct Summary 7-8'!D81,'Acct Summary 7-8'!F81,'Acct Summary 7-8'!I81)</f>
        <v>-46127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A7" sqref="A7:D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OKAW RVS</v>
      </c>
      <c r="E7" s="391"/>
      <c r="G7" s="252"/>
      <c r="H7" s="387"/>
      <c r="I7" s="387"/>
      <c r="J7" s="387"/>
      <c r="K7" s="387"/>
      <c r="L7" s="329"/>
      <c r="M7" s="329"/>
      <c r="N7" s="329"/>
      <c r="O7" s="329"/>
      <c r="P7" s="329"/>
    </row>
    <row r="8" spans="1:18" ht="12.75" x14ac:dyDescent="0.2">
      <c r="A8" s="329"/>
      <c r="B8" s="329"/>
      <c r="C8" s="389" t="s">
        <v>1187</v>
      </c>
      <c r="D8" s="392">
        <f>COVER!A13</f>
        <v>45000000046</v>
      </c>
      <c r="E8" s="393"/>
      <c r="G8" s="329"/>
      <c r="H8" s="329"/>
      <c r="I8" s="329"/>
      <c r="J8" s="329"/>
      <c r="K8" s="329"/>
      <c r="L8" s="329"/>
      <c r="M8" s="329"/>
      <c r="N8" s="329"/>
      <c r="O8" s="329"/>
      <c r="P8" s="329"/>
    </row>
    <row r="9" spans="1:18" ht="12.75" x14ac:dyDescent="0.2">
      <c r="A9" s="329"/>
      <c r="B9" s="329"/>
      <c r="C9" s="389" t="s">
        <v>737</v>
      </c>
      <c r="D9" s="394" t="str">
        <f>COVER!A15</f>
        <v>Monroe, Randolph, and 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f>IF(K12&gt;0.24999,"4",IF(K12&gt;0.09999,"3",IF(K12&gt;=0,"2",1)))</f>
        <v>1</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-46127</v>
      </c>
      <c r="I12" s="404"/>
      <c r="J12" s="404"/>
      <c r="K12" s="405">
        <f>TRUNC((H12/H13*100000),5)/100000</f>
        <v>-6.3920125799999991E-2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721635</v>
      </c>
      <c r="I13" s="404"/>
      <c r="J13" s="404"/>
      <c r="K13" s="410"/>
      <c r="L13" s="218"/>
      <c r="M13" s="360" t="s">
        <v>1207</v>
      </c>
      <c r="N13" s="360"/>
      <c r="O13" s="411">
        <f>(O11*O12)</f>
        <v>0.35</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728088</v>
      </c>
      <c r="I17" s="404"/>
      <c r="J17" s="416"/>
      <c r="K17" s="405">
        <f>TRUNC((H17/H18*100000),5)/100000</f>
        <v>1.0089421937</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721635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-18.3310864</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0</v>
      </c>
      <c r="I24" s="422"/>
      <c r="J24" s="422"/>
      <c r="K24" s="423">
        <f>TRUNC(((H24/H25*100000)/100000),2)</f>
        <v>0</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2022.46667</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12" activePane="bottomLeft" state="frozen"/>
      <selection activeCell="A7" sqref="A7:D7"/>
      <selection pane="bottomLeft" activeCell="J46" sqref="J4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0</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367551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367551</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38140</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7987</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46127</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-46127</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367551</v>
      </c>
      <c r="N40" s="497"/>
    </row>
    <row r="41" spans="1:14" ht="13.5" customHeight="1" thickBot="1" x14ac:dyDescent="0.25">
      <c r="A41" s="1758" t="s">
        <v>676</v>
      </c>
      <c r="B41" s="1728"/>
      <c r="C41" s="1710">
        <f>(SUM(C34,C37,C38,C39))</f>
        <v>0</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367551</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5" right="0.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7" sqref="A7:D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46</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627991</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93598</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721635</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f>28734+529</f>
        <v>29263</v>
      </c>
      <c r="D9" s="516"/>
      <c r="E9" s="481"/>
      <c r="F9" s="481"/>
      <c r="G9" s="517"/>
      <c r="H9" s="481"/>
      <c r="I9" s="509" t="s">
        <v>1231</v>
      </c>
      <c r="J9" s="478"/>
      <c r="K9" s="481"/>
      <c r="L9" s="347"/>
    </row>
    <row r="10" spans="1:13" s="519" customFormat="1" ht="13.5" thickBot="1" x14ac:dyDescent="0.25">
      <c r="A10" s="1758" t="s">
        <v>1235</v>
      </c>
      <c r="B10" s="1731"/>
      <c r="C10" s="1710">
        <f>SUM(C8:C9)</f>
        <v>750898</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399104</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65628</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263356</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728088</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29263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757351</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4" t="s">
        <v>1754</v>
      </c>
      <c r="B20" s="2145"/>
      <c r="C20" s="1768">
        <f>C8-C17</f>
        <v>-6453</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-6453</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-39674</v>
      </c>
      <c r="D79" s="535"/>
      <c r="E79" s="535"/>
      <c r="F79" s="535"/>
      <c r="G79" s="535"/>
      <c r="H79" s="535"/>
      <c r="I79" s="535"/>
      <c r="J79" s="535"/>
      <c r="K79" s="535"/>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-46127</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-6453</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0.13989637305699482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7" sqref="A7:D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46</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46</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0</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46</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627991</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627991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627991</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627991</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93598</v>
      </c>
      <c r="D227" s="466"/>
      <c r="E227" s="468"/>
      <c r="F227" s="468"/>
      <c r="G227" s="466"/>
      <c r="H227" s="468"/>
      <c r="I227" s="468"/>
      <c r="J227" s="468"/>
      <c r="K227" s="468"/>
    </row>
    <row r="228" spans="1:11" ht="12.75" customHeight="1" thickBot="1" x14ac:dyDescent="0.25">
      <c r="A228" s="1745" t="s">
        <v>1145</v>
      </c>
      <c r="B228" s="1746"/>
      <c r="C228" s="1729">
        <f>SUM(C226:C227)</f>
        <v>93598</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93598</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93598</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721635</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110" zoomScaleNormal="110" zoomScaleSheetLayoutView="110" workbookViewId="0">
      <pane ySplit="2" topLeftCell="A60" activePane="bottomLeft" state="frozen"/>
      <selection activeCell="A7" sqref="A7:D7"/>
      <selection pane="bottomLeft" activeCell="E14" sqref="E1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1899</v>
      </c>
      <c r="D13" s="466">
        <v>0</v>
      </c>
      <c r="E13" s="466">
        <v>19503</v>
      </c>
      <c r="F13" s="466">
        <f>53540+672+85912+39742</f>
        <v>179866</v>
      </c>
      <c r="G13" s="466">
        <v>197836</v>
      </c>
      <c r="H13" s="466"/>
      <c r="I13" s="467"/>
      <c r="J13" s="467"/>
      <c r="K13" s="1693">
        <f t="shared" si="0"/>
        <v>399104</v>
      </c>
      <c r="L13" s="466">
        <v>300438</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1899</v>
      </c>
      <c r="D33" s="1692">
        <f t="shared" ref="D33:L33" si="1">SUM(D5:D32)</f>
        <v>0</v>
      </c>
      <c r="E33" s="1692">
        <f t="shared" si="1"/>
        <v>19503</v>
      </c>
      <c r="F33" s="1692">
        <f t="shared" si="1"/>
        <v>179866</v>
      </c>
      <c r="G33" s="1692">
        <f t="shared" si="1"/>
        <v>197836</v>
      </c>
      <c r="H33" s="1692">
        <f t="shared" si="1"/>
        <v>0</v>
      </c>
      <c r="I33" s="1692">
        <f t="shared" si="1"/>
        <v>0</v>
      </c>
      <c r="J33" s="1692">
        <f t="shared" si="1"/>
        <v>0</v>
      </c>
      <c r="K33" s="1692">
        <f t="shared" si="1"/>
        <v>399104</v>
      </c>
      <c r="L33" s="1692">
        <f t="shared" si="1"/>
        <v>300438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v>3254</v>
      </c>
      <c r="G37" s="466"/>
      <c r="H37" s="466"/>
      <c r="I37" s="467"/>
      <c r="J37" s="467"/>
      <c r="K37" s="1693">
        <f t="shared" si="2"/>
        <v>3254</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3254</v>
      </c>
      <c r="G42" s="1692">
        <f t="shared" si="3"/>
        <v>0</v>
      </c>
      <c r="H42" s="1692">
        <f t="shared" si="3"/>
        <v>0</v>
      </c>
      <c r="I42" s="1692">
        <f t="shared" si="3"/>
        <v>0</v>
      </c>
      <c r="J42" s="1692">
        <f t="shared" si="3"/>
        <v>0</v>
      </c>
      <c r="K42" s="1692">
        <f t="shared" si="3"/>
        <v>3254</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0</v>
      </c>
      <c r="D44" s="481">
        <v>0</v>
      </c>
      <c r="E44" s="481">
        <v>1373</v>
      </c>
      <c r="F44" s="481">
        <v>1465</v>
      </c>
      <c r="G44" s="481"/>
      <c r="H44" s="481"/>
      <c r="I44" s="467"/>
      <c r="J44" s="467"/>
      <c r="K44" s="1694">
        <f>SUM(C44:J44)</f>
        <v>2838</v>
      </c>
      <c r="L44" s="481">
        <v>13300</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v>1768</v>
      </c>
      <c r="G46" s="466"/>
      <c r="H46" s="466"/>
      <c r="I46" s="467"/>
      <c r="J46" s="467"/>
      <c r="K46" s="1694">
        <f>SUM(C46:J46)</f>
        <v>1768</v>
      </c>
      <c r="L46" s="466">
        <v>2500</v>
      </c>
    </row>
    <row r="47" spans="1:14" ht="12.75" customHeight="1" thickBot="1" x14ac:dyDescent="0.25">
      <c r="A47" s="1690" t="s">
        <v>582</v>
      </c>
      <c r="B47" s="1691" t="s">
        <v>32</v>
      </c>
      <c r="C47" s="1692">
        <f>SUM(C44:C46)</f>
        <v>0</v>
      </c>
      <c r="D47" s="1692">
        <f t="shared" ref="D47:K47" si="4">SUM(D44:D46)</f>
        <v>0</v>
      </c>
      <c r="E47" s="1692">
        <f t="shared" si="4"/>
        <v>1373</v>
      </c>
      <c r="F47" s="1692">
        <f t="shared" si="4"/>
        <v>3233</v>
      </c>
      <c r="G47" s="1692">
        <f t="shared" si="4"/>
        <v>0</v>
      </c>
      <c r="H47" s="1692">
        <f t="shared" si="4"/>
        <v>0</v>
      </c>
      <c r="I47" s="1692">
        <f t="shared" si="4"/>
        <v>0</v>
      </c>
      <c r="J47" s="1692">
        <f t="shared" si="4"/>
        <v>0</v>
      </c>
      <c r="K47" s="1692">
        <f t="shared" si="4"/>
        <v>4606</v>
      </c>
      <c r="L47" s="1692">
        <f>SUM(L44:L46)</f>
        <v>15800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16070</v>
      </c>
      <c r="D51" s="466">
        <f>182+981+779+1500+51+263+217+250</f>
        <v>4223</v>
      </c>
      <c r="E51" s="466">
        <v>11439</v>
      </c>
      <c r="F51" s="466">
        <f>105+1205</f>
        <v>1310</v>
      </c>
      <c r="G51" s="466">
        <v>720</v>
      </c>
      <c r="H51" s="466"/>
      <c r="I51" s="467"/>
      <c r="J51" s="467"/>
      <c r="K51" s="1694">
        <f>SUM(C51:J51)</f>
        <v>33762</v>
      </c>
      <c r="L51" s="466">
        <v>51744</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16070</v>
      </c>
      <c r="D53" s="1692">
        <f t="shared" ref="D53:L53" si="5">SUM(D49:D52)</f>
        <v>4223</v>
      </c>
      <c r="E53" s="1692">
        <f t="shared" si="5"/>
        <v>11439</v>
      </c>
      <c r="F53" s="1692">
        <f t="shared" si="5"/>
        <v>1310</v>
      </c>
      <c r="G53" s="1692">
        <f t="shared" si="5"/>
        <v>720</v>
      </c>
      <c r="H53" s="1692">
        <f t="shared" si="5"/>
        <v>0</v>
      </c>
      <c r="I53" s="1692">
        <f t="shared" si="5"/>
        <v>0</v>
      </c>
      <c r="J53" s="1692">
        <f t="shared" si="5"/>
        <v>0</v>
      </c>
      <c r="K53" s="1692">
        <f t="shared" si="5"/>
        <v>33762</v>
      </c>
      <c r="L53" s="1692">
        <f t="shared" si="5"/>
        <v>51744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18543</v>
      </c>
      <c r="D60" s="466">
        <f>269+1378+1150+1250</f>
        <v>4047</v>
      </c>
      <c r="E60" s="466">
        <f>54+104+58+594+500</f>
        <v>1310</v>
      </c>
      <c r="F60" s="466">
        <v>100</v>
      </c>
      <c r="G60" s="466"/>
      <c r="H60" s="466">
        <f>5+1</f>
        <v>6</v>
      </c>
      <c r="I60" s="467"/>
      <c r="J60" s="467"/>
      <c r="K60" s="1694">
        <f t="shared" si="7"/>
        <v>24006</v>
      </c>
      <c r="L60" s="466">
        <v>23200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18543</v>
      </c>
      <c r="D65" s="1692">
        <f t="shared" ref="D65:L65" si="8">SUM(D59:D64)</f>
        <v>4047</v>
      </c>
      <c r="E65" s="1692">
        <f t="shared" si="8"/>
        <v>1310</v>
      </c>
      <c r="F65" s="1692">
        <f t="shared" si="8"/>
        <v>100</v>
      </c>
      <c r="G65" s="1692">
        <f t="shared" si="8"/>
        <v>0</v>
      </c>
      <c r="H65" s="1692">
        <f t="shared" si="8"/>
        <v>6</v>
      </c>
      <c r="I65" s="1692">
        <f t="shared" si="8"/>
        <v>0</v>
      </c>
      <c r="J65" s="1692">
        <f t="shared" si="8"/>
        <v>0</v>
      </c>
      <c r="K65" s="1692">
        <f t="shared" si="8"/>
        <v>24006</v>
      </c>
      <c r="L65" s="1692">
        <f t="shared" si="8"/>
        <v>23200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34613</v>
      </c>
      <c r="D74" s="1699">
        <f t="shared" ref="D74:K74" si="10">SUM(D42,D47,D53,D57,D65,D72,D73)</f>
        <v>8270</v>
      </c>
      <c r="E74" s="1699">
        <f t="shared" si="10"/>
        <v>14122</v>
      </c>
      <c r="F74" s="1699">
        <f t="shared" si="10"/>
        <v>7897</v>
      </c>
      <c r="G74" s="1699">
        <f t="shared" si="10"/>
        <v>720</v>
      </c>
      <c r="H74" s="1699">
        <f t="shared" si="10"/>
        <v>6</v>
      </c>
      <c r="I74" s="1699">
        <f t="shared" si="10"/>
        <v>0</v>
      </c>
      <c r="J74" s="1699">
        <f t="shared" si="10"/>
        <v>0</v>
      </c>
      <c r="K74" s="1699">
        <f t="shared" si="10"/>
        <v>65628</v>
      </c>
      <c r="L74" s="1699">
        <f>SUM(L42,L47,L53,L57,L65,L72,L73)</f>
        <v>90744</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f>39212+7597</f>
        <v>46809</v>
      </c>
      <c r="F81" s="617"/>
      <c r="G81" s="617"/>
      <c r="H81" s="466">
        <f>160022+56525</f>
        <v>216547</v>
      </c>
      <c r="I81" s="477"/>
      <c r="J81" s="477"/>
      <c r="K81" s="1693">
        <f t="shared" si="11"/>
        <v>263356</v>
      </c>
      <c r="L81" s="466">
        <v>173749</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46809</v>
      </c>
      <c r="F84" s="617"/>
      <c r="G84" s="617"/>
      <c r="H84" s="1692">
        <f>SUM(H78:H83)</f>
        <v>216547</v>
      </c>
      <c r="I84" s="477"/>
      <c r="J84" s="477"/>
      <c r="K84" s="1692">
        <f>SUM(K78:K83)</f>
        <v>263356</v>
      </c>
      <c r="L84" s="1692">
        <f>SUM(L78:L83)</f>
        <v>173749</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46809</v>
      </c>
      <c r="F102" s="617"/>
      <c r="G102" s="617"/>
      <c r="H102" s="1699">
        <f>SUM(H84,H92,H100,H101)</f>
        <v>216547</v>
      </c>
      <c r="I102" s="477"/>
      <c r="J102" s="477"/>
      <c r="K102" s="1699">
        <f>SUM(K84,K92,K100,K101)</f>
        <v>263356</v>
      </c>
      <c r="L102" s="1699">
        <f>SUM(L84,L92,L100,L101)</f>
        <v>173749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36512</v>
      </c>
      <c r="D114" s="1692">
        <f t="shared" ref="D114:K114" si="13">SUM(D33,D74,D75,D102,D112,D113)</f>
        <v>8270</v>
      </c>
      <c r="E114" s="1692">
        <f t="shared" si="13"/>
        <v>80434</v>
      </c>
      <c r="F114" s="1692">
        <f t="shared" si="13"/>
        <v>187763</v>
      </c>
      <c r="G114" s="1692">
        <f t="shared" si="13"/>
        <v>198556</v>
      </c>
      <c r="H114" s="1692">
        <f>SUM(H33,H74,H75,H102,H112,H113)</f>
        <v>216553</v>
      </c>
      <c r="I114" s="1692">
        <f t="shared" si="13"/>
        <v>0</v>
      </c>
      <c r="J114" s="1692">
        <f t="shared" si="13"/>
        <v>0</v>
      </c>
      <c r="K114" s="1692">
        <f t="shared" si="13"/>
        <v>728088</v>
      </c>
      <c r="L114" s="1692">
        <f>SUM(L33,L74,L75,L102,L112,L113)</f>
        <v>564931</v>
      </c>
    </row>
    <row r="115" spans="1:14" ht="13.5" thickTop="1" x14ac:dyDescent="0.2">
      <c r="A115" s="2174" t="s">
        <v>1053</v>
      </c>
      <c r="B115" s="2175"/>
      <c r="C115" s="619"/>
      <c r="D115" s="619"/>
      <c r="E115" s="619"/>
      <c r="F115" s="619"/>
      <c r="G115" s="619"/>
      <c r="H115" s="619"/>
      <c r="I115" s="619"/>
      <c r="J115" s="619"/>
      <c r="K115" s="1706">
        <f>'Revenues 9-14'!C275-'Expenditures 15-22'!K114</f>
        <v>-6453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4" t="s">
        <v>1240</v>
      </c>
      <c r="B152" s="2195"/>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4" t="s">
        <v>1053</v>
      </c>
      <c r="B175" s="2175"/>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4" t="s">
        <v>1053</v>
      </c>
      <c r="B211" s="2175"/>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4" t="s">
        <v>1053</v>
      </c>
      <c r="B296" s="2175"/>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d21dc803-237d-4c68-8692-8d731fd29118"/>
    <ds:schemaRef ds:uri="http://schemas.microsoft.com/office/infopath/2007/PartnerControls"/>
    <ds:schemaRef ds:uri="http://schemas.microsoft.com/sharepoint/v3"/>
    <ds:schemaRef ds:uri="http://schemas.microsoft.com/office/2006/documentManagement/types"/>
    <ds:schemaRef ds:uri="http://purl.org/dc/elements/1.1/"/>
    <ds:schemaRef ds:uri="http://schemas.openxmlformats.org/package/2006/metadata/core-properties"/>
    <ds:schemaRef ds:uri="6ce3111e-7420-4802-b50a-75d4e9a0b980"/>
    <ds:schemaRef ds:uri="4d435f69-8686-490b-bd6d-b153bf22ab50"/>
    <ds:schemaRef ds:uri="http://purl.org/dc/term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2018-11-28T22:35:32Z</cp:lastPrinted>
  <dcterms:created xsi:type="dcterms:W3CDTF">2003-10-29T19:06:34Z</dcterms:created>
  <dcterms:modified xsi:type="dcterms:W3CDTF">2018-12-19T19:37:00Z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